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a04\Desktop\Induced_Hazard\ZZZ_PY\"/>
    </mc:Choice>
  </mc:AlternateContent>
  <xr:revisionPtr revIDLastSave="0" documentId="13_ncr:1_{E9FC18EE-318D-4244-9C1B-BE8CABEF1A3A}" xr6:coauthVersionLast="44" xr6:coauthVersionMax="44" xr10:uidLastSave="{00000000-0000-0000-0000-000000000000}"/>
  <bookViews>
    <workbookView xWindow="1860" yWindow="3555" windowWidth="28800" windowHeight="11535" xr2:uid="{00000000-000D-0000-FFFF-FFFF00000000}"/>
  </bookViews>
  <sheets>
    <sheet name="SOIL" sheetId="6" r:id="rId1"/>
    <sheet name="Reference" sheetId="5" r:id="rId2"/>
    <sheet name="Data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6" l="1"/>
  <c r="I3" i="6"/>
  <c r="I8" i="6"/>
  <c r="I5" i="6"/>
  <c r="U109" i="5"/>
  <c r="V109" i="5"/>
  <c r="W109" i="5"/>
  <c r="U110" i="5"/>
  <c r="V110" i="5"/>
  <c r="W110" i="5"/>
  <c r="U111" i="5"/>
  <c r="V111" i="5"/>
  <c r="W111" i="5"/>
  <c r="U112" i="5"/>
  <c r="V112" i="5"/>
  <c r="W112" i="5"/>
  <c r="U113" i="5"/>
  <c r="V113" i="5"/>
  <c r="W113" i="5"/>
  <c r="U114" i="5"/>
  <c r="V114" i="5"/>
  <c r="W114" i="5"/>
  <c r="U115" i="5"/>
  <c r="V115" i="5"/>
  <c r="W115" i="5"/>
  <c r="U116" i="5"/>
  <c r="V116" i="5"/>
  <c r="W116" i="5"/>
  <c r="U117" i="5"/>
  <c r="V117" i="5"/>
  <c r="W117" i="5"/>
  <c r="U118" i="5"/>
  <c r="V118" i="5"/>
  <c r="W118" i="5"/>
  <c r="U119" i="5"/>
  <c r="V119" i="5"/>
  <c r="W119" i="5"/>
  <c r="U120" i="5"/>
  <c r="V120" i="5"/>
  <c r="W120" i="5"/>
  <c r="U121" i="5"/>
  <c r="V121" i="5"/>
  <c r="W121" i="5"/>
  <c r="U122" i="5"/>
  <c r="V122" i="5"/>
  <c r="W122" i="5"/>
  <c r="U123" i="5"/>
  <c r="V123" i="5"/>
  <c r="W123" i="5"/>
  <c r="U124" i="5"/>
  <c r="V124" i="5"/>
  <c r="W124" i="5"/>
  <c r="U125" i="5"/>
  <c r="V125" i="5"/>
  <c r="W125" i="5"/>
  <c r="U126" i="5"/>
  <c r="V126" i="5"/>
  <c r="W126" i="5"/>
  <c r="U127" i="5"/>
  <c r="V127" i="5"/>
  <c r="W127" i="5"/>
  <c r="U128" i="5"/>
  <c r="V128" i="5"/>
  <c r="W128" i="5"/>
  <c r="U129" i="5"/>
  <c r="V129" i="5"/>
  <c r="W129" i="5"/>
  <c r="U130" i="5"/>
  <c r="V130" i="5"/>
  <c r="W130" i="5"/>
  <c r="U131" i="5"/>
  <c r="V131" i="5"/>
  <c r="W131" i="5"/>
  <c r="U132" i="5"/>
  <c r="V132" i="5"/>
  <c r="W132" i="5"/>
  <c r="U133" i="5"/>
  <c r="V133" i="5"/>
  <c r="W133" i="5"/>
  <c r="U134" i="5"/>
  <c r="V134" i="5"/>
  <c r="W134" i="5"/>
  <c r="U135" i="5"/>
  <c r="V135" i="5"/>
  <c r="W135" i="5"/>
  <c r="U136" i="5"/>
  <c r="V136" i="5"/>
  <c r="W136" i="5"/>
  <c r="U137" i="5"/>
  <c r="V137" i="5"/>
  <c r="W137" i="5"/>
  <c r="U138" i="5"/>
  <c r="V138" i="5"/>
  <c r="W138" i="5"/>
  <c r="U139" i="5"/>
  <c r="V139" i="5"/>
  <c r="W139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145" i="5"/>
  <c r="V145" i="5"/>
  <c r="W145" i="5"/>
  <c r="U146" i="5"/>
  <c r="V146" i="5"/>
  <c r="W146" i="5"/>
  <c r="U147" i="5"/>
  <c r="V147" i="5"/>
  <c r="W147" i="5"/>
  <c r="U148" i="5"/>
  <c r="V148" i="5"/>
  <c r="W148" i="5"/>
  <c r="U149" i="5"/>
  <c r="V149" i="5"/>
  <c r="W149" i="5"/>
  <c r="U150" i="5"/>
  <c r="V150" i="5"/>
  <c r="W150" i="5"/>
  <c r="U151" i="5"/>
  <c r="V151" i="5"/>
  <c r="W151" i="5"/>
  <c r="U152" i="5"/>
  <c r="V152" i="5"/>
  <c r="W152" i="5"/>
  <c r="U153" i="5"/>
  <c r="V153" i="5"/>
  <c r="W153" i="5"/>
  <c r="U154" i="5"/>
  <c r="V154" i="5"/>
  <c r="W154" i="5"/>
  <c r="U155" i="5"/>
  <c r="V155" i="5"/>
  <c r="W155" i="5"/>
  <c r="U156" i="5"/>
  <c r="V156" i="5"/>
  <c r="W156" i="5"/>
  <c r="U157" i="5"/>
  <c r="V157" i="5"/>
  <c r="W157" i="5"/>
  <c r="U158" i="5"/>
  <c r="V158" i="5"/>
  <c r="W158" i="5"/>
  <c r="U159" i="5"/>
  <c r="V159" i="5"/>
  <c r="W159" i="5"/>
  <c r="U160" i="5"/>
  <c r="V160" i="5"/>
  <c r="W160" i="5"/>
  <c r="U161" i="5"/>
  <c r="V161" i="5"/>
  <c r="W161" i="5"/>
  <c r="U162" i="5"/>
  <c r="V162" i="5"/>
  <c r="W162" i="5"/>
  <c r="U163" i="5"/>
  <c r="V163" i="5"/>
  <c r="W163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69" i="5"/>
  <c r="V169" i="5"/>
  <c r="W169" i="5"/>
  <c r="U170" i="5"/>
  <c r="V170" i="5"/>
  <c r="W170" i="5"/>
  <c r="U171" i="5"/>
  <c r="V171" i="5"/>
  <c r="W171" i="5"/>
  <c r="U172" i="5"/>
  <c r="V172" i="5"/>
  <c r="W172" i="5"/>
  <c r="U173" i="5"/>
  <c r="V173" i="5"/>
  <c r="W173" i="5"/>
  <c r="U174" i="5"/>
  <c r="V174" i="5"/>
  <c r="W174" i="5"/>
  <c r="U175" i="5"/>
  <c r="V175" i="5"/>
  <c r="W175" i="5"/>
  <c r="U176" i="5"/>
  <c r="V176" i="5"/>
  <c r="W176" i="5"/>
  <c r="U177" i="5"/>
  <c r="V177" i="5"/>
  <c r="W177" i="5"/>
  <c r="U178" i="5"/>
  <c r="V178" i="5"/>
  <c r="W178" i="5"/>
  <c r="U179" i="5"/>
  <c r="V179" i="5"/>
  <c r="W179" i="5"/>
  <c r="U180" i="5"/>
  <c r="V180" i="5"/>
  <c r="W180" i="5"/>
  <c r="U181" i="5"/>
  <c r="V181" i="5"/>
  <c r="W181" i="5"/>
  <c r="U182" i="5"/>
  <c r="V182" i="5"/>
  <c r="W182" i="5"/>
  <c r="U183" i="5"/>
  <c r="V183" i="5"/>
  <c r="W183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2" i="5"/>
  <c r="V192" i="5"/>
  <c r="W192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199" i="5"/>
  <c r="V199" i="5"/>
  <c r="W199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04" i="5"/>
  <c r="V204" i="5"/>
  <c r="W204" i="5"/>
  <c r="U205" i="5"/>
  <c r="V205" i="5"/>
  <c r="W205" i="5"/>
  <c r="U206" i="5"/>
  <c r="V206" i="5"/>
  <c r="W206" i="5"/>
  <c r="U207" i="5"/>
  <c r="V207" i="5"/>
  <c r="W207" i="5"/>
  <c r="U208" i="5"/>
  <c r="V208" i="5"/>
  <c r="W208" i="5"/>
  <c r="U209" i="5"/>
  <c r="V209" i="5"/>
  <c r="W209" i="5"/>
  <c r="U210" i="5"/>
  <c r="V210" i="5"/>
  <c r="W210" i="5"/>
  <c r="U211" i="5"/>
  <c r="V211" i="5"/>
  <c r="W211" i="5"/>
  <c r="U212" i="5"/>
  <c r="V212" i="5"/>
  <c r="W212" i="5"/>
  <c r="U213" i="5"/>
  <c r="V213" i="5"/>
  <c r="W213" i="5"/>
  <c r="U214" i="5"/>
  <c r="V214" i="5"/>
  <c r="W214" i="5"/>
  <c r="U215" i="5"/>
  <c r="V215" i="5"/>
  <c r="W215" i="5"/>
  <c r="U216" i="5"/>
  <c r="V216" i="5"/>
  <c r="W216" i="5"/>
  <c r="U217" i="5"/>
  <c r="V217" i="5"/>
  <c r="W217" i="5"/>
  <c r="U218" i="5"/>
  <c r="V218" i="5"/>
  <c r="W218" i="5"/>
  <c r="U219" i="5"/>
  <c r="V219" i="5"/>
  <c r="W219" i="5"/>
  <c r="U220" i="5"/>
  <c r="V220" i="5"/>
  <c r="W220" i="5"/>
  <c r="U221" i="5"/>
  <c r="V221" i="5"/>
  <c r="W221" i="5"/>
  <c r="U222" i="5"/>
  <c r="V222" i="5"/>
  <c r="W222" i="5"/>
  <c r="U223" i="5"/>
  <c r="V223" i="5"/>
  <c r="W223" i="5"/>
  <c r="U224" i="5"/>
  <c r="V224" i="5"/>
  <c r="W224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1" i="5"/>
  <c r="V231" i="5"/>
  <c r="W231" i="5"/>
  <c r="U232" i="5"/>
  <c r="V232" i="5"/>
  <c r="W232" i="5"/>
  <c r="U233" i="5"/>
  <c r="V233" i="5"/>
  <c r="W233" i="5"/>
  <c r="U234" i="5"/>
  <c r="V234" i="5"/>
  <c r="W234" i="5"/>
  <c r="U235" i="5"/>
  <c r="V235" i="5"/>
  <c r="W235" i="5"/>
  <c r="U236" i="5"/>
  <c r="V236" i="5"/>
  <c r="W236" i="5"/>
  <c r="U108" i="5"/>
  <c r="V108" i="5"/>
  <c r="W108" i="5"/>
  <c r="Q109" i="5"/>
  <c r="R109" i="5"/>
  <c r="S109" i="5"/>
  <c r="T109" i="5"/>
  <c r="Q110" i="5"/>
  <c r="R110" i="5"/>
  <c r="S110" i="5"/>
  <c r="T110" i="5"/>
  <c r="Q111" i="5"/>
  <c r="R111" i="5"/>
  <c r="S111" i="5"/>
  <c r="T111" i="5"/>
  <c r="Q112" i="5"/>
  <c r="R112" i="5"/>
  <c r="S112" i="5"/>
  <c r="T112" i="5"/>
  <c r="Q113" i="5"/>
  <c r="R113" i="5"/>
  <c r="S113" i="5"/>
  <c r="T113" i="5"/>
  <c r="Q114" i="5"/>
  <c r="R114" i="5"/>
  <c r="S114" i="5"/>
  <c r="T114" i="5"/>
  <c r="Q115" i="5"/>
  <c r="R115" i="5"/>
  <c r="S115" i="5"/>
  <c r="T115" i="5"/>
  <c r="Q116" i="5"/>
  <c r="R116" i="5"/>
  <c r="S116" i="5"/>
  <c r="T116" i="5"/>
  <c r="Q117" i="5"/>
  <c r="R117" i="5"/>
  <c r="S117" i="5"/>
  <c r="T117" i="5"/>
  <c r="Q118" i="5"/>
  <c r="R118" i="5"/>
  <c r="S118" i="5"/>
  <c r="T118" i="5"/>
  <c r="Q119" i="5"/>
  <c r="R119" i="5"/>
  <c r="S119" i="5"/>
  <c r="T119" i="5"/>
  <c r="Q120" i="5"/>
  <c r="R120" i="5"/>
  <c r="S120" i="5"/>
  <c r="T120" i="5"/>
  <c r="Q121" i="5"/>
  <c r="R121" i="5"/>
  <c r="S121" i="5"/>
  <c r="T121" i="5"/>
  <c r="Q122" i="5"/>
  <c r="R122" i="5"/>
  <c r="S122" i="5"/>
  <c r="T122" i="5"/>
  <c r="Q123" i="5"/>
  <c r="R123" i="5"/>
  <c r="S123" i="5"/>
  <c r="T123" i="5"/>
  <c r="Q124" i="5"/>
  <c r="R124" i="5"/>
  <c r="S124" i="5"/>
  <c r="T124" i="5"/>
  <c r="Q125" i="5"/>
  <c r="R125" i="5"/>
  <c r="S125" i="5"/>
  <c r="T125" i="5"/>
  <c r="Q126" i="5"/>
  <c r="R126" i="5"/>
  <c r="S126" i="5"/>
  <c r="T126" i="5"/>
  <c r="Q127" i="5"/>
  <c r="R127" i="5"/>
  <c r="S127" i="5"/>
  <c r="T127" i="5"/>
  <c r="Q128" i="5"/>
  <c r="R128" i="5"/>
  <c r="S128" i="5"/>
  <c r="T128" i="5"/>
  <c r="Q129" i="5"/>
  <c r="R129" i="5"/>
  <c r="S129" i="5"/>
  <c r="T129" i="5"/>
  <c r="Q130" i="5"/>
  <c r="R130" i="5"/>
  <c r="S130" i="5"/>
  <c r="T130" i="5"/>
  <c r="Q131" i="5"/>
  <c r="R131" i="5"/>
  <c r="S131" i="5"/>
  <c r="T131" i="5"/>
  <c r="Q132" i="5"/>
  <c r="R132" i="5"/>
  <c r="S132" i="5"/>
  <c r="T132" i="5"/>
  <c r="Q133" i="5"/>
  <c r="R133" i="5"/>
  <c r="S133" i="5"/>
  <c r="T133" i="5"/>
  <c r="Q134" i="5"/>
  <c r="R134" i="5"/>
  <c r="S134" i="5"/>
  <c r="T134" i="5"/>
  <c r="Q135" i="5"/>
  <c r="R135" i="5"/>
  <c r="S135" i="5"/>
  <c r="T135" i="5"/>
  <c r="Q136" i="5"/>
  <c r="R136" i="5"/>
  <c r="S136" i="5"/>
  <c r="T136" i="5"/>
  <c r="Q137" i="5"/>
  <c r="R137" i="5"/>
  <c r="S137" i="5"/>
  <c r="T137" i="5"/>
  <c r="Q138" i="5"/>
  <c r="R138" i="5"/>
  <c r="S138" i="5"/>
  <c r="T138" i="5"/>
  <c r="Q139" i="5"/>
  <c r="R139" i="5"/>
  <c r="S139" i="5"/>
  <c r="T139" i="5"/>
  <c r="Q140" i="5"/>
  <c r="R140" i="5"/>
  <c r="S140" i="5"/>
  <c r="T140" i="5"/>
  <c r="Q141" i="5"/>
  <c r="R141" i="5"/>
  <c r="S141" i="5"/>
  <c r="T141" i="5"/>
  <c r="Q142" i="5"/>
  <c r="R142" i="5"/>
  <c r="S142" i="5"/>
  <c r="T142" i="5"/>
  <c r="Q143" i="5"/>
  <c r="R143" i="5"/>
  <c r="S143" i="5"/>
  <c r="T143" i="5"/>
  <c r="Q144" i="5"/>
  <c r="R144" i="5"/>
  <c r="S144" i="5"/>
  <c r="T144" i="5"/>
  <c r="Q145" i="5"/>
  <c r="R145" i="5"/>
  <c r="S145" i="5"/>
  <c r="T145" i="5"/>
  <c r="Q146" i="5"/>
  <c r="R146" i="5"/>
  <c r="S146" i="5"/>
  <c r="T146" i="5"/>
  <c r="Q147" i="5"/>
  <c r="R147" i="5"/>
  <c r="S147" i="5"/>
  <c r="T147" i="5"/>
  <c r="Q148" i="5"/>
  <c r="R148" i="5"/>
  <c r="S148" i="5"/>
  <c r="T148" i="5"/>
  <c r="Q149" i="5"/>
  <c r="R149" i="5"/>
  <c r="S149" i="5"/>
  <c r="T149" i="5"/>
  <c r="Q150" i="5"/>
  <c r="R150" i="5"/>
  <c r="S150" i="5"/>
  <c r="T150" i="5"/>
  <c r="Q151" i="5"/>
  <c r="R151" i="5"/>
  <c r="S151" i="5"/>
  <c r="T151" i="5"/>
  <c r="Q152" i="5"/>
  <c r="R152" i="5"/>
  <c r="S152" i="5"/>
  <c r="T152" i="5"/>
  <c r="Q153" i="5"/>
  <c r="R153" i="5"/>
  <c r="S153" i="5"/>
  <c r="T153" i="5"/>
  <c r="Q154" i="5"/>
  <c r="R154" i="5"/>
  <c r="S154" i="5"/>
  <c r="T154" i="5"/>
  <c r="Q155" i="5"/>
  <c r="R155" i="5"/>
  <c r="S155" i="5"/>
  <c r="T155" i="5"/>
  <c r="Q156" i="5"/>
  <c r="R156" i="5"/>
  <c r="S156" i="5"/>
  <c r="T156" i="5"/>
  <c r="Q157" i="5"/>
  <c r="R157" i="5"/>
  <c r="S157" i="5"/>
  <c r="T157" i="5"/>
  <c r="Q158" i="5"/>
  <c r="R158" i="5"/>
  <c r="S158" i="5"/>
  <c r="T158" i="5"/>
  <c r="Q159" i="5"/>
  <c r="R159" i="5"/>
  <c r="S159" i="5"/>
  <c r="T159" i="5"/>
  <c r="Q160" i="5"/>
  <c r="R160" i="5"/>
  <c r="S160" i="5"/>
  <c r="T160" i="5"/>
  <c r="Q161" i="5"/>
  <c r="R161" i="5"/>
  <c r="S161" i="5"/>
  <c r="T161" i="5"/>
  <c r="Q162" i="5"/>
  <c r="R162" i="5"/>
  <c r="S162" i="5"/>
  <c r="T162" i="5"/>
  <c r="Q163" i="5"/>
  <c r="R163" i="5"/>
  <c r="S163" i="5"/>
  <c r="T163" i="5"/>
  <c r="Q164" i="5"/>
  <c r="R164" i="5"/>
  <c r="S164" i="5"/>
  <c r="T164" i="5"/>
  <c r="Q165" i="5"/>
  <c r="R165" i="5"/>
  <c r="S165" i="5"/>
  <c r="T165" i="5"/>
  <c r="Q166" i="5"/>
  <c r="R166" i="5"/>
  <c r="S166" i="5"/>
  <c r="T166" i="5"/>
  <c r="Q167" i="5"/>
  <c r="R167" i="5"/>
  <c r="S167" i="5"/>
  <c r="T167" i="5"/>
  <c r="Q168" i="5"/>
  <c r="R168" i="5"/>
  <c r="S168" i="5"/>
  <c r="T168" i="5"/>
  <c r="Q169" i="5"/>
  <c r="R169" i="5"/>
  <c r="S169" i="5"/>
  <c r="T169" i="5"/>
  <c r="Q170" i="5"/>
  <c r="R170" i="5"/>
  <c r="S170" i="5"/>
  <c r="T170" i="5"/>
  <c r="Q171" i="5"/>
  <c r="R171" i="5"/>
  <c r="S171" i="5"/>
  <c r="T171" i="5"/>
  <c r="Q172" i="5"/>
  <c r="R172" i="5"/>
  <c r="S172" i="5"/>
  <c r="T172" i="5"/>
  <c r="Q173" i="5"/>
  <c r="R173" i="5"/>
  <c r="S173" i="5"/>
  <c r="T173" i="5"/>
  <c r="Q174" i="5"/>
  <c r="R174" i="5"/>
  <c r="S174" i="5"/>
  <c r="T174" i="5"/>
  <c r="Q175" i="5"/>
  <c r="R175" i="5"/>
  <c r="S175" i="5"/>
  <c r="T175" i="5"/>
  <c r="Q176" i="5"/>
  <c r="R176" i="5"/>
  <c r="S176" i="5"/>
  <c r="T176" i="5"/>
  <c r="Q177" i="5"/>
  <c r="R177" i="5"/>
  <c r="S177" i="5"/>
  <c r="T177" i="5"/>
  <c r="Q178" i="5"/>
  <c r="R178" i="5"/>
  <c r="S178" i="5"/>
  <c r="T178" i="5"/>
  <c r="Q179" i="5"/>
  <c r="R179" i="5"/>
  <c r="S179" i="5"/>
  <c r="T179" i="5"/>
  <c r="Q180" i="5"/>
  <c r="R180" i="5"/>
  <c r="S180" i="5"/>
  <c r="T180" i="5"/>
  <c r="Q181" i="5"/>
  <c r="R181" i="5"/>
  <c r="S181" i="5"/>
  <c r="T181" i="5"/>
  <c r="Q182" i="5"/>
  <c r="R182" i="5"/>
  <c r="S182" i="5"/>
  <c r="T182" i="5"/>
  <c r="Q183" i="5"/>
  <c r="R183" i="5"/>
  <c r="S183" i="5"/>
  <c r="T183" i="5"/>
  <c r="Q184" i="5"/>
  <c r="R184" i="5"/>
  <c r="S184" i="5"/>
  <c r="T184" i="5"/>
  <c r="Q185" i="5"/>
  <c r="R185" i="5"/>
  <c r="S185" i="5"/>
  <c r="T185" i="5"/>
  <c r="Q186" i="5"/>
  <c r="R186" i="5"/>
  <c r="S186" i="5"/>
  <c r="T186" i="5"/>
  <c r="Q187" i="5"/>
  <c r="R187" i="5"/>
  <c r="S187" i="5"/>
  <c r="T187" i="5"/>
  <c r="Q188" i="5"/>
  <c r="R188" i="5"/>
  <c r="S188" i="5"/>
  <c r="T188" i="5"/>
  <c r="Q189" i="5"/>
  <c r="R189" i="5"/>
  <c r="S189" i="5"/>
  <c r="T189" i="5"/>
  <c r="Q190" i="5"/>
  <c r="R190" i="5"/>
  <c r="S190" i="5"/>
  <c r="T190" i="5"/>
  <c r="Q191" i="5"/>
  <c r="R191" i="5"/>
  <c r="S191" i="5"/>
  <c r="T191" i="5"/>
  <c r="Q192" i="5"/>
  <c r="R192" i="5"/>
  <c r="S192" i="5"/>
  <c r="T192" i="5"/>
  <c r="Q193" i="5"/>
  <c r="R193" i="5"/>
  <c r="S193" i="5"/>
  <c r="T193" i="5"/>
  <c r="Q194" i="5"/>
  <c r="R194" i="5"/>
  <c r="S194" i="5"/>
  <c r="T194" i="5"/>
  <c r="Q195" i="5"/>
  <c r="R195" i="5"/>
  <c r="S195" i="5"/>
  <c r="T195" i="5"/>
  <c r="Q196" i="5"/>
  <c r="R196" i="5"/>
  <c r="S196" i="5"/>
  <c r="T196" i="5"/>
  <c r="Q197" i="5"/>
  <c r="R197" i="5"/>
  <c r="S197" i="5"/>
  <c r="T197" i="5"/>
  <c r="Q198" i="5"/>
  <c r="R198" i="5"/>
  <c r="S198" i="5"/>
  <c r="T198" i="5"/>
  <c r="Q199" i="5"/>
  <c r="R199" i="5"/>
  <c r="S199" i="5"/>
  <c r="T199" i="5"/>
  <c r="Q200" i="5"/>
  <c r="R200" i="5"/>
  <c r="S200" i="5"/>
  <c r="T200" i="5"/>
  <c r="Q201" i="5"/>
  <c r="R201" i="5"/>
  <c r="S201" i="5"/>
  <c r="T201" i="5"/>
  <c r="Q202" i="5"/>
  <c r="R202" i="5"/>
  <c r="S202" i="5"/>
  <c r="T202" i="5"/>
  <c r="Q203" i="5"/>
  <c r="R203" i="5"/>
  <c r="S203" i="5"/>
  <c r="T203" i="5"/>
  <c r="Q204" i="5"/>
  <c r="R204" i="5"/>
  <c r="S204" i="5"/>
  <c r="T204" i="5"/>
  <c r="Q205" i="5"/>
  <c r="R205" i="5"/>
  <c r="S205" i="5"/>
  <c r="T205" i="5"/>
  <c r="Q206" i="5"/>
  <c r="R206" i="5"/>
  <c r="S206" i="5"/>
  <c r="T206" i="5"/>
  <c r="Q207" i="5"/>
  <c r="R207" i="5"/>
  <c r="S207" i="5"/>
  <c r="T207" i="5"/>
  <c r="Q208" i="5"/>
  <c r="R208" i="5"/>
  <c r="S208" i="5"/>
  <c r="T208" i="5"/>
  <c r="Q209" i="5"/>
  <c r="R209" i="5"/>
  <c r="S209" i="5"/>
  <c r="T209" i="5"/>
  <c r="Q210" i="5"/>
  <c r="R210" i="5"/>
  <c r="S210" i="5"/>
  <c r="T210" i="5"/>
  <c r="Q211" i="5"/>
  <c r="R211" i="5"/>
  <c r="S211" i="5"/>
  <c r="T211" i="5"/>
  <c r="Q212" i="5"/>
  <c r="R212" i="5"/>
  <c r="S212" i="5"/>
  <c r="T212" i="5"/>
  <c r="Q213" i="5"/>
  <c r="R213" i="5"/>
  <c r="S213" i="5"/>
  <c r="T213" i="5"/>
  <c r="Q214" i="5"/>
  <c r="R214" i="5"/>
  <c r="S214" i="5"/>
  <c r="T214" i="5"/>
  <c r="Q215" i="5"/>
  <c r="R215" i="5"/>
  <c r="S215" i="5"/>
  <c r="T215" i="5"/>
  <c r="Q216" i="5"/>
  <c r="R216" i="5"/>
  <c r="S216" i="5"/>
  <c r="T216" i="5"/>
  <c r="Q217" i="5"/>
  <c r="R217" i="5"/>
  <c r="S217" i="5"/>
  <c r="T217" i="5"/>
  <c r="Q218" i="5"/>
  <c r="R218" i="5"/>
  <c r="S218" i="5"/>
  <c r="T218" i="5"/>
  <c r="Q219" i="5"/>
  <c r="R219" i="5"/>
  <c r="S219" i="5"/>
  <c r="T219" i="5"/>
  <c r="Q220" i="5"/>
  <c r="R220" i="5"/>
  <c r="S220" i="5"/>
  <c r="T220" i="5"/>
  <c r="Q221" i="5"/>
  <c r="R221" i="5"/>
  <c r="S221" i="5"/>
  <c r="T221" i="5"/>
  <c r="Q222" i="5"/>
  <c r="R222" i="5"/>
  <c r="S222" i="5"/>
  <c r="T222" i="5"/>
  <c r="Q223" i="5"/>
  <c r="R223" i="5"/>
  <c r="S223" i="5"/>
  <c r="T223" i="5"/>
  <c r="Q224" i="5"/>
  <c r="R224" i="5"/>
  <c r="S224" i="5"/>
  <c r="T224" i="5"/>
  <c r="Q225" i="5"/>
  <c r="R225" i="5"/>
  <c r="S225" i="5"/>
  <c r="T225" i="5"/>
  <c r="Q226" i="5"/>
  <c r="R226" i="5"/>
  <c r="S226" i="5"/>
  <c r="T226" i="5"/>
  <c r="Q227" i="5"/>
  <c r="R227" i="5"/>
  <c r="S227" i="5"/>
  <c r="T227" i="5"/>
  <c r="Q228" i="5"/>
  <c r="R228" i="5"/>
  <c r="S228" i="5"/>
  <c r="T228" i="5"/>
  <c r="Q229" i="5"/>
  <c r="R229" i="5"/>
  <c r="S229" i="5"/>
  <c r="T229" i="5"/>
  <c r="Q230" i="5"/>
  <c r="R230" i="5"/>
  <c r="S230" i="5"/>
  <c r="T230" i="5"/>
  <c r="Q231" i="5"/>
  <c r="R231" i="5"/>
  <c r="S231" i="5"/>
  <c r="T231" i="5"/>
  <c r="Q232" i="5"/>
  <c r="R232" i="5"/>
  <c r="S232" i="5"/>
  <c r="T232" i="5"/>
  <c r="Q233" i="5"/>
  <c r="R233" i="5"/>
  <c r="S233" i="5"/>
  <c r="T233" i="5"/>
  <c r="Q234" i="5"/>
  <c r="R234" i="5"/>
  <c r="S234" i="5"/>
  <c r="T234" i="5"/>
  <c r="Q235" i="5"/>
  <c r="R235" i="5"/>
  <c r="S235" i="5"/>
  <c r="T235" i="5"/>
  <c r="Q236" i="5"/>
  <c r="R236" i="5"/>
  <c r="S236" i="5"/>
  <c r="T236" i="5"/>
  <c r="R108" i="5"/>
  <c r="S108" i="5"/>
  <c r="T108" i="5"/>
  <c r="Q108" i="5"/>
  <c r="O4" i="6" l="1"/>
  <c r="O6" i="6"/>
  <c r="O8" i="6"/>
  <c r="O9" i="6"/>
  <c r="O10" i="6"/>
  <c r="O13" i="6"/>
  <c r="K4" i="6"/>
  <c r="K6" i="6"/>
  <c r="K8" i="6"/>
  <c r="K9" i="6"/>
  <c r="K10" i="6"/>
  <c r="K13" i="6"/>
  <c r="E4" i="6" l="1"/>
  <c r="E5" i="6"/>
  <c r="E6" i="6"/>
  <c r="E7" i="6"/>
  <c r="E8" i="6"/>
  <c r="E9" i="6"/>
  <c r="E10" i="6"/>
  <c r="E11" i="6"/>
  <c r="E12" i="6"/>
  <c r="E13" i="6"/>
  <c r="E14" i="6"/>
  <c r="E15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E5" i="5"/>
  <c r="F8" i="6"/>
  <c r="F15" i="6"/>
  <c r="C4" i="6"/>
  <c r="C5" i="6"/>
  <c r="C6" i="6"/>
  <c r="C7" i="6"/>
  <c r="C8" i="6"/>
  <c r="C9" i="6"/>
  <c r="C10" i="6"/>
  <c r="C11" i="6"/>
  <c r="C12" i="6"/>
  <c r="C13" i="6"/>
  <c r="C14" i="6"/>
  <c r="C15" i="6"/>
  <c r="C3" i="6"/>
  <c r="E11" i="5" l="1"/>
  <c r="F11" i="5"/>
  <c r="K5" i="5"/>
  <c r="Q5" i="5" s="1"/>
  <c r="F5" i="6" s="1"/>
  <c r="E3" i="5"/>
  <c r="H5" i="5"/>
  <c r="E73" i="5"/>
  <c r="K3" i="5" l="1"/>
  <c r="Q3" i="5" s="1"/>
  <c r="F3" i="6" s="1"/>
  <c r="E4" i="5"/>
  <c r="R24" i="5" l="1"/>
  <c r="S24" i="5"/>
  <c r="T24" i="5"/>
  <c r="R31" i="5"/>
  <c r="S31" i="5"/>
  <c r="T31" i="5"/>
  <c r="O34" i="5" l="1"/>
  <c r="N24" i="5"/>
  <c r="N31" i="5"/>
  <c r="P24" i="5"/>
  <c r="P31" i="5"/>
  <c r="O21" i="5"/>
  <c r="S21" i="5" s="1"/>
  <c r="O24" i="5"/>
  <c r="O31" i="5"/>
  <c r="H3" i="6" l="1"/>
  <c r="J5" i="6"/>
  <c r="H5" i="6"/>
  <c r="J8" i="6"/>
  <c r="H8" i="6"/>
  <c r="I15" i="6"/>
  <c r="J15" i="6"/>
  <c r="H15" i="6"/>
  <c r="I6" i="6" l="1"/>
  <c r="H11" i="6"/>
  <c r="H13" i="6" s="1"/>
  <c r="I11" i="6"/>
  <c r="I7" i="6" s="1"/>
  <c r="J11" i="6"/>
  <c r="J14" i="6" s="1"/>
  <c r="J6" i="6"/>
  <c r="I12" i="6"/>
  <c r="H10" i="6"/>
  <c r="H12" i="6"/>
  <c r="J10" i="6"/>
  <c r="I10" i="6"/>
  <c r="J4" i="6"/>
  <c r="H6" i="6"/>
  <c r="H9" i="6"/>
  <c r="H4" i="6"/>
  <c r="I4" i="6"/>
  <c r="H7" i="6"/>
  <c r="J12" i="6"/>
  <c r="H14" i="6"/>
  <c r="U4" i="5"/>
  <c r="V4" i="5"/>
  <c r="X4" i="5"/>
  <c r="U5" i="5"/>
  <c r="V5" i="5"/>
  <c r="X5" i="5"/>
  <c r="U6" i="5"/>
  <c r="V6" i="5"/>
  <c r="X6" i="5"/>
  <c r="U7" i="5"/>
  <c r="V7" i="5"/>
  <c r="T8" i="5"/>
  <c r="U8" i="5"/>
  <c r="V8" i="5"/>
  <c r="W8" i="5"/>
  <c r="X8" i="5"/>
  <c r="U9" i="5"/>
  <c r="V9" i="5"/>
  <c r="U10" i="5"/>
  <c r="V10" i="5"/>
  <c r="X10" i="5"/>
  <c r="U11" i="5"/>
  <c r="V11" i="5"/>
  <c r="U12" i="5"/>
  <c r="V12" i="5"/>
  <c r="X12" i="5"/>
  <c r="U13" i="5"/>
  <c r="V13" i="5"/>
  <c r="U14" i="5"/>
  <c r="V14" i="5"/>
  <c r="T15" i="5"/>
  <c r="U15" i="5"/>
  <c r="V15" i="5"/>
  <c r="W15" i="5"/>
  <c r="X15" i="5"/>
  <c r="U3" i="5"/>
  <c r="V3" i="5"/>
  <c r="X3" i="5"/>
  <c r="I14" i="6" l="1"/>
  <c r="I9" i="6"/>
  <c r="I13" i="6"/>
  <c r="J7" i="6"/>
  <c r="J9" i="6"/>
  <c r="J13" i="6"/>
  <c r="Q15" i="5"/>
  <c r="B3" i="6" l="1"/>
  <c r="B15" i="6"/>
  <c r="B4" i="6"/>
  <c r="B5" i="6"/>
  <c r="B6" i="6"/>
  <c r="B7" i="6"/>
  <c r="B8" i="6"/>
  <c r="B9" i="6"/>
  <c r="B10" i="6"/>
  <c r="B11" i="6"/>
  <c r="B12" i="6"/>
  <c r="B13" i="6"/>
  <c r="B14" i="6"/>
  <c r="L5" i="5" l="1"/>
  <c r="L4" i="5" s="1"/>
  <c r="L15" i="5"/>
  <c r="L10" i="5" s="1"/>
  <c r="C102" i="5"/>
  <c r="C101" i="5"/>
  <c r="F8" i="5" s="1"/>
  <c r="C100" i="5"/>
  <c r="C95" i="5"/>
  <c r="B96" i="5"/>
  <c r="C96" i="5" s="1"/>
  <c r="F5" i="5" s="1"/>
  <c r="B94" i="5"/>
  <c r="C94" i="5" s="1"/>
  <c r="F15" i="5" s="1"/>
  <c r="R15" i="5" l="1"/>
  <c r="G15" i="6" s="1"/>
  <c r="R5" i="5"/>
  <c r="G5" i="6" s="1"/>
  <c r="R8" i="5"/>
  <c r="G8" i="6" s="1"/>
  <c r="F10" i="5"/>
  <c r="F4" i="5"/>
  <c r="F6" i="5"/>
  <c r="F12" i="5"/>
  <c r="F3" i="5"/>
  <c r="H3" i="5"/>
  <c r="L11" i="5"/>
  <c r="L9" i="5" s="1"/>
  <c r="L6" i="5"/>
  <c r="L3" i="5"/>
  <c r="L12" i="5"/>
  <c r="L13" i="5"/>
  <c r="L14" i="5"/>
  <c r="R3" i="5" l="1"/>
  <c r="G3" i="6" s="1"/>
  <c r="R12" i="5"/>
  <c r="G12" i="6" s="1"/>
  <c r="R4" i="5"/>
  <c r="G4" i="6" s="1"/>
  <c r="F9" i="5"/>
  <c r="R11" i="5"/>
  <c r="R6" i="5"/>
  <c r="G6" i="6" s="1"/>
  <c r="R10" i="5"/>
  <c r="G10" i="6" s="1"/>
  <c r="F13" i="5"/>
  <c r="F14" i="5"/>
  <c r="F7" i="5"/>
  <c r="L7" i="5"/>
  <c r="G11" i="6" l="1"/>
  <c r="X11" i="5"/>
  <c r="R14" i="5"/>
  <c r="R13" i="5"/>
  <c r="R7" i="5"/>
  <c r="R9" i="5"/>
  <c r="B5" i="5"/>
  <c r="H8" i="5"/>
  <c r="B8" i="5"/>
  <c r="N8" i="5" s="1"/>
  <c r="H15" i="5"/>
  <c r="B15" i="5"/>
  <c r="N15" i="5" s="1"/>
  <c r="J5" i="5"/>
  <c r="F73" i="5"/>
  <c r="C69" i="5"/>
  <c r="C70" i="5"/>
  <c r="C71" i="5"/>
  <c r="C72" i="5"/>
  <c r="C74" i="5"/>
  <c r="E8" i="5" s="1"/>
  <c r="C68" i="5"/>
  <c r="D5" i="5"/>
  <c r="P5" i="5" s="1"/>
  <c r="D15" i="5"/>
  <c r="J15" i="5"/>
  <c r="J8" i="5"/>
  <c r="D8" i="5"/>
  <c r="G47" i="5"/>
  <c r="G48" i="5"/>
  <c r="G49" i="5"/>
  <c r="G50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C26" i="5"/>
  <c r="B26" i="5"/>
  <c r="E20" i="5"/>
  <c r="F20" i="5"/>
  <c r="E21" i="5"/>
  <c r="F21" i="5"/>
  <c r="E22" i="5"/>
  <c r="F22" i="5"/>
  <c r="E23" i="5"/>
  <c r="F23" i="5"/>
  <c r="E24" i="5"/>
  <c r="F24" i="5"/>
  <c r="E39" i="5"/>
  <c r="F39" i="5"/>
  <c r="E40" i="5"/>
  <c r="F40" i="5"/>
  <c r="E41" i="5"/>
  <c r="F41" i="5"/>
  <c r="E42" i="5"/>
  <c r="F42" i="5"/>
  <c r="E43" i="5"/>
  <c r="F43" i="5"/>
  <c r="E44" i="5"/>
  <c r="F44" i="5"/>
  <c r="F19" i="5"/>
  <c r="E19" i="5"/>
  <c r="G13" i="6" l="1"/>
  <c r="X13" i="5"/>
  <c r="G9" i="6"/>
  <c r="X9" i="5"/>
  <c r="G14" i="6"/>
  <c r="X14" i="5"/>
  <c r="G7" i="6"/>
  <c r="X7" i="5"/>
  <c r="E32" i="5"/>
  <c r="E28" i="5"/>
  <c r="B11" i="5"/>
  <c r="E29" i="5"/>
  <c r="E37" i="5"/>
  <c r="E36" i="5"/>
  <c r="F35" i="5"/>
  <c r="F31" i="5"/>
  <c r="F27" i="5"/>
  <c r="E35" i="5"/>
  <c r="E31" i="5"/>
  <c r="E27" i="5"/>
  <c r="P15" i="5"/>
  <c r="E26" i="5"/>
  <c r="F34" i="5"/>
  <c r="F30" i="5"/>
  <c r="B6" i="5"/>
  <c r="N5" i="5"/>
  <c r="F26" i="5"/>
  <c r="E34" i="5"/>
  <c r="E30" i="5"/>
  <c r="B3" i="5"/>
  <c r="N3" i="5" s="1"/>
  <c r="F37" i="5"/>
  <c r="F33" i="5"/>
  <c r="F29" i="5"/>
  <c r="Q8" i="5"/>
  <c r="O27" i="5"/>
  <c r="S27" i="5" s="1"/>
  <c r="E33" i="5"/>
  <c r="F36" i="5"/>
  <c r="F32" i="5"/>
  <c r="F28" i="5"/>
  <c r="P8" i="5"/>
  <c r="B12" i="5"/>
  <c r="H10" i="5"/>
  <c r="H11" i="5"/>
  <c r="H12" i="5"/>
  <c r="J10" i="5"/>
  <c r="J11" i="5"/>
  <c r="J12" i="5"/>
  <c r="J3" i="5"/>
  <c r="J6" i="5"/>
  <c r="J4" i="5"/>
  <c r="H6" i="5"/>
  <c r="H4" i="5"/>
  <c r="I8" i="5"/>
  <c r="B10" i="5"/>
  <c r="B4" i="5"/>
  <c r="D6" i="5"/>
  <c r="P6" i="5" s="1"/>
  <c r="E12" i="5"/>
  <c r="O28" i="5" s="1"/>
  <c r="S28" i="5" s="1"/>
  <c r="I5" i="5"/>
  <c r="C5" i="5"/>
  <c r="D3" i="5"/>
  <c r="P3" i="5" s="1"/>
  <c r="D4" i="5"/>
  <c r="P4" i="5" s="1"/>
  <c r="D10" i="5"/>
  <c r="P10" i="5" s="1"/>
  <c r="D12" i="5"/>
  <c r="D11" i="5"/>
  <c r="T5" i="5" l="1"/>
  <c r="N10" i="5"/>
  <c r="T3" i="5"/>
  <c r="H9" i="5"/>
  <c r="E9" i="5"/>
  <c r="O25" i="5" s="1"/>
  <c r="S25" i="5" s="1"/>
  <c r="B13" i="5"/>
  <c r="N11" i="5"/>
  <c r="P11" i="5"/>
  <c r="E7" i="5"/>
  <c r="O23" i="5" s="1"/>
  <c r="S23" i="5" s="1"/>
  <c r="E14" i="5"/>
  <c r="O30" i="5" s="1"/>
  <c r="S30" i="5" s="1"/>
  <c r="O19" i="5"/>
  <c r="S19" i="5" s="1"/>
  <c r="O20" i="5"/>
  <c r="S20" i="5" s="1"/>
  <c r="E6" i="5"/>
  <c r="O22" i="5" s="1"/>
  <c r="S22" i="5" s="1"/>
  <c r="C3" i="5"/>
  <c r="O5" i="5"/>
  <c r="B14" i="5"/>
  <c r="N6" i="5"/>
  <c r="C15" i="5"/>
  <c r="O15" i="5" s="1"/>
  <c r="P12" i="5"/>
  <c r="B9" i="5"/>
  <c r="N9" i="5" s="1"/>
  <c r="N12" i="5"/>
  <c r="C8" i="5"/>
  <c r="O8" i="5" s="1"/>
  <c r="B7" i="5"/>
  <c r="I15" i="5"/>
  <c r="N4" i="5"/>
  <c r="E13" i="5"/>
  <c r="O29" i="5" s="1"/>
  <c r="S29" i="5" s="1"/>
  <c r="J9" i="5"/>
  <c r="J13" i="5"/>
  <c r="J7" i="5"/>
  <c r="J14" i="5"/>
  <c r="I3" i="5"/>
  <c r="I6" i="5"/>
  <c r="I12" i="5"/>
  <c r="I4" i="5"/>
  <c r="K10" i="5"/>
  <c r="K12" i="5"/>
  <c r="Q12" i="5" s="1"/>
  <c r="F12" i="6" s="1"/>
  <c r="K4" i="5"/>
  <c r="Q4" i="5" s="1"/>
  <c r="F4" i="6" s="1"/>
  <c r="K6" i="5"/>
  <c r="K11" i="5"/>
  <c r="Q11" i="5" s="1"/>
  <c r="F11" i="6" s="1"/>
  <c r="I11" i="5"/>
  <c r="I10" i="5"/>
  <c r="H14" i="5"/>
  <c r="H13" i="5"/>
  <c r="H7" i="5"/>
  <c r="C6" i="5"/>
  <c r="O6" i="5" s="1"/>
  <c r="C12" i="5"/>
  <c r="O12" i="5" s="1"/>
  <c r="C4" i="5"/>
  <c r="C11" i="5"/>
  <c r="E10" i="5"/>
  <c r="O26" i="5" s="1"/>
  <c r="S26" i="5" s="1"/>
  <c r="C10" i="5"/>
  <c r="O10" i="5" s="1"/>
  <c r="D7" i="5"/>
  <c r="P7" i="5" s="1"/>
  <c r="D14" i="5"/>
  <c r="D13" i="5"/>
  <c r="P13" i="5" s="1"/>
  <c r="D9" i="5"/>
  <c r="P9" i="5" s="1"/>
  <c r="N7" i="5" l="1"/>
  <c r="T10" i="5"/>
  <c r="T13" i="5"/>
  <c r="T11" i="5"/>
  <c r="T7" i="5"/>
  <c r="T14" i="5"/>
  <c r="T4" i="5"/>
  <c r="T9" i="5"/>
  <c r="T6" i="5"/>
  <c r="T12" i="5"/>
  <c r="Q6" i="5"/>
  <c r="P27" i="5"/>
  <c r="T27" i="5" s="1"/>
  <c r="W11" i="5"/>
  <c r="N27" i="5" s="1"/>
  <c r="R27" i="5" s="1"/>
  <c r="P20" i="5"/>
  <c r="T20" i="5" s="1"/>
  <c r="W4" i="5"/>
  <c r="N20" i="5" s="1"/>
  <c r="R20" i="5" s="1"/>
  <c r="P28" i="5"/>
  <c r="T28" i="5" s="1"/>
  <c r="W12" i="5"/>
  <c r="N28" i="5" s="1"/>
  <c r="R28" i="5" s="1"/>
  <c r="P21" i="5"/>
  <c r="T21" i="5" s="1"/>
  <c r="W5" i="5"/>
  <c r="N21" i="5" s="1"/>
  <c r="R21" i="5" s="1"/>
  <c r="P14" i="5"/>
  <c r="N13" i="5"/>
  <c r="O3" i="5"/>
  <c r="N14" i="5"/>
  <c r="Q10" i="5"/>
  <c r="F10" i="6" s="1"/>
  <c r="C9" i="5"/>
  <c r="O9" i="5" s="1"/>
  <c r="O11" i="5"/>
  <c r="C7" i="5"/>
  <c r="O7" i="5" s="1"/>
  <c r="O4" i="5"/>
  <c r="I9" i="5"/>
  <c r="I13" i="5"/>
  <c r="I14" i="5"/>
  <c r="I7" i="5"/>
  <c r="K9" i="5"/>
  <c r="Q9" i="5" s="1"/>
  <c r="F9" i="6" s="1"/>
  <c r="K14" i="5"/>
  <c r="Q14" i="5" s="1"/>
  <c r="F14" i="6" s="1"/>
  <c r="K7" i="5"/>
  <c r="Q7" i="5" s="1"/>
  <c r="F7" i="6" s="1"/>
  <c r="K13" i="5"/>
  <c r="Q13" i="5" s="1"/>
  <c r="F13" i="6" s="1"/>
  <c r="C13" i="5"/>
  <c r="O13" i="5" s="1"/>
  <c r="C14" i="5"/>
  <c r="D15" i="2"/>
  <c r="C15" i="2"/>
  <c r="C7" i="2"/>
  <c r="D7" i="2"/>
  <c r="P22" i="5" l="1"/>
  <c r="T22" i="5" s="1"/>
  <c r="F6" i="6"/>
  <c r="W6" i="5"/>
  <c r="N22" i="5" s="1"/>
  <c r="R22" i="5" s="1"/>
  <c r="P25" i="5"/>
  <c r="T25" i="5" s="1"/>
  <c r="W9" i="5"/>
  <c r="N25" i="5" s="1"/>
  <c r="R25" i="5" s="1"/>
  <c r="P26" i="5"/>
  <c r="T26" i="5" s="1"/>
  <c r="W10" i="5"/>
  <c r="N26" i="5" s="1"/>
  <c r="R26" i="5" s="1"/>
  <c r="P19" i="5"/>
  <c r="T19" i="5" s="1"/>
  <c r="W3" i="5"/>
  <c r="N19" i="5" s="1"/>
  <c r="R19" i="5" s="1"/>
  <c r="P23" i="5"/>
  <c r="T23" i="5" s="1"/>
  <c r="W7" i="5"/>
  <c r="N23" i="5" s="1"/>
  <c r="R23" i="5" s="1"/>
  <c r="P30" i="5"/>
  <c r="T30" i="5" s="1"/>
  <c r="W14" i="5"/>
  <c r="N30" i="5" s="1"/>
  <c r="R30" i="5" s="1"/>
  <c r="P29" i="5"/>
  <c r="T29" i="5" s="1"/>
  <c r="W13" i="5"/>
  <c r="N29" i="5" s="1"/>
  <c r="R29" i="5" s="1"/>
  <c r="O14" i="5"/>
  <c r="M8" i="6" l="1"/>
  <c r="L8" i="6"/>
  <c r="P8" i="6"/>
  <c r="R8" i="6"/>
  <c r="Q8" i="6" l="1"/>
  <c r="N8" i="6"/>
  <c r="R5" i="6" l="1"/>
  <c r="N5" i="6"/>
  <c r="M5" i="6"/>
  <c r="L5" i="6"/>
  <c r="P5" i="6"/>
  <c r="K5" i="6"/>
  <c r="O5" i="6"/>
  <c r="Q5" i="6" l="1"/>
  <c r="R3" i="6"/>
  <c r="N3" i="6"/>
  <c r="P3" i="6"/>
  <c r="L3" i="6"/>
  <c r="O3" i="6"/>
  <c r="M3" i="6"/>
  <c r="Q3" i="6" l="1"/>
  <c r="K3" i="6" l="1"/>
  <c r="N12" i="6" l="1"/>
  <c r="R12" i="6"/>
  <c r="L11" i="6"/>
  <c r="P14" i="6"/>
  <c r="R4" i="6"/>
  <c r="N4" i="6"/>
  <c r="M11" i="6"/>
  <c r="M4" i="6"/>
  <c r="N11" i="6"/>
  <c r="R11" i="6"/>
  <c r="P12" i="6"/>
  <c r="L12" i="6"/>
  <c r="M12" i="6"/>
  <c r="L4" i="6"/>
  <c r="P4" i="6"/>
  <c r="Q11" i="6" l="1"/>
  <c r="Q4" i="6"/>
  <c r="Q12" i="6"/>
  <c r="P11" i="6"/>
  <c r="N7" i="6"/>
  <c r="R7" i="6"/>
  <c r="Q9" i="6"/>
  <c r="M9" i="6"/>
  <c r="M10" i="6"/>
  <c r="L9" i="6"/>
  <c r="M7" i="6"/>
  <c r="Q7" i="6"/>
  <c r="N9" i="6"/>
  <c r="Q14" i="6"/>
  <c r="P7" i="6"/>
  <c r="L7" i="6"/>
  <c r="Q13" i="6"/>
  <c r="M13" i="6"/>
  <c r="O7" i="6"/>
  <c r="N13" i="6"/>
  <c r="L10" i="6"/>
  <c r="P10" i="6"/>
  <c r="N10" i="6"/>
  <c r="L13" i="6"/>
  <c r="R14" i="6"/>
  <c r="N14" i="6"/>
  <c r="R9" i="6" l="1"/>
  <c r="Q10" i="6"/>
  <c r="P13" i="6"/>
  <c r="P9" i="6"/>
  <c r="R13" i="6"/>
  <c r="R10" i="6"/>
  <c r="K7" i="6"/>
  <c r="Q6" i="6"/>
  <c r="M6" i="6"/>
  <c r="N6" i="6"/>
  <c r="L6" i="6"/>
  <c r="M14" i="6"/>
  <c r="L14" i="6"/>
  <c r="P15" i="6"/>
  <c r="N15" i="6"/>
  <c r="M15" i="6"/>
  <c r="P6" i="6" l="1"/>
  <c r="R6" i="6"/>
  <c r="Q15" i="6"/>
  <c r="R15" i="6"/>
  <c r="K14" i="6"/>
  <c r="K11" i="6"/>
  <c r="K12" i="6"/>
  <c r="L15" i="6"/>
  <c r="O12" i="6" l="1"/>
  <c r="O15" i="6"/>
  <c r="K15" i="6"/>
  <c r="O14" i="6"/>
  <c r="O11" i="6"/>
</calcChain>
</file>

<file path=xl/sharedStrings.xml><?xml version="1.0" encoding="utf-8"?>
<sst xmlns="http://schemas.openxmlformats.org/spreadsheetml/2006/main" count="293" uniqueCount="143">
  <si>
    <t>http://www00.unibg.it/dati/corsi/60037/60434-2.Classificazione%20lezione%202%20GEO.pdf</t>
  </si>
  <si>
    <t>https://www.geostru.com/Help_Online_2015/MDC/IT/index.html?database_caratteristiche_fisic.htm</t>
  </si>
  <si>
    <t>n</t>
  </si>
  <si>
    <t>gamma</t>
  </si>
  <si>
    <t>min</t>
  </si>
  <si>
    <t>max</t>
  </si>
  <si>
    <t>SOIL</t>
  </si>
  <si>
    <t>ROCK</t>
  </si>
  <si>
    <t>fi</t>
  </si>
  <si>
    <t>c</t>
  </si>
  <si>
    <t>%</t>
  </si>
  <si>
    <t>kN/m3</t>
  </si>
  <si>
    <t>°</t>
  </si>
  <si>
    <t xml:space="preserve">kPa </t>
  </si>
  <si>
    <t>k</t>
  </si>
  <si>
    <t>m/s</t>
  </si>
  <si>
    <t>https://www.researchgate.net/figure/Basic-friction-angles-for-various-unweathered-rocks-obtained-from-flat-and-residual_tbl1_255628379</t>
  </si>
  <si>
    <t>https://www.researchgate.net/figure/Geotechnical-parameters-unit-weight-friction-angle-and-effective-cohesion_tbl1_45107952</t>
  </si>
  <si>
    <t>https://www.eoas.ubc.ca/ubcgif/iag/foundations/properties/density.htm</t>
  </si>
  <si>
    <t>https://wgnhs.wisc.edu/maps-data/data/rock-properties/understanding-porosity-density/</t>
  </si>
  <si>
    <t>https://www.researchgate.net/figure/Permeability-coefficient-of-foundation-materials_tbl1_259996993</t>
  </si>
  <si>
    <t>https://www.semanticscholar.org/paper/Simultaneous-Effects-of-Joint-Spacing-and-on-TBM-in-Bejari-Hamidi/da446276cdd631d59c4edd3c4e694dd17af1b6c5</t>
  </si>
  <si>
    <t>joint dist.</t>
  </si>
  <si>
    <t>m</t>
  </si>
  <si>
    <t>JRC</t>
  </si>
  <si>
    <t>fc</t>
  </si>
  <si>
    <t>http://www.iring.ca/_Tutorials/module_7_2_2_print.html</t>
  </si>
  <si>
    <t>Mpa</t>
  </si>
  <si>
    <t>https://www.researchgate.net/figure/Point-load-testing-results-for-all-rocks-at-various-temperature-values_tbl1_309041947</t>
  </si>
  <si>
    <t>Is,50</t>
  </si>
  <si>
    <t>MPa</t>
  </si>
  <si>
    <t>https://www.researchgate.net/publication/271923681_Determination_of_Joint_Roughness_Coefficients_Using_Roughness_Parameters</t>
  </si>
  <si>
    <t>-</t>
  </si>
  <si>
    <t>http://www-3.unipv.it/webidra/materialeDidattico/fugazza/sistBacini/Suolo.pdf</t>
  </si>
  <si>
    <t>https://people.unica.it/stefaniadapelo/files/2017/03/Meccanica-delle-rocce_caratterizzazione_2017.pdf</t>
  </si>
  <si>
    <t>clay (heavy)</t>
  </si>
  <si>
    <t>silty clay</t>
  </si>
  <si>
    <t>clay</t>
  </si>
  <si>
    <t>silty clay loam</t>
  </si>
  <si>
    <t>clay loam</t>
  </si>
  <si>
    <t>silt</t>
  </si>
  <si>
    <t>silt loam</t>
  </si>
  <si>
    <t>sandy clay</t>
  </si>
  <si>
    <t>loam</t>
  </si>
  <si>
    <t>sandy loam</t>
  </si>
  <si>
    <t>loamy sand</t>
  </si>
  <si>
    <t>sand</t>
  </si>
  <si>
    <t>sandy clay loam</t>
  </si>
  <si>
    <t>Sand, loose and uniform</t>
  </si>
  <si>
    <t>Sand, dense and uniform</t>
  </si>
  <si>
    <t>sand, loose and well graded</t>
  </si>
  <si>
    <t>Sand, dense and well graded</t>
  </si>
  <si>
    <t>glacial clay, soft</t>
  </si>
  <si>
    <t>glacial clay, stiff</t>
  </si>
  <si>
    <t>Sand; clean, uniform, fine or medium</t>
  </si>
  <si>
    <t>Silt; uniform, inorganic</t>
  </si>
  <si>
    <t>Silty Sand</t>
  </si>
  <si>
    <t>Sand; Well-graded</t>
  </si>
  <si>
    <t>Silty Sand and Gravel</t>
  </si>
  <si>
    <t>Sandy or Silty Clay</t>
  </si>
  <si>
    <t>Silty Clay with Gravel; uniform</t>
  </si>
  <si>
    <t>Well-graded Gravel, Sand, Silt and Clay</t>
  </si>
  <si>
    <t>Clay</t>
  </si>
  <si>
    <t>Colloidal Clay</t>
  </si>
  <si>
    <t>Organic Silt</t>
  </si>
  <si>
    <t>Organic Clay</t>
  </si>
  <si>
    <t>gam</t>
  </si>
  <si>
    <t>gam_sat</t>
  </si>
  <si>
    <t>silty sand</t>
  </si>
  <si>
    <t>http://www.geotechnicalinfo.com/soil_unit_weight.html</t>
  </si>
  <si>
    <t>GHIAIA</t>
  </si>
  <si>
    <t>SABBIA</t>
  </si>
  <si>
    <t>LIMO</t>
  </si>
  <si>
    <t>ARGILLA</t>
  </si>
  <si>
    <t>gamm</t>
  </si>
  <si>
    <t>Terreno</t>
  </si>
  <si>
    <t>Valore</t>
  </si>
  <si>
    <t>minimo</t>
  </si>
  <si>
    <t>massimo</t>
  </si>
  <si>
    <t>Ghiaia compatta</t>
  </si>
  <si>
    <t>Ghiaia sciolta</t>
  </si>
  <si>
    <t>Sabbia compatta</t>
  </si>
  <si>
    <t>Sabbia sciolta</t>
  </si>
  <si>
    <t>Marna sabbiosa</t>
  </si>
  <si>
    <t>Marna grassa</t>
  </si>
  <si>
    <t>Argilla grassa</t>
  </si>
  <si>
    <t>Argilla sabbiosa</t>
  </si>
  <si>
    <t>Limo</t>
  </si>
  <si>
    <t>Argilla molle</t>
  </si>
  <si>
    <t>Argilla plastica</t>
  </si>
  <si>
    <t>Argilla semisolida</t>
  </si>
  <si>
    <t>Argilla solida</t>
  </si>
  <si>
    <t>Argilla tenace</t>
  </si>
  <si>
    <t>2÷10</t>
  </si>
  <si>
    <t>Limo compatto</t>
  </si>
  <si>
    <t>kg/cm2</t>
  </si>
  <si>
    <t>kPa</t>
  </si>
  <si>
    <t>192 ÷981</t>
  </si>
  <si>
    <t>silty loam</t>
  </si>
  <si>
    <t>sabbia grossa</t>
  </si>
  <si>
    <t>sabbia fine</t>
  </si>
  <si>
    <t>sabbia media</t>
  </si>
  <si>
    <t>argilla</t>
  </si>
  <si>
    <t>sabbia</t>
  </si>
  <si>
    <t>limo</t>
  </si>
  <si>
    <t>sabb</t>
  </si>
  <si>
    <t>arg</t>
  </si>
  <si>
    <t>lim</t>
  </si>
  <si>
    <t>mm/h</t>
  </si>
  <si>
    <t>http://www.fao.org/tempref/FI/CDrom/FAO_Training/FAO_Training/General/x6706e/x6706e09.htm</t>
  </si>
  <si>
    <t>SOIL TYPE</t>
  </si>
  <si>
    <t>n [%]</t>
  </si>
  <si>
    <t>γ [kN/m3]</t>
  </si>
  <si>
    <t>φ [°]</t>
  </si>
  <si>
    <t>c [kPa]</t>
  </si>
  <si>
    <t>Soil Type</t>
  </si>
  <si>
    <t>Soil ID</t>
  </si>
  <si>
    <t>rock</t>
  </si>
  <si>
    <t>f0</t>
  </si>
  <si>
    <t>1/h</t>
  </si>
  <si>
    <t>Gruppo</t>
  </si>
  <si>
    <t>A</t>
  </si>
  <si>
    <t>B</t>
  </si>
  <si>
    <t>C</t>
  </si>
  <si>
    <t>D</t>
  </si>
  <si>
    <t>f0 [mm/h]</t>
  </si>
  <si>
    <t>kf [1/h]</t>
  </si>
  <si>
    <t>kt [m/s]</t>
  </si>
  <si>
    <t>fc [mm/h]</t>
  </si>
  <si>
    <t>c/tg(fi)</t>
  </si>
  <si>
    <t>med</t>
  </si>
  <si>
    <t>H</t>
  </si>
  <si>
    <t>t-beta15</t>
  </si>
  <si>
    <t>t-beta30</t>
  </si>
  <si>
    <t>t-beta45</t>
  </si>
  <si>
    <t>t-beta60</t>
  </si>
  <si>
    <t>l-beta15</t>
  </si>
  <si>
    <t>l-beta30</t>
  </si>
  <si>
    <t>l-beta45</t>
  </si>
  <si>
    <t>l-beta60</t>
  </si>
  <si>
    <t>molto perm</t>
  </si>
  <si>
    <t>med perm</t>
  </si>
  <si>
    <t>scars 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</si>
</sst>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E+00"/>
    <numFmt numFmtId="165" formatCode="0.0"/>
    <numFmt numFmtId="166" formatCode="0.0E+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 applyAlignment="1">
      <alignment horizontal="left"/>
    </xf>
    <xf numFmtId="0" fontId="1" fillId="0" borderId="2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7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16" fontId="0" fillId="0" borderId="0" xfId="0" applyNumberFormat="1"/>
    <xf numFmtId="0" fontId="0" fillId="0" borderId="18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5" xfId="1" applyFont="1" applyBorder="1"/>
    <xf numFmtId="0" fontId="2" fillId="0" borderId="5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3" fillId="0" borderId="0" xfId="1" applyFont="1" applyBorder="1"/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1" xfId="0" applyFont="1" applyBorder="1"/>
    <xf numFmtId="2" fontId="2" fillId="0" borderId="11" xfId="0" applyNumberFormat="1" applyFont="1" applyBorder="1" applyAlignment="1">
      <alignment horizontal="center"/>
    </xf>
    <xf numFmtId="0" fontId="2" fillId="0" borderId="12" xfId="0" applyFont="1" applyBorder="1"/>
    <xf numFmtId="0" fontId="3" fillId="0" borderId="0" xfId="1" applyFont="1"/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/>
    </xf>
    <xf numFmtId="0" fontId="1" fillId="0" borderId="4" xfId="1" applyBorder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0" fillId="0" borderId="18" xfId="0" applyBorder="1"/>
    <xf numFmtId="0" fontId="1" fillId="0" borderId="4" xfId="1" applyBorder="1"/>
    <xf numFmtId="11" fontId="4" fillId="0" borderId="1" xfId="0" applyNumberFormat="1" applyFont="1" applyBorder="1" applyAlignment="1">
      <alignment horizontal="center" vertical="center"/>
    </xf>
    <xf numFmtId="11" fontId="0" fillId="0" borderId="0" xfId="0" applyNumberFormat="1" applyBorder="1"/>
    <xf numFmtId="166" fontId="0" fillId="0" borderId="1" xfId="0" applyNumberForma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left"/>
    </xf>
    <xf numFmtId="0" fontId="5" fillId="0" borderId="25" xfId="0" applyFont="1" applyBorder="1" applyAlignment="1">
      <alignment horizontal="center"/>
    </xf>
    <xf numFmtId="0" fontId="0" fillId="0" borderId="16" xfId="0" applyBorder="1" applyAlignment="1">
      <alignment horizontal="left"/>
    </xf>
    <xf numFmtId="1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Reference!$Q$103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Reference!$Q$108:$Q$236</c:f>
              <c:numCache>
                <c:formatCode>General</c:formatCode>
                <c:ptCount val="129"/>
                <c:pt idx="0">
                  <c:v>244.56818064623317</c:v>
                </c:pt>
                <c:pt idx="1">
                  <c:v>239.27047339015709</c:v>
                </c:pt>
                <c:pt idx="2">
                  <c:v>234.10356699228163</c:v>
                </c:pt>
                <c:pt idx="3">
                  <c:v>229.0642319679111</c:v>
                </c:pt>
                <c:pt idx="4">
                  <c:v>224.14931856861099</c:v>
                </c:pt>
                <c:pt idx="5">
                  <c:v>219.3557548135127</c:v>
                </c:pt>
                <c:pt idx="6">
                  <c:v>214.68054456922562</c:v>
                </c:pt>
                <c:pt idx="7">
                  <c:v>210.12076567715599</c:v>
                </c:pt>
                <c:pt idx="8">
                  <c:v>205.67356812706296</c:v>
                </c:pt>
                <c:pt idx="9">
                  <c:v>201.33617227570906</c:v>
                </c:pt>
                <c:pt idx="10">
                  <c:v>197.10586710949306</c:v>
                </c:pt>
                <c:pt idx="11">
                  <c:v>192.98000854997792</c:v>
                </c:pt>
                <c:pt idx="12">
                  <c:v>188.95601780125588</c:v>
                </c:pt>
                <c:pt idx="13">
                  <c:v>185.03137973811695</c:v>
                </c:pt>
                <c:pt idx="14">
                  <c:v>181.20364133401389</c:v>
                </c:pt>
                <c:pt idx="15">
                  <c:v>177.47041012784067</c:v>
                </c:pt>
                <c:pt idx="16">
                  <c:v>173.82935272856639</c:v>
                </c:pt>
                <c:pt idx="17">
                  <c:v>170.27819335679013</c:v>
                </c:pt>
                <c:pt idx="18">
                  <c:v>166.81471242230444</c:v>
                </c:pt>
                <c:pt idx="19">
                  <c:v>163.43674513677936</c:v>
                </c:pt>
                <c:pt idx="20">
                  <c:v>160.14218016069933</c:v>
                </c:pt>
                <c:pt idx="21">
                  <c:v>156.92895828370706</c:v>
                </c:pt>
                <c:pt idx="22">
                  <c:v>153.79507113753027</c:v>
                </c:pt>
                <c:pt idx="23">
                  <c:v>150.7385599406858</c:v>
                </c:pt>
                <c:pt idx="24">
                  <c:v>147.75751427417788</c:v>
                </c:pt>
                <c:pt idx="25">
                  <c:v>144.85007088742353</c:v>
                </c:pt>
                <c:pt idx="26">
                  <c:v>142.01441253366082</c:v>
                </c:pt>
                <c:pt idx="27">
                  <c:v>139.24876683411009</c:v>
                </c:pt>
                <c:pt idx="28">
                  <c:v>136.55140517017975</c:v>
                </c:pt>
                <c:pt idx="29">
                  <c:v>133.92064160302323</c:v>
                </c:pt>
                <c:pt idx="30">
                  <c:v>131.35483181977247</c:v>
                </c:pt>
                <c:pt idx="31">
                  <c:v>128.85237210578873</c:v>
                </c:pt>
                <c:pt idx="32">
                  <c:v>126.41169834228883</c:v>
                </c:pt>
                <c:pt idx="33">
                  <c:v>124.03128502871988</c:v>
                </c:pt>
                <c:pt idx="34">
                  <c:v>121.70964432927184</c:v>
                </c:pt>
                <c:pt idx="35">
                  <c:v>119.44532514293181</c:v>
                </c:pt>
                <c:pt idx="36">
                  <c:v>117.23691219649842</c:v>
                </c:pt>
                <c:pt idx="37">
                  <c:v>115.08302515999027</c:v>
                </c:pt>
                <c:pt idx="38">
                  <c:v>112.98231778389453</c:v>
                </c:pt>
                <c:pt idx="39">
                  <c:v>110.93347705771731</c:v>
                </c:pt>
                <c:pt idx="40">
                  <c:v>108.93522238930936</c:v>
                </c:pt>
                <c:pt idx="41">
                  <c:v>106.98630480445418</c:v>
                </c:pt>
                <c:pt idx="42">
                  <c:v>105.08550616621862</c:v>
                </c:pt>
                <c:pt idx="43">
                  <c:v>103.2316384135775</c:v>
                </c:pt>
                <c:pt idx="44">
                  <c:v>101.42354281883695</c:v>
                </c:pt>
                <c:pt idx="45">
                  <c:v>99.660089263391725</c:v>
                </c:pt>
                <c:pt idx="46">
                  <c:v>97.940175531364375</c:v>
                </c:pt>
                <c:pt idx="47">
                  <c:v>96.262726620684475</c:v>
                </c:pt>
                <c:pt idx="48">
                  <c:v>94.626694071177212</c:v>
                </c:pt>
                <c:pt idx="49">
                  <c:v>93.031055309241822</c:v>
                </c:pt>
                <c:pt idx="50">
                  <c:v>89.956994467482772</c:v>
                </c:pt>
                <c:pt idx="51">
                  <c:v>87.032857342096122</c:v>
                </c:pt>
                <c:pt idx="52">
                  <c:v>84.251332067153427</c:v>
                </c:pt>
                <c:pt idx="53">
                  <c:v>81.605463380635484</c:v>
                </c:pt>
                <c:pt idx="54">
                  <c:v>79.088635232654553</c:v>
                </c:pt>
                <c:pt idx="55">
                  <c:v>76.694554241883466</c:v>
                </c:pt>
                <c:pt idx="56">
                  <c:v>74.417233958824184</c:v>
                </c:pt>
                <c:pt idx="57">
                  <c:v>72.250979896565909</c:v>
                </c:pt>
                <c:pt idx="58">
                  <c:v>70.190375291601626</c:v>
                </c:pt>
                <c:pt idx="59">
                  <c:v>68.230267559097939</c:v>
                </c:pt>
                <c:pt idx="60">
                  <c:v>66.365755408749038</c:v>
                </c:pt>
                <c:pt idx="61">
                  <c:v>64.592176588998072</c:v>
                </c:pt>
                <c:pt idx="62">
                  <c:v>62.905096228979716</c:v>
                </c:pt>
                <c:pt idx="63">
                  <c:v>61.30029574903299</c:v>
                </c:pt>
                <c:pt idx="64">
                  <c:v>59.773762312054799</c:v>
                </c:pt>
                <c:pt idx="65">
                  <c:v>58.321678789316934</c:v>
                </c:pt>
                <c:pt idx="66">
                  <c:v>56.94041421565602</c:v>
                </c:pt>
                <c:pt idx="67">
                  <c:v>55.626514710169332</c:v>
                </c:pt>
                <c:pt idx="68">
                  <c:v>54.376694839713451</c:v>
                </c:pt>
                <c:pt idx="69">
                  <c:v>53.187829403610152</c:v>
                </c:pt>
                <c:pt idx="70">
                  <c:v>52.05694561901683</c:v>
                </c:pt>
                <c:pt idx="71">
                  <c:v>50.981215687420914</c:v>
                </c:pt>
                <c:pt idx="72">
                  <c:v>49.957949723670751</c:v>
                </c:pt>
                <c:pt idx="73">
                  <c:v>48.98458902986151</c:v>
                </c:pt>
                <c:pt idx="74">
                  <c:v>48.058699697257737</c:v>
                </c:pt>
                <c:pt idx="75">
                  <c:v>45.936746547535321</c:v>
                </c:pt>
                <c:pt idx="76">
                  <c:v>44.064129465475666</c:v>
                </c:pt>
                <c:pt idx="77">
                  <c:v>42.411550690831021</c:v>
                </c:pt>
                <c:pt idx="78">
                  <c:v>40.953155040930071</c:v>
                </c:pt>
                <c:pt idx="79">
                  <c:v>39.666125397149635</c:v>
                </c:pt>
                <c:pt idx="80">
                  <c:v>38.530325722978844</c:v>
                </c:pt>
                <c:pt idx="81">
                  <c:v>37.527986028566531</c:v>
                </c:pt>
                <c:pt idx="82">
                  <c:v>36.643424352910074</c:v>
                </c:pt>
                <c:pt idx="83">
                  <c:v>35.862801413998206</c:v>
                </c:pt>
                <c:pt idx="84">
                  <c:v>35.173904088322004</c:v>
                </c:pt>
                <c:pt idx="85">
                  <c:v>34.565954332213941</c:v>
                </c:pt>
                <c:pt idx="86">
                  <c:v>34.029440555521518</c:v>
                </c:pt>
                <c:pt idx="87">
                  <c:v>33.555968809396489</c:v>
                </c:pt>
                <c:pt idx="88">
                  <c:v>33.138131459979839</c:v>
                </c:pt>
                <c:pt idx="89">
                  <c:v>32.769391293335481</c:v>
                </c:pt>
                <c:pt idx="90">
                  <c:v>32.443979238413306</c:v>
                </c:pt>
                <c:pt idx="91">
                  <c:v>32.156804107880802</c:v>
                </c:pt>
                <c:pt idx="92">
                  <c:v>31.903372944686538</c:v>
                </c:pt>
                <c:pt idx="93">
                  <c:v>31.679720728149192</c:v>
                </c:pt>
                <c:pt idx="94">
                  <c:v>31.482348339798804</c:v>
                </c:pt>
                <c:pt idx="95">
                  <c:v>31.154454047819904</c:v>
                </c:pt>
                <c:pt idx="96">
                  <c:v>30.899089716462093</c:v>
                </c:pt>
                <c:pt idx="97">
                  <c:v>30.700211775232127</c:v>
                </c:pt>
                <c:pt idx="98">
                  <c:v>30.545325478866598</c:v>
                </c:pt>
                <c:pt idx="99">
                  <c:v>30.424699909970094</c:v>
                </c:pt>
                <c:pt idx="100">
                  <c:v>30.330756622455066</c:v>
                </c:pt>
                <c:pt idx="101">
                  <c:v>30.257593516574058</c:v>
                </c:pt>
                <c:pt idx="102">
                  <c:v>30.200614032421992</c:v>
                </c:pt>
                <c:pt idx="103">
                  <c:v>30.156238365545359</c:v>
                </c:pt>
                <c:pt idx="104">
                  <c:v>30.121678561432525</c:v>
                </c:pt>
                <c:pt idx="105">
                  <c:v>30.073801778138552</c:v>
                </c:pt>
                <c:pt idx="106">
                  <c:v>30.044763041182343</c:v>
                </c:pt>
                <c:pt idx="107">
                  <c:v>30.027150156899069</c:v>
                </c:pt>
                <c:pt idx="108">
                  <c:v>30.016467402575294</c:v>
                </c:pt>
                <c:pt idx="109">
                  <c:v>30.009987984547745</c:v>
                </c:pt>
                <c:pt idx="110">
                  <c:v>30.005346182877052</c:v>
                </c:pt>
                <c:pt idx="111">
                  <c:v>30.002861605483893</c:v>
                </c:pt>
                <c:pt idx="112">
                  <c:v>30.001531707039167</c:v>
                </c:pt>
                <c:pt idx="113">
                  <c:v>30.000819863697856</c:v>
                </c:pt>
                <c:pt idx="114">
                  <c:v>30.000234894882208</c:v>
                </c:pt>
                <c:pt idx="115">
                  <c:v>30.000067298510512</c:v>
                </c:pt>
                <c:pt idx="116">
                  <c:v>30.000019281346084</c:v>
                </c:pt>
                <c:pt idx="117">
                  <c:v>30.000005524198144</c:v>
                </c:pt>
                <c:pt idx="118">
                  <c:v>30.000001582709267</c:v>
                </c:pt>
                <c:pt idx="119">
                  <c:v>30.000000453453797</c:v>
                </c:pt>
                <c:pt idx="120">
                  <c:v>30.000000129916689</c:v>
                </c:pt>
                <c:pt idx="121">
                  <c:v>30.000000037221753</c:v>
                </c:pt>
                <c:pt idx="122">
                  <c:v>30.000000010664213</c:v>
                </c:pt>
                <c:pt idx="123">
                  <c:v>30.000000003055348</c:v>
                </c:pt>
                <c:pt idx="124">
                  <c:v>30.000000000250797</c:v>
                </c:pt>
                <c:pt idx="125">
                  <c:v>30.000000000020588</c:v>
                </c:pt>
                <c:pt idx="126">
                  <c:v>30.000000000001691</c:v>
                </c:pt>
                <c:pt idx="127">
                  <c:v>30.000000000000139</c:v>
                </c:pt>
                <c:pt idx="128">
                  <c:v>30.000000000000011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F-45EE-9F54-30F8B1FA6BDA}"/>
            </c:ext>
          </c:extLst>
        </c:ser>
        <c:ser>
          <c:idx val="1"/>
          <c:order val="1"/>
          <c:tx>
            <c:strRef>
              <c:f>Reference!$R$103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Reference!$R$108:$R$236</c:f>
              <c:numCache>
                <c:formatCode>General</c:formatCode>
                <c:ptCount val="129"/>
                <c:pt idx="0">
                  <c:v>195.43233372524153</c:v>
                </c:pt>
                <c:pt idx="1">
                  <c:v>190.97744353263209</c:v>
                </c:pt>
                <c:pt idx="2">
                  <c:v>186.63254497078228</c:v>
                </c:pt>
                <c:pt idx="3">
                  <c:v>182.39492233665251</c:v>
                </c:pt>
                <c:pt idx="4">
                  <c:v>178.26192697815017</c:v>
                </c:pt>
                <c:pt idx="5">
                  <c:v>174.2309756386357</c:v>
                </c:pt>
                <c:pt idx="6">
                  <c:v>170.29954884230335</c:v>
                </c:pt>
                <c:pt idx="7">
                  <c:v>166.46518931942663</c:v>
                </c:pt>
                <c:pt idx="8">
                  <c:v>162.72550047048475</c:v>
                </c:pt>
                <c:pt idx="9">
                  <c:v>159.0781448682099</c:v>
                </c:pt>
                <c:pt idx="10">
                  <c:v>155.52084279661918</c:v>
                </c:pt>
                <c:pt idx="11">
                  <c:v>152.05137082611782</c:v>
                </c:pt>
                <c:pt idx="12">
                  <c:v>148.66756042378336</c:v>
                </c:pt>
                <c:pt idx="13">
                  <c:v>145.367296597962</c:v>
                </c:pt>
                <c:pt idx="14">
                  <c:v>142.14851657632988</c:v>
                </c:pt>
                <c:pt idx="15">
                  <c:v>139.00920851659328</c:v>
                </c:pt>
                <c:pt idx="16">
                  <c:v>135.94741024902174</c:v>
                </c:pt>
                <c:pt idx="17">
                  <c:v>132.96120805002806</c:v>
                </c:pt>
                <c:pt idx="18">
                  <c:v>130.04873544602873</c:v>
                </c:pt>
                <c:pt idx="19">
                  <c:v>127.20817204683718</c:v>
                </c:pt>
                <c:pt idx="20">
                  <c:v>124.4377424078608</c:v>
                </c:pt>
                <c:pt idx="21">
                  <c:v>121.73571492039002</c:v>
                </c:pt>
                <c:pt idx="22">
                  <c:v>119.1004007292868</c:v>
                </c:pt>
                <c:pt idx="23">
                  <c:v>116.53015267739488</c:v>
                </c:pt>
                <c:pt idx="24">
                  <c:v>114.0233642760132</c:v>
                </c:pt>
                <c:pt idx="25">
                  <c:v>111.57846870078797</c:v>
                </c:pt>
                <c:pt idx="26">
                  <c:v>109.1939378123966</c:v>
                </c:pt>
                <c:pt idx="27">
                  <c:v>106.86828120141077</c:v>
                </c:pt>
                <c:pt idx="28">
                  <c:v>104.60004525674205</c:v>
                </c:pt>
                <c:pt idx="29">
                  <c:v>102.38781225708772</c:v>
                </c:pt>
                <c:pt idx="30">
                  <c:v>100.23019948480868</c:v>
                </c:pt>
                <c:pt idx="31">
                  <c:v>98.125858361685985</c:v>
                </c:pt>
                <c:pt idx="32">
                  <c:v>96.073473606015611</c:v>
                </c:pt>
                <c:pt idx="33">
                  <c:v>94.071762410514438</c:v>
                </c:pt>
                <c:pt idx="34">
                  <c:v>92.119473640524049</c:v>
                </c:pt>
                <c:pt idx="35">
                  <c:v>90.21538705201084</c:v>
                </c:pt>
                <c:pt idx="36">
                  <c:v>88.358312528873682</c:v>
                </c:pt>
                <c:pt idx="37">
                  <c:v>86.547089339082731</c:v>
                </c:pt>
                <c:pt idx="38">
                  <c:v>84.780585409184042</c:v>
                </c:pt>
                <c:pt idx="39">
                  <c:v>83.057696616716825</c:v>
                </c:pt>
                <c:pt idx="40">
                  <c:v>81.37734610010105</c:v>
                </c:pt>
                <c:pt idx="41">
                  <c:v>79.738483585563742</c:v>
                </c:pt>
                <c:pt idx="42">
                  <c:v>78.140084730683839</c:v>
                </c:pt>
                <c:pt idx="43">
                  <c:v>76.581150484144715</c:v>
                </c:pt>
                <c:pt idx="44">
                  <c:v>75.0607064612947</c:v>
                </c:pt>
                <c:pt idx="45">
                  <c:v>73.577802335124858</c:v>
                </c:pt>
                <c:pt idx="46">
                  <c:v>72.131511242283665</c:v>
                </c:pt>
                <c:pt idx="47">
                  <c:v>70.720929203757393</c:v>
                </c:pt>
                <c:pt idx="48">
                  <c:v>69.345174559853561</c:v>
                </c:pt>
                <c:pt idx="49">
                  <c:v>68.003387419135166</c:v>
                </c:pt>
                <c:pt idx="50">
                  <c:v>65.418381711292326</c:v>
                </c:pt>
                <c:pt idx="51">
                  <c:v>62.959448219489929</c:v>
                </c:pt>
                <c:pt idx="52">
                  <c:v>60.620438329197199</c:v>
                </c:pt>
                <c:pt idx="53">
                  <c:v>58.395503297352569</c:v>
                </c:pt>
                <c:pt idx="54">
                  <c:v>56.279079627459517</c:v>
                </c:pt>
                <c:pt idx="55">
                  <c:v>54.265875157947463</c:v>
                </c:pt>
                <c:pt idx="56">
                  <c:v>52.350855829011245</c:v>
                </c:pt>
                <c:pt idx="57">
                  <c:v>50.529233094839512</c:v>
                </c:pt>
                <c:pt idx="58">
                  <c:v>48.796451949755912</c:v>
                </c:pt>
                <c:pt idx="59">
                  <c:v>47.14817953833235</c:v>
                </c:pt>
                <c:pt idx="60">
                  <c:v>45.580294320993509</c:v>
                </c:pt>
                <c:pt idx="61">
                  <c:v>44.088875768021111</c:v>
                </c:pt>
                <c:pt idx="62">
                  <c:v>42.670194556187482</c:v>
                </c:pt>
                <c:pt idx="63">
                  <c:v>41.320703243505015</c:v>
                </c:pt>
                <c:pt idx="64">
                  <c:v>40.037027398773347</c:v>
                </c:pt>
                <c:pt idx="65">
                  <c:v>38.815957163743782</c:v>
                </c:pt>
                <c:pt idx="66">
                  <c:v>37.654439226801657</c:v>
                </c:pt>
                <c:pt idx="67">
                  <c:v>36.549569188096939</c:v>
                </c:pt>
                <c:pt idx="68">
                  <c:v>35.498584297031769</c:v>
                </c:pt>
                <c:pt idx="69">
                  <c:v>34.498856543944896</c:v>
                </c:pt>
                <c:pt idx="70">
                  <c:v>33.547886088718698</c:v>
                </c:pt>
                <c:pt idx="71">
                  <c:v>32.643295009876681</c:v>
                </c:pt>
                <c:pt idx="72">
                  <c:v>31.782821358541316</c:v>
                </c:pt>
                <c:pt idx="73">
                  <c:v>30.96431350238354</c:v>
                </c:pt>
                <c:pt idx="74">
                  <c:v>30.185724745421275</c:v>
                </c:pt>
                <c:pt idx="75">
                  <c:v>28.40135505133652</c:v>
                </c:pt>
                <c:pt idx="76">
                  <c:v>26.826654323240902</c:v>
                </c:pt>
                <c:pt idx="77">
                  <c:v>25.436985808198809</c:v>
                </c:pt>
                <c:pt idx="78">
                  <c:v>24.210607648054829</c:v>
                </c:pt>
                <c:pt idx="79">
                  <c:v>23.128332720330373</c:v>
                </c:pt>
                <c:pt idx="80">
                  <c:v>22.173228448868571</c:v>
                </c:pt>
                <c:pt idx="81">
                  <c:v>21.330351887658217</c:v>
                </c:pt>
                <c:pt idx="82">
                  <c:v>20.586515933128922</c:v>
                </c:pt>
                <c:pt idx="83">
                  <c:v>19.930083007225765</c:v>
                </c:pt>
                <c:pt idx="84">
                  <c:v>19.350782983361686</c:v>
                </c:pt>
                <c:pt idx="85">
                  <c:v>18.839552506634451</c:v>
                </c:pt>
                <c:pt idx="86">
                  <c:v>18.388393194415823</c:v>
                </c:pt>
                <c:pt idx="87">
                  <c:v>17.990246498810688</c:v>
                </c:pt>
                <c:pt idx="88">
                  <c:v>17.638883273164861</c:v>
                </c:pt>
                <c:pt idx="89">
                  <c:v>17.32880631485029</c:v>
                </c:pt>
                <c:pt idx="90">
                  <c:v>17.055164359574828</c:v>
                </c:pt>
                <c:pt idx="91">
                  <c:v>16.813676181627038</c:v>
                </c:pt>
                <c:pt idx="92">
                  <c:v>16.600563612577318</c:v>
                </c:pt>
                <c:pt idx="93">
                  <c:v>16.412492430489092</c:v>
                </c:pt>
                <c:pt idx="94">
                  <c:v>16.246520194830811</c:v>
                </c:pt>
                <c:pt idx="95">
                  <c:v>15.970790903848556</c:v>
                </c:pt>
                <c:pt idx="96">
                  <c:v>15.756052716115853</c:v>
                </c:pt>
                <c:pt idx="97">
                  <c:v>15.588814447354288</c:v>
                </c:pt>
                <c:pt idx="98">
                  <c:v>15.458569152683276</c:v>
                </c:pt>
                <c:pt idx="99">
                  <c:v>15.357134015202126</c:v>
                </c:pt>
                <c:pt idx="100">
                  <c:v>15.27813625070085</c:v>
                </c:pt>
                <c:pt idx="101">
                  <c:v>15.216612729846368</c:v>
                </c:pt>
                <c:pt idx="102">
                  <c:v>15.168698163627585</c:v>
                </c:pt>
                <c:pt idx="103">
                  <c:v>15.131382261935872</c:v>
                </c:pt>
                <c:pt idx="104">
                  <c:v>15.102320608477349</c:v>
                </c:pt>
                <c:pt idx="105">
                  <c:v>15.062060586161964</c:v>
                </c:pt>
                <c:pt idx="106">
                  <c:v>15.03764164826697</c:v>
                </c:pt>
                <c:pt idx="107">
                  <c:v>15.022830813756036</c:v>
                </c:pt>
                <c:pt idx="108">
                  <c:v>15.013847588529224</c:v>
                </c:pt>
                <c:pt idx="109">
                  <c:v>15.008398987006061</c:v>
                </c:pt>
                <c:pt idx="110">
                  <c:v>15.004495653782977</c:v>
                </c:pt>
                <c:pt idx="111">
                  <c:v>15.002406350066002</c:v>
                </c:pt>
                <c:pt idx="112">
                  <c:v>15.001288026373846</c:v>
                </c:pt>
                <c:pt idx="113">
                  <c:v>15.000689430836834</c:v>
                </c:pt>
                <c:pt idx="114">
                  <c:v>15.000197525241857</c:v>
                </c:pt>
                <c:pt idx="115">
                  <c:v>15.000056591929292</c:v>
                </c:pt>
                <c:pt idx="116">
                  <c:v>15.000016213859206</c:v>
                </c:pt>
                <c:pt idx="117">
                  <c:v>15.000004645348438</c:v>
                </c:pt>
                <c:pt idx="118">
                  <c:v>15.000001330914611</c:v>
                </c:pt>
                <c:pt idx="119">
                  <c:v>15.00000038131342</c:v>
                </c:pt>
                <c:pt idx="120">
                  <c:v>15.000000109248123</c:v>
                </c:pt>
                <c:pt idx="121">
                  <c:v>15.000000031300111</c:v>
                </c:pt>
                <c:pt idx="122">
                  <c:v>15.000000008967632</c:v>
                </c:pt>
                <c:pt idx="123">
                  <c:v>15.000000002569269</c:v>
                </c:pt>
                <c:pt idx="124">
                  <c:v>15.000000000210898</c:v>
                </c:pt>
                <c:pt idx="125">
                  <c:v>15.000000000017312</c:v>
                </c:pt>
                <c:pt idx="126">
                  <c:v>15.000000000001421</c:v>
                </c:pt>
                <c:pt idx="127">
                  <c:v>15.000000000000117</c:v>
                </c:pt>
                <c:pt idx="128">
                  <c:v>15.000000000000009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F-45EE-9F54-30F8B1FA6BDA}"/>
            </c:ext>
          </c:extLst>
        </c:ser>
        <c:ser>
          <c:idx val="2"/>
          <c:order val="2"/>
          <c:tx>
            <c:strRef>
              <c:f>Reference!$S$103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Reference!$S$108:$S$236</c:f>
              <c:numCache>
                <c:formatCode>General</c:formatCode>
                <c:ptCount val="129"/>
                <c:pt idx="0">
                  <c:v>122.09891466332908</c:v>
                </c:pt>
                <c:pt idx="1">
                  <c:v>119.26945737883389</c:v>
                </c:pt>
                <c:pt idx="2">
                  <c:v>116.50985964360495</c:v>
                </c:pt>
                <c:pt idx="3">
                  <c:v>113.81839661922524</c:v>
                </c:pt>
                <c:pt idx="4">
                  <c:v>111.19338605368996</c:v>
                </c:pt>
                <c:pt idx="5">
                  <c:v>108.6331872299443</c:v>
                </c:pt>
                <c:pt idx="6">
                  <c:v>106.13619994038187</c:v>
                </c:pt>
                <c:pt idx="7">
                  <c:v>103.70086348666287</c:v>
                </c:pt>
                <c:pt idx="8">
                  <c:v>101.3256557042268</c:v>
                </c:pt>
                <c:pt idx="9">
                  <c:v>99.009092010890072</c:v>
                </c:pt>
                <c:pt idx="10">
                  <c:v>96.7497244789338</c:v>
                </c:pt>
                <c:pt idx="11">
                  <c:v>94.546140930101856</c:v>
                </c:pt>
                <c:pt idx="12">
                  <c:v>92.396964052943488</c:v>
                </c:pt>
                <c:pt idx="13">
                  <c:v>90.300850541948833</c:v>
                </c:pt>
                <c:pt idx="14">
                  <c:v>88.256490257939234</c:v>
                </c:pt>
                <c:pt idx="15">
                  <c:v>86.262605409187614</c:v>
                </c:pt>
                <c:pt idx="16">
                  <c:v>84.317949752757059</c:v>
                </c:pt>
                <c:pt idx="17">
                  <c:v>82.421307815558364</c:v>
                </c:pt>
                <c:pt idx="18">
                  <c:v>80.571494134639863</c:v>
                </c:pt>
                <c:pt idx="19">
                  <c:v>78.767352516234425</c:v>
                </c:pt>
                <c:pt idx="20">
                  <c:v>77.007755313100773</c:v>
                </c:pt>
                <c:pt idx="21">
                  <c:v>75.291602719707186</c:v>
                </c:pt>
                <c:pt idx="22">
                  <c:v>73.617822084817291</c:v>
                </c:pt>
                <c:pt idx="23">
                  <c:v>71.985367241048095</c:v>
                </c:pt>
                <c:pt idx="24">
                  <c:v>70.393217850981358</c:v>
                </c:pt>
                <c:pt idx="25">
                  <c:v>68.840378769419388</c:v>
                </c:pt>
                <c:pt idx="26">
                  <c:v>67.325879421387029</c:v>
                </c:pt>
                <c:pt idx="27">
                  <c:v>65.848773195490622</c:v>
                </c:pt>
                <c:pt idx="28">
                  <c:v>64.408136852255097</c:v>
                </c:pt>
                <c:pt idx="29">
                  <c:v>63.003069947069228</c:v>
                </c:pt>
                <c:pt idx="30">
                  <c:v>61.632694267378483</c:v>
                </c:pt>
                <c:pt idx="31">
                  <c:v>60.296153283773535</c:v>
                </c:pt>
                <c:pt idx="32">
                  <c:v>58.992611614631535</c:v>
                </c:pt>
                <c:pt idx="33">
                  <c:v>57.721254503975388</c:v>
                </c:pt>
                <c:pt idx="34">
                  <c:v>56.481287312224737</c:v>
                </c:pt>
                <c:pt idx="35">
                  <c:v>55.271935019520399</c:v>
                </c:pt>
                <c:pt idx="36">
                  <c:v>54.09244174131166</c:v>
                </c:pt>
                <c:pt idx="37">
                  <c:v>52.942070255903893</c:v>
                </c:pt>
                <c:pt idx="38">
                  <c:v>51.820101543670944</c:v>
                </c:pt>
                <c:pt idx="39">
                  <c:v>50.725834337644471</c:v>
                </c:pt>
                <c:pt idx="40">
                  <c:v>49.658584685199315</c:v>
                </c:pt>
                <c:pt idx="41">
                  <c:v>48.617685520560748</c:v>
                </c:pt>
                <c:pt idx="42">
                  <c:v>47.602486247866764</c:v>
                </c:pt>
                <c:pt idx="43">
                  <c:v>46.612352334524346</c:v>
                </c:pt>
                <c:pt idx="44">
                  <c:v>45.646664914606092</c:v>
                </c:pt>
                <c:pt idx="45">
                  <c:v>44.704820402038763</c:v>
                </c:pt>
                <c:pt idx="46">
                  <c:v>43.786230113342334</c:v>
                </c:pt>
                <c:pt idx="47">
                  <c:v>42.890319899683753</c:v>
                </c:pt>
                <c:pt idx="48">
                  <c:v>42.016529788015099</c:v>
                </c:pt>
                <c:pt idx="49">
                  <c:v>41.164313631072339</c:v>
                </c:pt>
                <c:pt idx="50">
                  <c:v>39.522485681496477</c:v>
                </c:pt>
                <c:pt idx="51">
                  <c:v>37.960730625892253</c:v>
                </c:pt>
                <c:pt idx="52">
                  <c:v>36.475143263138762</c:v>
                </c:pt>
                <c:pt idx="53">
                  <c:v>35.062008851021226</c:v>
                </c:pt>
                <c:pt idx="54">
                  <c:v>33.717793817440509</c:v>
                </c:pt>
                <c:pt idx="55">
                  <c:v>32.439136924642312</c:v>
                </c:pt>
                <c:pt idx="56">
                  <c:v>31.222840864372007</c:v>
                </c:pt>
                <c:pt idx="57">
                  <c:v>30.065864262938611</c:v>
                </c:pt>
                <c:pt idx="58">
                  <c:v>28.965314076196321</c:v>
                </c:pt>
                <c:pt idx="59">
                  <c:v>27.918438355427305</c:v>
                </c:pt>
                <c:pt idx="60">
                  <c:v>26.922619366036418</c:v>
                </c:pt>
                <c:pt idx="61">
                  <c:v>25.975367041851243</c:v>
                </c:pt>
                <c:pt idx="62">
                  <c:v>25.07431275865962</c:v>
                </c:pt>
                <c:pt idx="63">
                  <c:v>24.217203411415348</c:v>
                </c:pt>
                <c:pt idx="64">
                  <c:v>23.401895780301992</c:v>
                </c:pt>
                <c:pt idx="65">
                  <c:v>22.626351171566995</c:v>
                </c:pt>
                <c:pt idx="66">
                  <c:v>21.888630319725372</c:v>
                </c:pt>
                <c:pt idx="67">
                  <c:v>21.186888538385894</c:v>
                </c:pt>
                <c:pt idx="68">
                  <c:v>20.51937110757423</c:v>
                </c:pt>
                <c:pt idx="69">
                  <c:v>19.88440888601906</c:v>
                </c:pt>
                <c:pt idx="70">
                  <c:v>19.280414137429439</c:v>
                </c:pt>
                <c:pt idx="71">
                  <c:v>18.705876560327077</c:v>
                </c:pt>
                <c:pt idx="72">
                  <c:v>18.159359511505968</c:v>
                </c:pt>
                <c:pt idx="73">
                  <c:v>17.639496413676035</c:v>
                </c:pt>
                <c:pt idx="74">
                  <c:v>17.144987338308109</c:v>
                </c:pt>
                <c:pt idx="75">
                  <c:v>16.011671451524546</c:v>
                </c:pt>
                <c:pt idx="76">
                  <c:v>15.011523691788138</c:v>
                </c:pt>
                <c:pt idx="77">
                  <c:v>14.128896391693839</c:v>
                </c:pt>
                <c:pt idx="78">
                  <c:v>13.349980533224013</c:v>
                </c:pt>
                <c:pt idx="79">
                  <c:v>12.662589700750372</c:v>
                </c:pt>
                <c:pt idx="80">
                  <c:v>12.055969420227335</c:v>
                </c:pt>
                <c:pt idx="81">
                  <c:v>11.520628901620759</c:v>
                </c:pt>
                <c:pt idx="82">
                  <c:v>11.048192552122424</c:v>
                </c:pt>
                <c:pt idx="83">
                  <c:v>10.631268937021769</c:v>
                </c:pt>
                <c:pt idx="84">
                  <c:v>10.26333513808107</c:v>
                </c:pt>
                <c:pt idx="85">
                  <c:v>9.9386347001597191</c:v>
                </c:pt>
                <c:pt idx="86">
                  <c:v>9.652087569426266</c:v>
                </c:pt>
                <c:pt idx="87">
                  <c:v>9.3992106141094904</c:v>
                </c:pt>
                <c:pt idx="88">
                  <c:v>9.1760474843074125</c:v>
                </c:pt>
                <c:pt idx="89">
                  <c:v>8.9791067134859954</c:v>
                </c:pt>
                <c:pt idx="90">
                  <c:v>8.8053070932434707</c:v>
                </c:pt>
                <c:pt idx="91">
                  <c:v>8.6519294667090652</c:v>
                </c:pt>
                <c:pt idx="92">
                  <c:v>8.5165741863666753</c:v>
                </c:pt>
                <c:pt idx="93">
                  <c:v>8.3971235707160456</c:v>
                </c:pt>
                <c:pt idx="94">
                  <c:v>8.2917087723925427</c:v>
                </c:pt>
                <c:pt idx="95">
                  <c:v>8.1165834119038127</c:v>
                </c:pt>
                <c:pt idx="96">
                  <c:v>7.9801956440195276</c:v>
                </c:pt>
                <c:pt idx="97">
                  <c:v>7.8739767435898855</c:v>
                </c:pt>
                <c:pt idx="98">
                  <c:v>7.7912533807582971</c:v>
                </c:pt>
                <c:pt idx="99">
                  <c:v>7.7268283610067563</c:v>
                </c:pt>
                <c:pt idx="100">
                  <c:v>7.6766541051748645</c:v>
                </c:pt>
                <c:pt idx="101">
                  <c:v>7.6375783554429626</c:v>
                </c:pt>
                <c:pt idx="102">
                  <c:v>7.607146130952656</c:v>
                </c:pt>
                <c:pt idx="103">
                  <c:v>7.5834454906889999</c:v>
                </c:pt>
                <c:pt idx="104">
                  <c:v>7.5649874134923705</c:v>
                </c:pt>
                <c:pt idx="105">
                  <c:v>7.5394168587785453</c:v>
                </c:pt>
                <c:pt idx="106">
                  <c:v>7.5239075333587504</c:v>
                </c:pt>
                <c:pt idx="107">
                  <c:v>7.5145006519801845</c:v>
                </c:pt>
                <c:pt idx="108">
                  <c:v>7.5087950900118052</c:v>
                </c:pt>
                <c:pt idx="109">
                  <c:v>7.5053344917470923</c:v>
                </c:pt>
                <c:pt idx="110">
                  <c:v>7.5028553476729716</c:v>
                </c:pt>
                <c:pt idx="111">
                  <c:v>7.5015283574743528</c:v>
                </c:pt>
                <c:pt idx="112">
                  <c:v>7.5008180708050096</c:v>
                </c:pt>
                <c:pt idx="113">
                  <c:v>7.5004378817477191</c:v>
                </c:pt>
                <c:pt idx="114">
                  <c:v>7.5001254552211787</c:v>
                </c:pt>
                <c:pt idx="115">
                  <c:v>7.5000359435226587</c:v>
                </c:pt>
                <c:pt idx="116">
                  <c:v>7.5000102979916576</c:v>
                </c:pt>
                <c:pt idx="117">
                  <c:v>7.5000029504240082</c:v>
                </c:pt>
                <c:pt idx="118">
                  <c:v>7.5000008453106313</c:v>
                </c:pt>
                <c:pt idx="119">
                  <c:v>7.5000002421855507</c:v>
                </c:pt>
                <c:pt idx="120">
                  <c:v>7.5000000693873217</c:v>
                </c:pt>
                <c:pt idx="121">
                  <c:v>7.5000000198798009</c:v>
                </c:pt>
                <c:pt idx="122">
                  <c:v>7.5000000056956582</c:v>
                </c:pt>
                <c:pt idx="123">
                  <c:v>7.5000000016318333</c:v>
                </c:pt>
                <c:pt idx="124">
                  <c:v>7.5000000001339489</c:v>
                </c:pt>
                <c:pt idx="125">
                  <c:v>7.5000000000109956</c:v>
                </c:pt>
                <c:pt idx="126">
                  <c:v>7.5000000000009024</c:v>
                </c:pt>
                <c:pt idx="127">
                  <c:v>7.5000000000000737</c:v>
                </c:pt>
                <c:pt idx="128">
                  <c:v>7.5000000000000062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F-45EE-9F54-30F8B1FA6BDA}"/>
            </c:ext>
          </c:extLst>
        </c:ser>
        <c:ser>
          <c:idx val="3"/>
          <c:order val="3"/>
          <c:tx>
            <c:strRef>
              <c:f>Reference!$T$103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Reference!$T$108:$T$236</c:f>
              <c:numCache>
                <c:formatCode>General</c:formatCode>
                <c:ptCount val="129"/>
                <c:pt idx="0">
                  <c:v>77.475639737114449</c:v>
                </c:pt>
                <c:pt idx="1">
                  <c:v>75.034037847434575</c:v>
                </c:pt>
                <c:pt idx="2">
                  <c:v>72.672481188768884</c:v>
                </c:pt>
                <c:pt idx="3">
                  <c:v>70.388345566306953</c:v>
                </c:pt>
                <c:pt idx="4">
                  <c:v>68.179092816577281</c:v>
                </c:pt>
                <c:pt idx="5">
                  <c:v>66.042267987004607</c:v>
                </c:pt>
                <c:pt idx="6">
                  <c:v>63.975496607932186</c:v>
                </c:pt>
                <c:pt idx="7">
                  <c:v>61.976482054077948</c:v>
                </c:pt>
                <c:pt idx="8">
                  <c:v>60.043002992492276</c:v>
                </c:pt>
                <c:pt idx="9">
                  <c:v>58.172910914181777</c:v>
                </c:pt>
                <c:pt idx="10">
                  <c:v>56.364127746655996</c:v>
                </c:pt>
                <c:pt idx="11">
                  <c:v>54.614643544744226</c:v>
                </c:pt>
                <c:pt idx="12">
                  <c:v>52.922514257116248</c:v>
                </c:pt>
                <c:pt idx="13">
                  <c:v>51.285859566025316</c:v>
                </c:pt>
                <c:pt idx="14">
                  <c:v>49.702860797872773</c:v>
                </c:pt>
                <c:pt idx="15">
                  <c:v>48.171758902272451</c:v>
                </c:pt>
                <c:pt idx="16">
                  <c:v>46.690852497369292</c:v>
                </c:pt>
                <c:pt idx="17">
                  <c:v>45.258495979240031</c:v>
                </c:pt>
                <c:pt idx="18">
                  <c:v>43.873097693275078</c:v>
                </c:pt>
                <c:pt idx="19">
                  <c:v>42.533118165509585</c:v>
                </c:pt>
                <c:pt idx="20">
                  <c:v>41.237068391938536</c:v>
                </c:pt>
                <c:pt idx="21">
                  <c:v>39.983508183914552</c:v>
                </c:pt>
                <c:pt idx="22">
                  <c:v>38.771044567790184</c:v>
                </c:pt>
                <c:pt idx="23">
                  <c:v>37.598330237026062</c:v>
                </c:pt>
                <c:pt idx="24">
                  <c:v>36.464062055045019</c:v>
                </c:pt>
                <c:pt idx="25">
                  <c:v>35.366979607168503</c:v>
                </c:pt>
                <c:pt idx="26">
                  <c:v>34.305863800026131</c:v>
                </c:pt>
                <c:pt idx="27">
                  <c:v>33.279535506882063</c:v>
                </c:pt>
                <c:pt idx="28">
                  <c:v>32.286854257372909</c:v>
                </c:pt>
                <c:pt idx="29">
                  <c:v>31.326716970201058</c:v>
                </c:pt>
                <c:pt idx="30">
                  <c:v>30.398056727375323</c:v>
                </c:pt>
                <c:pt idx="31">
                  <c:v>29.499841588636752</c:v>
                </c:pt>
                <c:pt idx="32">
                  <c:v>28.631073444752126</c:v>
                </c:pt>
                <c:pt idx="33">
                  <c:v>27.790786908401046</c:v>
                </c:pt>
                <c:pt idx="34">
                  <c:v>26.978048241424023</c:v>
                </c:pt>
                <c:pt idx="35">
                  <c:v>26.191954317239563</c:v>
                </c:pt>
                <c:pt idx="36">
                  <c:v>25.431631617277269</c:v>
                </c:pt>
                <c:pt idx="37">
                  <c:v>24.696235260311795</c:v>
                </c:pt>
                <c:pt idx="38">
                  <c:v>23.984948063618969</c:v>
                </c:pt>
                <c:pt idx="39">
                  <c:v>23.296979634910961</c:v>
                </c:pt>
                <c:pt idx="40">
                  <c:v>22.631565494041268</c:v>
                </c:pt>
                <c:pt idx="41">
                  <c:v>21.987966223503701</c:v>
                </c:pt>
                <c:pt idx="42">
                  <c:v>21.365466646781286</c:v>
                </c:pt>
                <c:pt idx="43">
                  <c:v>20.763375033632141</c:v>
                </c:pt>
                <c:pt idx="44">
                  <c:v>20.181022331429094</c:v>
                </c:pt>
                <c:pt idx="45">
                  <c:v>19.617761421699111</c:v>
                </c:pt>
                <c:pt idx="46">
                  <c:v>19.07296640103613</c:v>
                </c:pt>
                <c:pt idx="47">
                  <c:v>18.546031885588462</c:v>
                </c:pt>
                <c:pt idx="48">
                  <c:v>18.036372338347803</c:v>
                </c:pt>
                <c:pt idx="49">
                  <c:v>17.543421418492262</c:v>
                </c:pt>
                <c:pt idx="50">
                  <c:v>16.605472323257949</c:v>
                </c:pt>
                <c:pt idx="51">
                  <c:v>15.728014393062162</c:v>
                </c:pt>
                <c:pt idx="52">
                  <c:v>14.907146370292621</c:v>
                </c:pt>
                <c:pt idx="53">
                  <c:v>14.13921860120262</c:v>
                </c:pt>
                <c:pt idx="54">
                  <c:v>13.420816809219177</c:v>
                </c:pt>
                <c:pt idx="55">
                  <c:v>12.748746914759433</c:v>
                </c:pt>
                <c:pt idx="56">
                  <c:v>12.120020834062885</c:v>
                </c:pt>
                <c:pt idx="57">
                  <c:v>11.531843193899707</c:v>
                </c:pt>
                <c:pt idx="58">
                  <c:v>10.981598903087644</c:v>
                </c:pt>
                <c:pt idx="59">
                  <c:v>10.46684152555919</c:v>
                </c:pt>
                <c:pt idx="60">
                  <c:v>9.9852824032847636</c:v>
                </c:pt>
                <c:pt idx="61">
                  <c:v>9.5347804806913405</c:v>
                </c:pt>
                <c:pt idx="62">
                  <c:v>9.1133327853350234</c:v>
                </c:pt>
                <c:pt idx="63">
                  <c:v>8.7190655225037084</c:v>
                </c:pt>
                <c:pt idx="64">
                  <c:v>8.3502257441557184</c:v>
                </c:pt>
                <c:pt idx="65">
                  <c:v>8.0051735551536591</c:v>
                </c:pt>
                <c:pt idx="66">
                  <c:v>7.6823748221417842</c:v>
                </c:pt>
                <c:pt idx="67">
                  <c:v>7.3803943526498168</c:v>
                </c:pt>
                <c:pt idx="68">
                  <c:v>7.0978895140969565</c:v>
                </c:pt>
                <c:pt idx="69">
                  <c:v>6.8336042643255244</c:v>
                </c:pt>
                <c:pt idx="70">
                  <c:v>6.5863635671235228</c:v>
                </c:pt>
                <c:pt idx="71">
                  <c:v>6.3550681679069658</c:v>
                </c:pt>
                <c:pt idx="72">
                  <c:v>6.1386897063341976</c:v>
                </c:pt>
                <c:pt idx="73">
                  <c:v>5.93626614412248</c:v>
                </c:pt>
                <c:pt idx="74">
                  <c:v>5.7468974877384342</c:v>
                </c:pt>
                <c:pt idx="75">
                  <c:v>5.3251985235185249</c:v>
                </c:pt>
                <c:pt idx="76">
                  <c:v>4.96823805690107</c:v>
                </c:pt>
                <c:pt idx="77">
                  <c:v>4.6660775454009684</c:v>
                </c:pt>
                <c:pt idx="78">
                  <c:v>4.4103041944325323</c:v>
                </c:pt>
                <c:pt idx="79">
                  <c:v>4.1937967271237166</c:v>
                </c:pt>
                <c:pt idx="80">
                  <c:v>4.0105271127444544</c:v>
                </c:pt>
                <c:pt idx="81">
                  <c:v>3.8553927334446576</c:v>
                </c:pt>
                <c:pt idx="82">
                  <c:v>3.7240743164651309</c:v>
                </c:pt>
                <c:pt idx="83">
                  <c:v>3.6129156763503967</c:v>
                </c:pt>
                <c:pt idx="84">
                  <c:v>3.5188219189295808</c:v>
                </c:pt>
                <c:pt idx="85">
                  <c:v>3.43917327284657</c:v>
                </c:pt>
                <c:pt idx="86">
                  <c:v>3.3717521495250211</c:v>
                </c:pt>
                <c:pt idx="87">
                  <c:v>3.3146814007617333</c:v>
                </c:pt>
                <c:pt idx="88">
                  <c:v>3.2663720549077864</c:v>
                </c:pt>
                <c:pt idx="89">
                  <c:v>3.2254790765010006</c:v>
                </c:pt>
                <c:pt idx="90">
                  <c:v>3.1908639176033096</c:v>
                </c:pt>
                <c:pt idx="91">
                  <c:v>3.1615628181922295</c:v>
                </c:pt>
                <c:pt idx="92">
                  <c:v>3.1367599730215474</c:v>
                </c:pt>
                <c:pt idx="93">
                  <c:v>3.1157648178592732</c:v>
                </c:pt>
                <c:pt idx="94">
                  <c:v>3.0979928027031653</c:v>
                </c:pt>
                <c:pt idx="95">
                  <c:v>3.0702149113476978</c:v>
                </c:pt>
                <c:pt idx="96">
                  <c:v>3.0503111824497884</c:v>
                </c:pt>
                <c:pt idx="97">
                  <c:v>3.0360495374972638</c:v>
                </c:pt>
                <c:pt idx="98">
                  <c:v>3.0258306223484932</c:v>
                </c:pt>
                <c:pt idx="99">
                  <c:v>3.0185084496843024</c:v>
                </c:pt>
                <c:pt idx="100">
                  <c:v>3.0132618837089824</c:v>
                </c:pt>
                <c:pt idx="101">
                  <c:v>3.0095025549146741</c:v>
                </c:pt>
                <c:pt idx="102">
                  <c:v>3.0068088781268112</c:v>
                </c:pt>
                <c:pt idx="103">
                  <c:v>3.0048787743677412</c:v>
                </c:pt>
                <c:pt idx="104">
                  <c:v>3.0034957945917111</c:v>
                </c:pt>
                <c:pt idx="105">
                  <c:v>3.001794800788006</c:v>
                </c:pt>
                <c:pt idx="106">
                  <c:v>3.0009214814498155</c:v>
                </c:pt>
                <c:pt idx="107">
                  <c:v>3.0004731043512063</c:v>
                </c:pt>
                <c:pt idx="108">
                  <c:v>3.000242899872998</c:v>
                </c:pt>
                <c:pt idx="109">
                  <c:v>3.0001247089530079</c:v>
                </c:pt>
                <c:pt idx="110">
                  <c:v>3.0000541982875619</c:v>
                </c:pt>
                <c:pt idx="111">
                  <c:v>3.0000235544786786</c:v>
                </c:pt>
                <c:pt idx="112">
                  <c:v>3.0000102367342358</c:v>
                </c:pt>
                <c:pt idx="113">
                  <c:v>3.0000044488663598</c:v>
                </c:pt>
                <c:pt idx="114">
                  <c:v>3.0000008402823157</c:v>
                </c:pt>
                <c:pt idx="115">
                  <c:v>3.0000001587088287</c:v>
                </c:pt>
                <c:pt idx="116">
                  <c:v>3.0000000299762259</c:v>
                </c:pt>
                <c:pt idx="117">
                  <c:v>3.0000000056617777</c:v>
                </c:pt>
                <c:pt idx="118">
                  <c:v>3.0000000010693717</c:v>
                </c:pt>
                <c:pt idx="119">
                  <c:v>3.0000000002019784</c:v>
                </c:pt>
                <c:pt idx="120">
                  <c:v>3.0000000000381486</c:v>
                </c:pt>
                <c:pt idx="121">
                  <c:v>3.0000000000072053</c:v>
                </c:pt>
                <c:pt idx="122">
                  <c:v>3.0000000000013611</c:v>
                </c:pt>
                <c:pt idx="123">
                  <c:v>3.0000000000002571</c:v>
                </c:pt>
                <c:pt idx="124">
                  <c:v>3.0000000000000093</c:v>
                </c:pt>
                <c:pt idx="125">
                  <c:v>3.0000000000000004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F-45EE-9F54-30F8B1FA6BDA}"/>
            </c:ext>
          </c:extLst>
        </c:ser>
        <c:ser>
          <c:idx val="4"/>
          <c:order val="4"/>
          <c:tx>
            <c:strRef>
              <c:f>Reference!$U$103</c:f>
              <c:strCache>
                <c:ptCount val="1"/>
                <c:pt idx="0">
                  <c:v>molto perm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Reference!$U$108:$U$236</c:f>
              <c:numCache>
                <c:formatCode>General</c:formatCode>
                <c:ptCount val="129"/>
                <c:pt idx="0">
                  <c:v>115.80296970367317</c:v>
                </c:pt>
                <c:pt idx="1">
                  <c:v>107.41151432421829</c:v>
                </c:pt>
                <c:pt idx="2">
                  <c:v>99.755072938621694</c:v>
                </c:pt>
                <c:pt idx="3">
                  <c:v>92.769265109076358</c:v>
                </c:pt>
                <c:pt idx="4">
                  <c:v>86.395349529556228</c:v>
                </c:pt>
                <c:pt idx="5">
                  <c:v>80.579730089951099</c:v>
                </c:pt>
                <c:pt idx="6">
                  <c:v>75.273505204421753</c:v>
                </c:pt>
                <c:pt idx="7">
                  <c:v>70.432056614428944</c:v>
                </c:pt>
                <c:pt idx="8">
                  <c:v>66.01467420881967</c:v>
                </c:pt>
                <c:pt idx="9">
                  <c:v>61.984213706208976</c:v>
                </c:pt>
                <c:pt idx="10">
                  <c:v>58.306784321223603</c:v>
                </c:pt>
                <c:pt idx="11">
                  <c:v>54.951463788298355</c:v>
                </c:pt>
                <c:pt idx="12">
                  <c:v>51.890038346755972</c:v>
                </c:pt>
                <c:pt idx="13">
                  <c:v>49.096765500792742</c:v>
                </c:pt>
                <c:pt idx="14">
                  <c:v>46.548157559498378</c:v>
                </c:pt>
                <c:pt idx="15">
                  <c:v>44.222784136771097</c:v>
                </c:pt>
                <c:pt idx="16">
                  <c:v>42.101091950416155</c:v>
                </c:pt>
                <c:pt idx="17">
                  <c:v>40.165240405179183</c:v>
                </c:pt>
                <c:pt idx="18">
                  <c:v>38.398951577187304</c:v>
                </c:pt>
                <c:pt idx="19">
                  <c:v>36.787373338367857</c:v>
                </c:pt>
                <c:pt idx="20">
                  <c:v>35.316954469903877</c:v>
                </c:pt>
                <c:pt idx="21">
                  <c:v>33.975330714597547</c:v>
                </c:pt>
                <c:pt idx="22">
                  <c:v>32.751220809994301</c:v>
                </c:pt>
                <c:pt idx="23">
                  <c:v>31.634331628045054</c:v>
                </c:pt>
                <c:pt idx="24">
                  <c:v>30.615271623657975</c:v>
                </c:pt>
                <c:pt idx="25">
                  <c:v>29.685471864357773</c:v>
                </c:pt>
                <c:pt idx="26">
                  <c:v>28.837113977017587</c:v>
                </c:pt>
                <c:pt idx="27">
                  <c:v>28.063064405791643</c:v>
                </c:pt>
                <c:pt idx="28">
                  <c:v>27.356814428445929</c:v>
                </c:pt>
                <c:pt idx="29">
                  <c:v>26.712425426704293</c:v>
                </c:pt>
                <c:pt idx="30">
                  <c:v>26.124478950406829</c:v>
                </c:pt>
                <c:pt idx="31">
                  <c:v>25.588031155586759</c:v>
                </c:pt>
                <c:pt idx="32">
                  <c:v>25.098571233351048</c:v>
                </c:pt>
                <c:pt idx="33">
                  <c:v>24.651983480007139</c:v>
                </c:pt>
                <c:pt idx="34">
                  <c:v>24.244512689496307</c:v>
                </c:pt>
                <c:pt idx="35">
                  <c:v>23.872732577130201</c:v>
                </c:pt>
                <c:pt idx="36">
                  <c:v>23.533516969116501</c:v>
                </c:pt>
                <c:pt idx="37">
                  <c:v>23.224013515616033</c:v>
                </c:pt>
                <c:pt idx="38">
                  <c:v>22.941619706293288</c:v>
                </c:pt>
                <c:pt idx="39">
                  <c:v>22.683960986683278</c:v>
                </c:pt>
                <c:pt idx="40">
                  <c:v>22.448870791362463</c:v>
                </c:pt>
                <c:pt idx="41">
                  <c:v>22.234372326029604</c:v>
                </c:pt>
                <c:pt idx="42">
                  <c:v>22.038661945307997</c:v>
                </c:pt>
                <c:pt idx="43">
                  <c:v>21.860093986498796</c:v>
                </c:pt>
                <c:pt idx="44">
                  <c:v>21.697166931757415</c:v>
                </c:pt>
                <c:pt idx="45">
                  <c:v>21.548510782335541</c:v>
                </c:pt>
                <c:pt idx="46">
                  <c:v>21.412875538722886</c:v>
                </c:pt>
                <c:pt idx="47">
                  <c:v>21.289120689822187</c:v>
                </c:pt>
                <c:pt idx="48">
                  <c:v>21.176205622775363</c:v>
                </c:pt>
                <c:pt idx="49">
                  <c:v>21.073180872800364</c:v>
                </c:pt>
                <c:pt idx="50">
                  <c:v>20.893413002240628</c:v>
                </c:pt>
                <c:pt idx="51">
                  <c:v>20.743757937550473</c:v>
                </c:pt>
                <c:pt idx="52">
                  <c:v>20.619171501066134</c:v>
                </c:pt>
                <c:pt idx="53">
                  <c:v>20.515454462234192</c:v>
                </c:pt>
                <c:pt idx="54">
                  <c:v>20.429111001038727</c:v>
                </c:pt>
                <c:pt idx="55">
                  <c:v>20.357230880133109</c:v>
                </c:pt>
                <c:pt idx="56">
                  <c:v>20.297391354245793</c:v>
                </c:pt>
                <c:pt idx="57">
                  <c:v>20.247575510681475</c:v>
                </c:pt>
                <c:pt idx="58">
                  <c:v>20.206104288554851</c:v>
                </c:pt>
                <c:pt idx="59">
                  <c:v>20.171579885440906</c:v>
                </c:pt>
                <c:pt idx="60">
                  <c:v>20.142838643942529</c:v>
                </c:pt>
                <c:pt idx="61">
                  <c:v>20.118911830200325</c:v>
                </c:pt>
                <c:pt idx="62">
                  <c:v>20.098992982370238</c:v>
                </c:pt>
                <c:pt idx="63">
                  <c:v>20.082410728537649</c:v>
                </c:pt>
                <c:pt idx="64">
                  <c:v>20.068606157886077</c:v>
                </c:pt>
                <c:pt idx="65">
                  <c:v>20.057113982407508</c:v>
                </c:pt>
                <c:pt idx="66">
                  <c:v>20.047546854203112</c:v>
                </c:pt>
                <c:pt idx="67">
                  <c:v>20.039582309783306</c:v>
                </c:pt>
                <c:pt idx="68">
                  <c:v>20.032951901320086</c:v>
                </c:pt>
                <c:pt idx="69">
                  <c:v>20.027432148516674</c:v>
                </c:pt>
                <c:pt idx="70">
                  <c:v>20.0228370061239</c:v>
                </c:pt>
                <c:pt idx="71">
                  <c:v>20.019011593218298</c:v>
                </c:pt>
                <c:pt idx="72">
                  <c:v>20.015826972885026</c:v>
                </c:pt>
                <c:pt idx="73">
                  <c:v>20.013175806352841</c:v>
                </c:pt>
                <c:pt idx="74">
                  <c:v>20.010968735102328</c:v>
                </c:pt>
                <c:pt idx="75">
                  <c:v>20.006935933343012</c:v>
                </c:pt>
                <c:pt idx="76">
                  <c:v>20.004385844939268</c:v>
                </c:pt>
                <c:pt idx="77">
                  <c:v>20.002773330549761</c:v>
                </c:pt>
                <c:pt idx="78">
                  <c:v>20.001753678582975</c:v>
                </c:pt>
                <c:pt idx="79">
                  <c:v>20.001108915261707</c:v>
                </c:pt>
                <c:pt idx="80">
                  <c:v>20.000701207775236</c:v>
                </c:pt>
                <c:pt idx="81">
                  <c:v>20.000443399384093</c:v>
                </c:pt>
                <c:pt idx="82">
                  <c:v>20.000280377686551</c:v>
                </c:pt>
                <c:pt idx="83">
                  <c:v>20.000177293090466</c:v>
                </c:pt>
                <c:pt idx="84">
                  <c:v>20.000112108921055</c:v>
                </c:pt>
                <c:pt idx="85">
                  <c:v>20.00007089058094</c:v>
                </c:pt>
                <c:pt idx="86">
                  <c:v>20.000044826713332</c:v>
                </c:pt>
                <c:pt idx="87">
                  <c:v>20.000028345574286</c:v>
                </c:pt>
                <c:pt idx="88">
                  <c:v>20.00001792394583</c:v>
                </c:pt>
                <c:pt idx="89">
                  <c:v>20.000011333968079</c:v>
                </c:pt>
                <c:pt idx="90">
                  <c:v>20.000007166883545</c:v>
                </c:pt>
                <c:pt idx="91">
                  <c:v>20.000004531883221</c:v>
                </c:pt>
                <c:pt idx="92">
                  <c:v>20.00000286567591</c:v>
                </c:pt>
                <c:pt idx="93">
                  <c:v>20.00000181207194</c:v>
                </c:pt>
                <c:pt idx="94">
                  <c:v>20.000001145839523</c:v>
                </c:pt>
                <c:pt idx="95">
                  <c:v>20.000000458163537</c:v>
                </c:pt>
                <c:pt idx="96">
                  <c:v>20.000000183196533</c:v>
                </c:pt>
                <c:pt idx="97">
                  <c:v>20.000000073251069</c:v>
                </c:pt>
                <c:pt idx="98">
                  <c:v>20.000000029289414</c:v>
                </c:pt>
                <c:pt idx="99">
                  <c:v>20.000000011711361</c:v>
                </c:pt>
                <c:pt idx="100">
                  <c:v>20.000000004682786</c:v>
                </c:pt>
                <c:pt idx="101">
                  <c:v>20.000000001872408</c:v>
                </c:pt>
                <c:pt idx="102">
                  <c:v>20.000000000748681</c:v>
                </c:pt>
                <c:pt idx="103">
                  <c:v>20.000000000299359</c:v>
                </c:pt>
                <c:pt idx="104">
                  <c:v>20.000000000119698</c:v>
                </c:pt>
                <c:pt idx="105">
                  <c:v>20.000000000019138</c:v>
                </c:pt>
                <c:pt idx="106">
                  <c:v>20.000000000003059</c:v>
                </c:pt>
                <c:pt idx="107">
                  <c:v>20.00000000000049</c:v>
                </c:pt>
                <c:pt idx="108">
                  <c:v>20.000000000000078</c:v>
                </c:pt>
                <c:pt idx="109">
                  <c:v>20.000000000000014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F-45EE-9F54-30F8B1FA6BDA}"/>
            </c:ext>
          </c:extLst>
        </c:ser>
        <c:ser>
          <c:idx val="5"/>
          <c:order val="5"/>
          <c:tx>
            <c:strRef>
              <c:f>Reference!$V$103</c:f>
              <c:strCache>
                <c:ptCount val="1"/>
                <c:pt idx="0">
                  <c:v>med perm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Reference!$V$108:$V$236</c:f>
              <c:numCache>
                <c:formatCode>General</c:formatCode>
                <c:ptCount val="129"/>
                <c:pt idx="0">
                  <c:v>75.303326611355942</c:v>
                </c:pt>
                <c:pt idx="1">
                  <c:v>70.946018467628761</c:v>
                </c:pt>
                <c:pt idx="2">
                  <c:v>66.903554219359506</c:v>
                </c:pt>
                <c:pt idx="3">
                  <c:v>63.153184344311661</c:v>
                </c:pt>
                <c:pt idx="4">
                  <c:v>59.673803121413194</c:v>
                </c:pt>
                <c:pt idx="5">
                  <c:v>56.445829855415269</c:v>
                </c:pt>
                <c:pt idx="6">
                  <c:v>53.451098683842979</c:v>
                </c:pt>
                <c:pt idx="7">
                  <c:v>50.672756346111719</c:v>
                </c:pt>
                <c:pt idx="8">
                  <c:v>48.095167339490693</c:v>
                </c:pt>
                <c:pt idx="9">
                  <c:v>45.703825928165955</c:v>
                </c:pt>
                <c:pt idx="10">
                  <c:v>43.4852745102217</c:v>
                </c:pt>
                <c:pt idx="11">
                  <c:v>41.42702788313894</c:v>
                </c:pt>
                <c:pt idx="12">
                  <c:v>39.517502981605205</c:v>
                </c:pt>
                <c:pt idx="13">
                  <c:v>37.7459536922251</c:v>
                </c:pt>
                <c:pt idx="14">
                  <c:v>36.102410378292731</c:v>
                </c:pt>
                <c:pt idx="15">
                  <c:v>34.577623774293137</c:v>
                </c:pt>
                <c:pt idx="16">
                  <c:v>33.163012934391475</c:v>
                </c:pt>
                <c:pt idx="17">
                  <c:v>31.850616941982949</c:v>
                </c:pt>
                <c:pt idx="18">
                  <c:v>30.633050108542239</c:v>
                </c:pt>
                <c:pt idx="19">
                  <c:v>29.503460409647936</c:v>
                </c:pt>
                <c:pt idx="20">
                  <c:v>28.455490924274923</c:v>
                </c:pt>
                <c:pt idx="21">
                  <c:v>27.483244060349019</c:v>
                </c:pt>
                <c:pt idx="22">
                  <c:v>26.581248365238395</c:v>
                </c:pt>
                <c:pt idx="23">
                  <c:v>25.744427734403125</c:v>
                </c:pt>
                <c:pt idx="24">
                  <c:v>24.96807284492035</c:v>
                </c:pt>
                <c:pt idx="25">
                  <c:v>24.247814653123385</c:v>
                </c:pt>
                <c:pt idx="26">
                  <c:v>23.579599807208965</c:v>
                </c:pt>
                <c:pt idx="27">
                  <c:v>22.959667836443824</c:v>
                </c:pt>
                <c:pt idx="28">
                  <c:v>22.384529988599645</c:v>
                </c:pt>
                <c:pt idx="29">
                  <c:v>21.850949596521183</c:v>
                </c:pt>
                <c:pt idx="30">
                  <c:v>21.355923863337754</c:v>
                </c:pt>
                <c:pt idx="31">
                  <c:v>20.896666963811814</c:v>
                </c:pt>
                <c:pt idx="32">
                  <c:v>20.470594366725173</c:v>
                </c:pt>
                <c:pt idx="33">
                  <c:v>20.075308290074958</c:v>
                </c:pt>
                <c:pt idx="34">
                  <c:v>19.708584207226345</c:v>
                </c:pt>
                <c:pt idx="35">
                  <c:v>19.368358328083733</c:v>
                </c:pt>
                <c:pt idx="36">
                  <c:v>19.052715984828772</c:v>
                </c:pt>
                <c:pt idx="37">
                  <c:v>18.759880856864498</c:v>
                </c:pt>
                <c:pt idx="38">
                  <c:v>18.488204974327459</c:v>
                </c:pt>
                <c:pt idx="39">
                  <c:v>18.236159443911156</c:v>
                </c:pt>
                <c:pt idx="40">
                  <c:v>18.002325844809207</c:v>
                </c:pt>
                <c:pt idx="41">
                  <c:v>17.785388246357613</c:v>
                </c:pt>
                <c:pt idx="42">
                  <c:v>17.584125802454384</c:v>
                </c:pt>
                <c:pt idx="43">
                  <c:v>17.397405881080601</c:v>
                </c:pt>
                <c:pt idx="44">
                  <c:v>17.224177690258291</c:v>
                </c:pt>
                <c:pt idx="45">
                  <c:v>17.063466364574417</c:v>
                </c:pt>
                <c:pt idx="46">
                  <c:v>16.914367478991974</c:v>
                </c:pt>
                <c:pt idx="47">
                  <c:v>16.776041959074018</c:v>
                </c:pt>
                <c:pt idx="48">
                  <c:v>16.647711358977123</c:v>
                </c:pt>
                <c:pt idx="49">
                  <c:v>16.528653480640592</c:v>
                </c:pt>
                <c:pt idx="50">
                  <c:v>16.315724243977286</c:v>
                </c:pt>
                <c:pt idx="51">
                  <c:v>16.132454351567077</c:v>
                </c:pt>
                <c:pt idx="52">
                  <c:v>15.974712493331051</c:v>
                </c:pt>
                <c:pt idx="53">
                  <c:v>15.838942817731192</c:v>
                </c:pt>
                <c:pt idx="54">
                  <c:v>15.722084774985749</c:v>
                </c:pt>
                <c:pt idx="55">
                  <c:v>15.621504125485327</c:v>
                </c:pt>
                <c:pt idx="56">
                  <c:v>15.534933558186301</c:v>
                </c:pt>
                <c:pt idx="57">
                  <c:v>15.460421580388388</c:v>
                </c:pt>
                <c:pt idx="58">
                  <c:v>15.396288526758516</c:v>
                </c:pt>
                <c:pt idx="59">
                  <c:v>15.341088695946789</c:v>
                </c:pt>
                <c:pt idx="60">
                  <c:v>15.293577761269823</c:v>
                </c:pt>
                <c:pt idx="61">
                  <c:v>15.252684720825949</c:v>
                </c:pt>
                <c:pt idx="62">
                  <c:v>15.217487754735632</c:v>
                </c:pt>
                <c:pt idx="63">
                  <c:v>15.187193445275735</c:v>
                </c:pt>
                <c:pt idx="64">
                  <c:v>15.161118891483314</c:v>
                </c:pt>
                <c:pt idx="65">
                  <c:v>15.13867631505245</c:v>
                </c:pt>
                <c:pt idx="66">
                  <c:v>15.119359810506879</c:v>
                </c:pt>
                <c:pt idx="67">
                  <c:v>15.102733940967854</c:v>
                </c:pt>
                <c:pt idx="68">
                  <c:v>15.088423922440613</c:v>
                </c:pt>
                <c:pt idx="69">
                  <c:v>15.076107175351426</c:v>
                </c:pt>
                <c:pt idx="70">
                  <c:v>15.065506052888153</c:v>
                </c:pt>
                <c:pt idx="71">
                  <c:v>15.056381582224954</c:v>
                </c:pt>
                <c:pt idx="72">
                  <c:v>15.048528077544484</c:v>
                </c:pt>
                <c:pt idx="73">
                  <c:v>15.041768503423111</c:v>
                </c:pt>
                <c:pt idx="74">
                  <c:v>15.03595048405961</c:v>
                </c:pt>
                <c:pt idx="75">
                  <c:v>15.024708382261515</c:v>
                </c:pt>
                <c:pt idx="76">
                  <c:v>15.016981806224608</c:v>
                </c:pt>
                <c:pt idx="77">
                  <c:v>15.01167141335268</c:v>
                </c:pt>
                <c:pt idx="78">
                  <c:v>15.008021637265633</c:v>
                </c:pt>
                <c:pt idx="79">
                  <c:v>15.00551318529102</c:v>
                </c:pt>
                <c:pt idx="80">
                  <c:v>15.003789153142506</c:v>
                </c:pt>
                <c:pt idx="81">
                  <c:v>15.002604244330541</c:v>
                </c:pt>
                <c:pt idx="82">
                  <c:v>15.001789869207734</c:v>
                </c:pt>
                <c:pt idx="83">
                  <c:v>15.001230157916913</c:v>
                </c:pt>
                <c:pt idx="84">
                  <c:v>15.000845474347514</c:v>
                </c:pt>
                <c:pt idx="85">
                  <c:v>15.00058108545454</c:v>
                </c:pt>
                <c:pt idx="86">
                  <c:v>15.000399373802967</c:v>
                </c:pt>
                <c:pt idx="87">
                  <c:v>15.000274485333009</c:v>
                </c:pt>
                <c:pt idx="88">
                  <c:v>15.000188650826562</c:v>
                </c:pt>
                <c:pt idx="89">
                  <c:v>15.000129657690531</c:v>
                </c:pt>
                <c:pt idx="90">
                  <c:v>15.000089112340614</c:v>
                </c:pt>
                <c:pt idx="91">
                  <c:v>15.000061245956312</c:v>
                </c:pt>
                <c:pt idx="92">
                  <c:v>15.000042093689142</c:v>
                </c:pt>
                <c:pt idx="93">
                  <c:v>15.000028930541253</c:v>
                </c:pt>
                <c:pt idx="94">
                  <c:v>15.000019883650832</c:v>
                </c:pt>
                <c:pt idx="95">
                  <c:v>15.0000093923716</c:v>
                </c:pt>
                <c:pt idx="96">
                  <c:v>15.000004436642195</c:v>
                </c:pt>
                <c:pt idx="97">
                  <c:v>15.00000209572138</c:v>
                </c:pt>
                <c:pt idx="98">
                  <c:v>15.000000989948683</c:v>
                </c:pt>
                <c:pt idx="99">
                  <c:v>15.000000467618648</c:v>
                </c:pt>
                <c:pt idx="100">
                  <c:v>15.000000220887408</c:v>
                </c:pt>
                <c:pt idx="101">
                  <c:v>15.000000104339824</c:v>
                </c:pt>
                <c:pt idx="102">
                  <c:v>15.000000049286642</c:v>
                </c:pt>
                <c:pt idx="103">
                  <c:v>15.000000023281361</c:v>
                </c:pt>
                <c:pt idx="104">
                  <c:v>15.000000010997336</c:v>
                </c:pt>
                <c:pt idx="105">
                  <c:v>15.000000002453838</c:v>
                </c:pt>
                <c:pt idx="106">
                  <c:v>15.000000000547525</c:v>
                </c:pt>
                <c:pt idx="107">
                  <c:v>15.000000000122169</c:v>
                </c:pt>
                <c:pt idx="108">
                  <c:v>15.00000000002726</c:v>
                </c:pt>
                <c:pt idx="109">
                  <c:v>15.000000000006082</c:v>
                </c:pt>
                <c:pt idx="110">
                  <c:v>15.000000000000933</c:v>
                </c:pt>
                <c:pt idx="111">
                  <c:v>15.000000000000144</c:v>
                </c:pt>
                <c:pt idx="112">
                  <c:v>15.000000000000021</c:v>
                </c:pt>
                <c:pt idx="113">
                  <c:v>15.000000000000004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F-45EE-9F54-30F8B1FA6BDA}"/>
            </c:ext>
          </c:extLst>
        </c:ser>
        <c:ser>
          <c:idx val="6"/>
          <c:order val="6"/>
          <c:tx>
            <c:strRef>
              <c:f>Reference!$W$103</c:f>
              <c:strCache>
                <c:ptCount val="1"/>
                <c:pt idx="0">
                  <c:v>scars perm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Reference!$P$108:$P$236</c:f>
              <c:numCache>
                <c:formatCode>General</c:formatCode>
                <c:ptCount val="1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52</c:v>
                </c:pt>
                <c:pt idx="51">
                  <c:v>54</c:v>
                </c:pt>
                <c:pt idx="52">
                  <c:v>56</c:v>
                </c:pt>
                <c:pt idx="53">
                  <c:v>58</c:v>
                </c:pt>
                <c:pt idx="54">
                  <c:v>60</c:v>
                </c:pt>
                <c:pt idx="55">
                  <c:v>62</c:v>
                </c:pt>
                <c:pt idx="56">
                  <c:v>64</c:v>
                </c:pt>
                <c:pt idx="57">
                  <c:v>66</c:v>
                </c:pt>
                <c:pt idx="58">
                  <c:v>68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76</c:v>
                </c:pt>
                <c:pt idx="63">
                  <c:v>78</c:v>
                </c:pt>
                <c:pt idx="64">
                  <c:v>80</c:v>
                </c:pt>
                <c:pt idx="65">
                  <c:v>82</c:v>
                </c:pt>
                <c:pt idx="66">
                  <c:v>84</c:v>
                </c:pt>
                <c:pt idx="67">
                  <c:v>86</c:v>
                </c:pt>
                <c:pt idx="68">
                  <c:v>88</c:v>
                </c:pt>
                <c:pt idx="69">
                  <c:v>90</c:v>
                </c:pt>
                <c:pt idx="70">
                  <c:v>92</c:v>
                </c:pt>
                <c:pt idx="71">
                  <c:v>94</c:v>
                </c:pt>
                <c:pt idx="72">
                  <c:v>96</c:v>
                </c:pt>
                <c:pt idx="73">
                  <c:v>98</c:v>
                </c:pt>
                <c:pt idx="74">
                  <c:v>100</c:v>
                </c:pt>
                <c:pt idx="75">
                  <c:v>105</c:v>
                </c:pt>
                <c:pt idx="76">
                  <c:v>110</c:v>
                </c:pt>
                <c:pt idx="77">
                  <c:v>115</c:v>
                </c:pt>
                <c:pt idx="78">
                  <c:v>120</c:v>
                </c:pt>
                <c:pt idx="79">
                  <c:v>125</c:v>
                </c:pt>
                <c:pt idx="80">
                  <c:v>130</c:v>
                </c:pt>
                <c:pt idx="81">
                  <c:v>135</c:v>
                </c:pt>
                <c:pt idx="82">
                  <c:v>140</c:v>
                </c:pt>
                <c:pt idx="83">
                  <c:v>145</c:v>
                </c:pt>
                <c:pt idx="84">
                  <c:v>150</c:v>
                </c:pt>
                <c:pt idx="85">
                  <c:v>155</c:v>
                </c:pt>
                <c:pt idx="86">
                  <c:v>160</c:v>
                </c:pt>
                <c:pt idx="87">
                  <c:v>165</c:v>
                </c:pt>
                <c:pt idx="88">
                  <c:v>170</c:v>
                </c:pt>
                <c:pt idx="89">
                  <c:v>175</c:v>
                </c:pt>
                <c:pt idx="90">
                  <c:v>180</c:v>
                </c:pt>
                <c:pt idx="91">
                  <c:v>185</c:v>
                </c:pt>
                <c:pt idx="92">
                  <c:v>190</c:v>
                </c:pt>
                <c:pt idx="93">
                  <c:v>195</c:v>
                </c:pt>
                <c:pt idx="94">
                  <c:v>200</c:v>
                </c:pt>
                <c:pt idx="95">
                  <c:v>210</c:v>
                </c:pt>
                <c:pt idx="96">
                  <c:v>220</c:v>
                </c:pt>
                <c:pt idx="97">
                  <c:v>230</c:v>
                </c:pt>
                <c:pt idx="98">
                  <c:v>240</c:v>
                </c:pt>
                <c:pt idx="99">
                  <c:v>250</c:v>
                </c:pt>
                <c:pt idx="100">
                  <c:v>260</c:v>
                </c:pt>
                <c:pt idx="101">
                  <c:v>270</c:v>
                </c:pt>
                <c:pt idx="102">
                  <c:v>280</c:v>
                </c:pt>
                <c:pt idx="103">
                  <c:v>290</c:v>
                </c:pt>
                <c:pt idx="104">
                  <c:v>300</c:v>
                </c:pt>
                <c:pt idx="105">
                  <c:v>320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400</c:v>
                </c:pt>
                <c:pt idx="110">
                  <c:v>425</c:v>
                </c:pt>
                <c:pt idx="111">
                  <c:v>450</c:v>
                </c:pt>
                <c:pt idx="112">
                  <c:v>475</c:v>
                </c:pt>
                <c:pt idx="113">
                  <c:v>500</c:v>
                </c:pt>
                <c:pt idx="114">
                  <c:v>550</c:v>
                </c:pt>
                <c:pt idx="115">
                  <c:v>600</c:v>
                </c:pt>
                <c:pt idx="116">
                  <c:v>650</c:v>
                </c:pt>
                <c:pt idx="117">
                  <c:v>700</c:v>
                </c:pt>
                <c:pt idx="118">
                  <c:v>750</c:v>
                </c:pt>
                <c:pt idx="119">
                  <c:v>800</c:v>
                </c:pt>
                <c:pt idx="120">
                  <c:v>850</c:v>
                </c:pt>
                <c:pt idx="121">
                  <c:v>900</c:v>
                </c:pt>
                <c:pt idx="122">
                  <c:v>950</c:v>
                </c:pt>
                <c:pt idx="123">
                  <c:v>1000</c:v>
                </c:pt>
                <c:pt idx="124">
                  <c:v>1100</c:v>
                </c:pt>
                <c:pt idx="125">
                  <c:v>1200</c:v>
                </c:pt>
                <c:pt idx="126">
                  <c:v>1300</c:v>
                </c:pt>
                <c:pt idx="127">
                  <c:v>1400</c:v>
                </c:pt>
                <c:pt idx="128">
                  <c:v>1500</c:v>
                </c:pt>
              </c:numCache>
            </c:numRef>
          </c:xVal>
          <c:yVal>
            <c:numRef>
              <c:f>Reference!$W$108:$W$236</c:f>
              <c:numCache>
                <c:formatCode>General</c:formatCode>
                <c:ptCount val="129"/>
                <c:pt idx="0">
                  <c:v>74.761402758820083</c:v>
                </c:pt>
                <c:pt idx="1">
                  <c:v>69.901328290816693</c:v>
                </c:pt>
                <c:pt idx="2">
                  <c:v>65.392425860054828</c:v>
                </c:pt>
                <c:pt idx="3">
                  <c:v>61.209320999424548</c:v>
                </c:pt>
                <c:pt idx="4">
                  <c:v>57.328472712345487</c:v>
                </c:pt>
                <c:pt idx="5">
                  <c:v>53.728040992578563</c:v>
                </c:pt>
                <c:pt idx="6">
                  <c:v>50.387763916594096</c:v>
                </c:pt>
                <c:pt idx="7">
                  <c:v>47.288843616816912</c:v>
                </c:pt>
                <c:pt idx="8">
                  <c:v>44.413840494047314</c:v>
                </c:pt>
                <c:pt idx="9">
                  <c:v>41.746575073723562</c:v>
                </c:pt>
                <c:pt idx="10">
                  <c:v>39.27203695370882</c:v>
                </c:pt>
                <c:pt idx="11">
                  <c:v>36.976300331193436</c:v>
                </c:pt>
                <c:pt idx="12">
                  <c:v>34.846445633328884</c:v>
                </c:pt>
                <c:pt idx="13">
                  <c:v>32.870486810558759</c:v>
                </c:pt>
                <c:pt idx="14">
                  <c:v>31.037303883480355</c:v>
                </c:pt>
                <c:pt idx="15">
                  <c:v>29.336580363634656</c:v>
                </c:pt>
                <c:pt idx="16">
                  <c:v>27.758745196052033</c:v>
                </c:pt>
                <c:pt idx="17">
                  <c:v>26.294918896827134</c:v>
                </c:pt>
                <c:pt idx="18">
                  <c:v>24.936863582604804</c:v>
                </c:pt>
                <c:pt idx="19">
                  <c:v>23.67693661076116</c:v>
                </c:pt>
                <c:pt idx="20">
                  <c:v>22.508047569383567</c:v>
                </c:pt>
                <c:pt idx="21">
                  <c:v>21.423618375004676</c:v>
                </c:pt>
                <c:pt idx="22">
                  <c:v>20.417546253535136</c:v>
                </c:pt>
                <c:pt idx="23">
                  <c:v>19.484169396065024</c:v>
                </c:pt>
                <c:pt idx="24">
                  <c:v>18.618235096257315</c:v>
                </c:pt>
                <c:pt idx="25">
                  <c:v>17.814870190022233</c:v>
                </c:pt>
                <c:pt idx="26">
                  <c:v>17.069553631117692</c:v>
                </c:pt>
                <c:pt idx="27">
                  <c:v>16.37809104834119</c:v>
                </c:pt>
                <c:pt idx="28">
                  <c:v>15.736591141130374</c:v>
                </c:pt>
                <c:pt idx="29">
                  <c:v>15.141443780735164</c:v>
                </c:pt>
                <c:pt idx="30">
                  <c:v>14.589299693722879</c:v>
                </c:pt>
                <c:pt idx="31">
                  <c:v>14.077051613482407</c:v>
                </c:pt>
                <c:pt idx="32">
                  <c:v>13.601816793655001</c:v>
                </c:pt>
                <c:pt idx="33">
                  <c:v>13.160920785083604</c:v>
                </c:pt>
                <c:pt idx="34">
                  <c:v>12.751882384983229</c:v>
                </c:pt>
                <c:pt idx="35">
                  <c:v>12.372399673631858</c:v>
                </c:pt>
                <c:pt idx="36">
                  <c:v>12.020337060001324</c:v>
                </c:pt>
                <c:pt idx="37">
                  <c:v>11.693713263425789</c:v>
                </c:pt>
                <c:pt idx="38">
                  <c:v>11.390690163672936</c:v>
                </c:pt>
                <c:pt idx="39">
                  <c:v>11.109562456670137</c:v>
                </c:pt>
                <c:pt idx="40">
                  <c:v>10.848748057671807</c:v>
                </c:pt>
                <c:pt idx="41">
                  <c:v>10.606779197860414</c:v>
                </c:pt>
                <c:pt idx="42">
                  <c:v>10.382294164276045</c:v>
                </c:pt>
                <c:pt idx="43">
                  <c:v>10.174029636589902</c:v>
                </c:pt>
                <c:pt idx="44">
                  <c:v>9.9808135775957876</c:v>
                </c:pt>
                <c:pt idx="45">
                  <c:v>9.8015586374099257</c:v>
                </c:pt>
                <c:pt idx="46">
                  <c:v>9.6352560342602782</c:v>
                </c:pt>
                <c:pt idx="47">
                  <c:v>9.480969877428711</c:v>
                </c:pt>
                <c:pt idx="48">
                  <c:v>9.3378319003975587</c:v>
                </c:pt>
                <c:pt idx="49">
                  <c:v>9.2050365745606602</c:v>
                </c:pt>
                <c:pt idx="50">
                  <c:v>8.9675385798208183</c:v>
                </c:pt>
                <c:pt idx="51">
                  <c:v>8.7631221613632793</c:v>
                </c:pt>
                <c:pt idx="52">
                  <c:v>8.5871793194846333</c:v>
                </c:pt>
                <c:pt idx="53">
                  <c:v>8.4357439120847904</c:v>
                </c:pt>
                <c:pt idx="54">
                  <c:v>8.305402249022567</c:v>
                </c:pt>
                <c:pt idx="55">
                  <c:v>8.1932161399644041</c:v>
                </c:pt>
                <c:pt idx="56">
                  <c:v>8.0966566610539523</c:v>
                </c:pt>
                <c:pt idx="57">
                  <c:v>8.0135471473562792</c:v>
                </c:pt>
                <c:pt idx="58">
                  <c:v>7.9420141259998838</c:v>
                </c:pt>
                <c:pt idx="59">
                  <c:v>7.8804450839406508</c:v>
                </c:pt>
                <c:pt idx="60">
                  <c:v>7.8274521183394183</c:v>
                </c:pt>
                <c:pt idx="61">
                  <c:v>7.7818406501520192</c:v>
                </c:pt>
                <c:pt idx="62">
                  <c:v>7.7425824956666673</c:v>
                </c:pt>
                <c:pt idx="63">
                  <c:v>7.708792688961398</c:v>
                </c:pt>
                <c:pt idx="64">
                  <c:v>7.6797095328083111</c:v>
                </c:pt>
                <c:pt idx="65">
                  <c:v>7.6546774283277337</c:v>
                </c:pt>
                <c:pt idx="66">
                  <c:v>7.6331320963345961</c:v>
                </c:pt>
                <c:pt idx="67">
                  <c:v>7.6145878572333761</c:v>
                </c:pt>
                <c:pt idx="68">
                  <c:v>7.5986266827222222</c:v>
                </c:pt>
                <c:pt idx="69">
                  <c:v>7.5848887725073597</c:v>
                </c:pt>
                <c:pt idx="70">
                  <c:v>7.5730644436060173</c:v>
                </c:pt>
                <c:pt idx="71">
                  <c:v>7.5628871494047578</c:v>
                </c:pt>
                <c:pt idx="72">
                  <c:v>7.554127471107309</c:v>
                </c:pt>
                <c:pt idx="73">
                  <c:v>7.5465879461257783</c:v>
                </c:pt>
                <c:pt idx="74">
                  <c:v>7.540098616835718</c:v>
                </c:pt>
                <c:pt idx="75">
                  <c:v>7.5275593494455357</c:v>
                </c:pt>
                <c:pt idx="76">
                  <c:v>7.5189412454043705</c:v>
                </c:pt>
                <c:pt idx="77">
                  <c:v>7.5130181148933728</c:v>
                </c:pt>
                <c:pt idx="78">
                  <c:v>7.5089472107962845</c:v>
                </c:pt>
                <c:pt idx="79">
                  <c:v>7.5061493220553688</c:v>
                </c:pt>
                <c:pt idx="80">
                  <c:v>7.5042263631204884</c:v>
                </c:pt>
                <c:pt idx="81">
                  <c:v>7.5029047340609889</c:v>
                </c:pt>
                <c:pt idx="82">
                  <c:v>7.5019963925778566</c:v>
                </c:pt>
                <c:pt idx="83">
                  <c:v>7.5013720992150184</c:v>
                </c:pt>
                <c:pt idx="84">
                  <c:v>7.5009430290799202</c:v>
                </c:pt>
                <c:pt idx="85">
                  <c:v>7.5006481337762168</c:v>
                </c:pt>
                <c:pt idx="86">
                  <c:v>7.5004454553956164</c:v>
                </c:pt>
                <c:pt idx="87">
                  <c:v>7.5003061567175866</c:v>
                </c:pt>
                <c:pt idx="88">
                  <c:v>7.500210418229627</c:v>
                </c:pt>
                <c:pt idx="89">
                  <c:v>7.5001446181932847</c:v>
                </c:pt>
                <c:pt idx="90">
                  <c:v>7.5000993945337626</c:v>
                </c:pt>
                <c:pt idx="91">
                  <c:v>7.5000683127974259</c:v>
                </c:pt>
                <c:pt idx="92">
                  <c:v>7.5000469506532745</c:v>
                </c:pt>
                <c:pt idx="93">
                  <c:v>7.500032268680628</c:v>
                </c:pt>
                <c:pt idx="94">
                  <c:v>7.5000221779182361</c:v>
                </c:pt>
                <c:pt idx="95">
                  <c:v>7.5000104761067847</c:v>
                </c:pt>
                <c:pt idx="96">
                  <c:v>7.5000049485624478</c:v>
                </c:pt>
                <c:pt idx="97">
                  <c:v>7.5000023375353848</c:v>
                </c:pt>
                <c:pt idx="98">
                  <c:v>7.5000011041735313</c:v>
                </c:pt>
                <c:pt idx="99">
                  <c:v>7.5000005215746448</c:v>
                </c:pt>
                <c:pt idx="100">
                  <c:v>7.5000002463744169</c:v>
                </c:pt>
                <c:pt idx="101">
                  <c:v>7.5000001163790344</c:v>
                </c:pt>
                <c:pt idx="102">
                  <c:v>7.5000000549735635</c:v>
                </c:pt>
                <c:pt idx="103">
                  <c:v>7.5000000259676725</c:v>
                </c:pt>
                <c:pt idx="104">
                  <c:v>7.50000001226626</c:v>
                </c:pt>
                <c:pt idx="105">
                  <c:v>7.5000000027369724</c:v>
                </c:pt>
                <c:pt idx="106">
                  <c:v>7.5000000006107008</c:v>
                </c:pt>
                <c:pt idx="107">
                  <c:v>7.5000000001362661</c:v>
                </c:pt>
                <c:pt idx="108">
                  <c:v>7.500000000030405</c:v>
                </c:pt>
                <c:pt idx="109">
                  <c:v>7.5000000000067839</c:v>
                </c:pt>
                <c:pt idx="110">
                  <c:v>7.5000000000010401</c:v>
                </c:pt>
                <c:pt idx="111">
                  <c:v>7.5000000000001599</c:v>
                </c:pt>
                <c:pt idx="112">
                  <c:v>7.5000000000000249</c:v>
                </c:pt>
                <c:pt idx="113">
                  <c:v>7.5000000000000036</c:v>
                </c:pt>
                <c:pt idx="114">
                  <c:v>7.5</c:v>
                </c:pt>
                <c:pt idx="115">
                  <c:v>7.5</c:v>
                </c:pt>
                <c:pt idx="116">
                  <c:v>7.5</c:v>
                </c:pt>
                <c:pt idx="117">
                  <c:v>7.5</c:v>
                </c:pt>
                <c:pt idx="118">
                  <c:v>7.5</c:v>
                </c:pt>
                <c:pt idx="119">
                  <c:v>7.5</c:v>
                </c:pt>
                <c:pt idx="120">
                  <c:v>7.5</c:v>
                </c:pt>
                <c:pt idx="121">
                  <c:v>7.5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7.5</c:v>
                </c:pt>
                <c:pt idx="126">
                  <c:v>7.5</c:v>
                </c:pt>
                <c:pt idx="127">
                  <c:v>7.5</c:v>
                </c:pt>
                <c:pt idx="128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F-45EE-9F54-30F8B1FA6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276840"/>
        <c:axId val="1082274544"/>
      </c:scatterChart>
      <c:valAx>
        <c:axId val="1082276840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274544"/>
        <c:crosses val="autoZero"/>
        <c:crossBetween val="midCat"/>
      </c:valAx>
      <c:valAx>
        <c:axId val="1082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227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514565</xdr:colOff>
      <xdr:row>3</xdr:row>
      <xdr:rowOff>0</xdr:rowOff>
    </xdr:from>
    <xdr:to>
      <xdr:col>42</xdr:col>
      <xdr:colOff>216993</xdr:colOff>
      <xdr:row>31</xdr:row>
      <xdr:rowOff>33617</xdr:rowOff>
    </xdr:to>
    <xdr:pic>
      <xdr:nvPicPr>
        <xdr:cNvPr id="2" name="Picture 1" descr="USDA soil classification. | Download Scientific Diagram">
          <a:extLst>
            <a:ext uri="{FF2B5EF4-FFF2-40B4-BE49-F238E27FC236}">
              <a16:creationId xmlns:a16="http://schemas.microsoft.com/office/drawing/2014/main" id="{6A3E0FCB-B9A1-4EDB-955B-E6A7EC21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3271" y="571500"/>
          <a:ext cx="4543370" cy="4549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245931</xdr:colOff>
      <xdr:row>101</xdr:row>
      <xdr:rowOff>30901</xdr:rowOff>
    </xdr:from>
    <xdr:to>
      <xdr:col>30</xdr:col>
      <xdr:colOff>458571</xdr:colOff>
      <xdr:row>120</xdr:row>
      <xdr:rowOff>52883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E4250-D74F-4290-8982-D8C1CB5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dslide%20Dep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"/>
      <sheetName val="Sheet2"/>
    </sheetNames>
    <sheetDataSet>
      <sheetData sheetId="0">
        <row r="30">
          <cell r="AN30">
            <v>7.6</v>
          </cell>
          <cell r="AO30">
            <v>6.3</v>
          </cell>
          <cell r="AP30">
            <v>5.8</v>
          </cell>
          <cell r="AQ30">
            <v>5.6</v>
          </cell>
        </row>
        <row r="31">
          <cell r="AO31">
            <v>6</v>
          </cell>
          <cell r="AP31">
            <v>4.5999999999999996</v>
          </cell>
          <cell r="AQ31">
            <v>4.5</v>
          </cell>
        </row>
        <row r="32">
          <cell r="AN32">
            <v>7.6</v>
          </cell>
          <cell r="AO32">
            <v>6.3</v>
          </cell>
          <cell r="AP32">
            <v>5.8</v>
          </cell>
          <cell r="AQ32">
            <v>5.6</v>
          </cell>
        </row>
        <row r="33">
          <cell r="AO33">
            <v>5.2</v>
          </cell>
          <cell r="AP33">
            <v>3.8</v>
          </cell>
          <cell r="AQ33">
            <v>3.7</v>
          </cell>
        </row>
        <row r="34">
          <cell r="AN34">
            <v>6.6</v>
          </cell>
          <cell r="AO34">
            <v>5.6</v>
          </cell>
          <cell r="AP34">
            <v>4.8</v>
          </cell>
          <cell r="AQ34">
            <v>4.5999999999999996</v>
          </cell>
        </row>
        <row r="35">
          <cell r="AO35">
            <v>3.5</v>
          </cell>
          <cell r="AP35">
            <v>2.9</v>
          </cell>
          <cell r="AQ35">
            <v>2.4</v>
          </cell>
        </row>
        <row r="36">
          <cell r="AO36">
            <v>4.0999999999999996</v>
          </cell>
          <cell r="AP36">
            <v>3.4</v>
          </cell>
          <cell r="AQ36">
            <v>3</v>
          </cell>
        </row>
        <row r="37">
          <cell r="AO37">
            <v>5.3</v>
          </cell>
          <cell r="AP37">
            <v>3.6</v>
          </cell>
          <cell r="AQ37">
            <v>3.1</v>
          </cell>
        </row>
        <row r="38">
          <cell r="AN38">
            <v>5.5</v>
          </cell>
          <cell r="AO38">
            <v>4.5999999999999996</v>
          </cell>
          <cell r="AP38">
            <v>3.1</v>
          </cell>
          <cell r="AQ38">
            <v>3</v>
          </cell>
        </row>
        <row r="39">
          <cell r="AN39">
            <v>4.0999999999999996</v>
          </cell>
          <cell r="AO39">
            <v>3.4</v>
          </cell>
          <cell r="AP39">
            <v>2.8</v>
          </cell>
          <cell r="AQ39">
            <v>2.4</v>
          </cell>
        </row>
        <row r="40">
          <cell r="AO40">
            <v>3.3</v>
          </cell>
          <cell r="AP40">
            <v>2.6</v>
          </cell>
          <cell r="AQ40">
            <v>2.4</v>
          </cell>
        </row>
        <row r="41">
          <cell r="AN41">
            <v>1.8</v>
          </cell>
          <cell r="AO41">
            <v>1.5</v>
          </cell>
          <cell r="AP41">
            <v>1.2</v>
          </cell>
          <cell r="AQ41">
            <v>0.8</v>
          </cell>
        </row>
        <row r="42">
          <cell r="AN42">
            <v>1.8</v>
          </cell>
          <cell r="AO42">
            <v>1.5</v>
          </cell>
          <cell r="AP42">
            <v>1.2</v>
          </cell>
          <cell r="AQ42">
            <v>0.8</v>
          </cell>
        </row>
        <row r="80">
          <cell r="AJ80">
            <v>132</v>
          </cell>
          <cell r="AK80">
            <v>36</v>
          </cell>
          <cell r="AL80">
            <v>19</v>
          </cell>
          <cell r="AM80">
            <v>13</v>
          </cell>
        </row>
        <row r="81">
          <cell r="AK81">
            <v>44</v>
          </cell>
          <cell r="AL81">
            <v>18</v>
          </cell>
          <cell r="AM81">
            <v>11</v>
          </cell>
        </row>
        <row r="82">
          <cell r="AJ82">
            <v>132</v>
          </cell>
          <cell r="AK82">
            <v>36</v>
          </cell>
          <cell r="AL82">
            <v>19</v>
          </cell>
          <cell r="AM82">
            <v>13</v>
          </cell>
        </row>
        <row r="83">
          <cell r="AJ83" t="str">
            <v/>
          </cell>
          <cell r="AK83">
            <v>44</v>
          </cell>
          <cell r="AL83">
            <v>16</v>
          </cell>
          <cell r="AM83">
            <v>9</v>
          </cell>
        </row>
        <row r="84">
          <cell r="AJ84">
            <v>429</v>
          </cell>
          <cell r="AK84">
            <v>39</v>
          </cell>
          <cell r="AL84">
            <v>18</v>
          </cell>
          <cell r="AM84">
            <v>11</v>
          </cell>
        </row>
        <row r="85">
          <cell r="AJ85" t="str">
            <v/>
          </cell>
          <cell r="AK85">
            <v>39</v>
          </cell>
          <cell r="AL85">
            <v>13</v>
          </cell>
          <cell r="AM85">
            <v>7</v>
          </cell>
        </row>
        <row r="86">
          <cell r="AJ86" t="str">
            <v/>
          </cell>
          <cell r="AK86">
            <v>44</v>
          </cell>
          <cell r="AL86">
            <v>16</v>
          </cell>
          <cell r="AM86">
            <v>8</v>
          </cell>
        </row>
        <row r="87">
          <cell r="AJ87" t="str">
            <v/>
          </cell>
          <cell r="AK87">
            <v>50</v>
          </cell>
          <cell r="AL87">
            <v>16</v>
          </cell>
          <cell r="AM87">
            <v>8</v>
          </cell>
        </row>
        <row r="88">
          <cell r="AJ88">
            <v>281.11111111111109</v>
          </cell>
          <cell r="AK88">
            <v>46</v>
          </cell>
          <cell r="AL88">
            <v>14</v>
          </cell>
          <cell r="AM88">
            <v>8</v>
          </cell>
        </row>
        <row r="89">
          <cell r="AJ89">
            <v>238.33333333333331</v>
          </cell>
          <cell r="AK89">
            <v>39</v>
          </cell>
          <cell r="AL89">
            <v>13</v>
          </cell>
          <cell r="AM89">
            <v>6</v>
          </cell>
        </row>
        <row r="90">
          <cell r="AJ90" t="str">
            <v/>
          </cell>
          <cell r="AK90">
            <v>44</v>
          </cell>
          <cell r="AL90">
            <v>13</v>
          </cell>
          <cell r="AM90">
            <v>6</v>
          </cell>
        </row>
        <row r="91">
          <cell r="AJ91">
            <v>134.44444444444443</v>
          </cell>
          <cell r="AK91">
            <v>22</v>
          </cell>
          <cell r="AL91">
            <v>7</v>
          </cell>
          <cell r="AM91">
            <v>2</v>
          </cell>
        </row>
        <row r="92">
          <cell r="AJ92">
            <v>134.44444444444443</v>
          </cell>
          <cell r="AK92">
            <v>22</v>
          </cell>
          <cell r="AL92">
            <v>7</v>
          </cell>
          <cell r="AM92">
            <v>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o.org/tempref/FI/CDrom/FAO_Training/FAO_Training/General/x6706e/x6706e09.htm" TargetMode="External"/><Relationship Id="rId3" Type="http://schemas.openxmlformats.org/officeDocument/2006/relationships/hyperlink" Target="https://www.geostru.com/Help_Online_2015/MDC/IT/index.html?database_caratteristiche_fisic.htm" TargetMode="External"/><Relationship Id="rId7" Type="http://schemas.openxmlformats.org/officeDocument/2006/relationships/hyperlink" Target="http://www-3.unipv.it/webidra/materialeDidattico/fugazza/sistBacini/Suolo.pdf" TargetMode="External"/><Relationship Id="rId2" Type="http://schemas.openxmlformats.org/officeDocument/2006/relationships/hyperlink" Target="http://www00.unibg.it/dati/corsi/60037/60434-2.Classificazione%20lezione%202%20GEO.pdf" TargetMode="External"/><Relationship Id="rId1" Type="http://schemas.openxmlformats.org/officeDocument/2006/relationships/hyperlink" Target="http://www.geotechnicalinfo.com/soil_unit_weight.html" TargetMode="External"/><Relationship Id="rId6" Type="http://schemas.openxmlformats.org/officeDocument/2006/relationships/hyperlink" Target="http://www00.unibg.it/dati/corsi/60037/60434-2.Classificazione%20lezione%202%20GEO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-3.unipv.it/webidra/materialeDidattico/fugazza/sistBacini/Suolo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geostru.com/Help_Online_2015/MDC/IT/index.html?database_caratteristiche_fisic.htm" TargetMode="External"/><Relationship Id="rId9" Type="http://schemas.openxmlformats.org/officeDocument/2006/relationships/hyperlink" Target="http://www-3.unipv.it/webidra/materialeDidattico/fugazza/sistBacini/Suolo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gnhs.wisc.edu/maps-data/data/rock-properties/understanding-porosity-density/" TargetMode="External"/><Relationship Id="rId13" Type="http://schemas.openxmlformats.org/officeDocument/2006/relationships/hyperlink" Target="https://www.researchgate.net/publication/271923681_Determination_of_Joint_Roughness_Coefficients_Using_Roughness_Parameters" TargetMode="External"/><Relationship Id="rId3" Type="http://schemas.openxmlformats.org/officeDocument/2006/relationships/hyperlink" Target="https://www.eoas.ubc.ca/ubcgif/iag/foundations/properties/density.htm" TargetMode="External"/><Relationship Id="rId7" Type="http://schemas.openxmlformats.org/officeDocument/2006/relationships/hyperlink" Target="https://www.geostru.com/Help_Online_2015/MDC/IT/index.html?database_caratteristiche_fisic.htm" TargetMode="External"/><Relationship Id="rId12" Type="http://schemas.openxmlformats.org/officeDocument/2006/relationships/hyperlink" Target="https://www.researchgate.net/figure/Point-load-testing-results-for-all-rocks-at-various-temperature-values_tbl1_309041947" TargetMode="External"/><Relationship Id="rId2" Type="http://schemas.openxmlformats.org/officeDocument/2006/relationships/hyperlink" Target="https://www.researchgate.net/figure/Geotechnical-parameters-unit-weight-friction-angle-and-effective-cohesion_tbl1_45107952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researchgate.net/figure/Basic-friction-angles-for-various-unweathered-rocks-obtained-from-flat-and-residual_tbl1_255628379" TargetMode="External"/><Relationship Id="rId6" Type="http://schemas.openxmlformats.org/officeDocument/2006/relationships/hyperlink" Target="https://www.geostru.com/Help_Online_2015/MDC/IT/index.html?database_caratteristiche_fisic.htm" TargetMode="External"/><Relationship Id="rId11" Type="http://schemas.openxmlformats.org/officeDocument/2006/relationships/hyperlink" Target="http://www.iring.ca/_Tutorials/module_7_2_2_print.html" TargetMode="External"/><Relationship Id="rId5" Type="http://schemas.openxmlformats.org/officeDocument/2006/relationships/hyperlink" Target="http://www00.unibg.it/dati/corsi/60037/60434-2.Classificazione%20lezione%202%20GEO.pdf" TargetMode="External"/><Relationship Id="rId15" Type="http://schemas.openxmlformats.org/officeDocument/2006/relationships/hyperlink" Target="https://people.unica.it/stefaniadapelo/files/2017/03/Meccanica-delle-rocce_caratterizzazione_2017.pdf" TargetMode="External"/><Relationship Id="rId10" Type="http://schemas.openxmlformats.org/officeDocument/2006/relationships/hyperlink" Target="https://www.semanticscholar.org/paper/Simultaneous-Effects-of-Joint-Spacing-and-on-TBM-in-Bejari-Hamidi/da446276cdd631d59c4edd3c4e694dd17af1b6c5" TargetMode="External"/><Relationship Id="rId4" Type="http://schemas.openxmlformats.org/officeDocument/2006/relationships/hyperlink" Target="http://www00.unibg.it/dati/corsi/60037/60434-2.Classificazione%20lezione%202%20GEO.pdf" TargetMode="External"/><Relationship Id="rId9" Type="http://schemas.openxmlformats.org/officeDocument/2006/relationships/hyperlink" Target="https://www.researchgate.net/figure/Permeability-coefficient-of-foundation-materials_tbl1_259996993" TargetMode="External"/><Relationship Id="rId14" Type="http://schemas.openxmlformats.org/officeDocument/2006/relationships/hyperlink" Target="http://www-3.unipv.it/webidra/materialeDidattico/fugazza/sistBacini/Suol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E957-3271-4567-ADAC-314F065E8203}">
  <dimension ref="A1:R43"/>
  <sheetViews>
    <sheetView tabSelected="1" zoomScaleNormal="100" workbookViewId="0">
      <selection activeCell="H24" sqref="H24"/>
    </sheetView>
  </sheetViews>
  <sheetFormatPr defaultRowHeight="15" x14ac:dyDescent="0.25"/>
  <cols>
    <col min="1" max="1" width="9.140625" style="3"/>
    <col min="2" max="2" width="14.7109375" style="3" customWidth="1"/>
    <col min="3" max="3" width="9.140625" style="3"/>
    <col min="4" max="4" width="10" style="3" bestFit="1" customWidth="1"/>
    <col min="5" max="5" width="9.140625" style="3"/>
    <col min="6" max="6" width="9.140625" style="3" customWidth="1"/>
    <col min="7" max="10" width="9.140625" style="3"/>
    <col min="11" max="14" width="8.42578125" style="3" bestFit="1" customWidth="1"/>
  </cols>
  <sheetData>
    <row r="1" spans="1:18" x14ac:dyDescent="0.25">
      <c r="A1" s="68" t="s">
        <v>116</v>
      </c>
      <c r="B1" s="70" t="s">
        <v>115</v>
      </c>
      <c r="C1" s="68" t="s">
        <v>111</v>
      </c>
      <c r="D1" s="69" t="s">
        <v>112</v>
      </c>
      <c r="E1" s="69" t="s">
        <v>113</v>
      </c>
      <c r="F1" s="68" t="s">
        <v>114</v>
      </c>
      <c r="G1" s="68" t="s">
        <v>127</v>
      </c>
      <c r="H1" s="76" t="s">
        <v>125</v>
      </c>
      <c r="I1" s="76" t="s">
        <v>128</v>
      </c>
      <c r="J1" s="76" t="s">
        <v>126</v>
      </c>
      <c r="K1" s="82" t="s">
        <v>132</v>
      </c>
      <c r="L1" s="82" t="s">
        <v>133</v>
      </c>
      <c r="M1" s="82" t="s">
        <v>134</v>
      </c>
      <c r="N1" s="82" t="s">
        <v>135</v>
      </c>
      <c r="O1" s="83" t="s">
        <v>136</v>
      </c>
      <c r="P1" s="83" t="s">
        <v>137</v>
      </c>
      <c r="Q1" s="83" t="s">
        <v>138</v>
      </c>
      <c r="R1" s="83" t="s">
        <v>139</v>
      </c>
    </row>
    <row r="2" spans="1:18" x14ac:dyDescent="0.25">
      <c r="A2" s="68">
        <v>0</v>
      </c>
      <c r="B2" s="70" t="s">
        <v>117</v>
      </c>
      <c r="C2" s="68"/>
      <c r="D2" s="69"/>
      <c r="E2" s="69"/>
      <c r="F2" s="68"/>
      <c r="G2" s="68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5">
      <c r="A3" s="68">
        <v>1</v>
      </c>
      <c r="B3" s="68" t="str">
        <f>+Reference!A3</f>
        <v>clay (heavy)</v>
      </c>
      <c r="C3" s="22">
        <f>Reference!N3</f>
        <v>42.804472764570505</v>
      </c>
      <c r="D3" s="20">
        <f>Reference!O3</f>
        <v>15.875367801276733</v>
      </c>
      <c r="E3" s="20">
        <f>Reference!P3</f>
        <v>7.5</v>
      </c>
      <c r="F3" s="22">
        <f>Reference!Q3</f>
        <v>24.362522170371708</v>
      </c>
      <c r="G3" s="75">
        <f>Reference!R3</f>
        <v>1.5611563246885305E-7</v>
      </c>
      <c r="H3" s="22">
        <f>+Reference!C111</f>
        <v>80</v>
      </c>
      <c r="I3" s="22">
        <f>+Reference!D111</f>
        <v>5</v>
      </c>
      <c r="J3" s="22">
        <f>+Reference!E111</f>
        <v>1.5</v>
      </c>
      <c r="K3" s="74">
        <f>+IF([1]MIN!AN30="","",[1]MIN!AN30)</f>
        <v>7.6</v>
      </c>
      <c r="L3" s="74">
        <f>+IF([1]MIN!AO30="","",[1]MIN!AO30)</f>
        <v>6.3</v>
      </c>
      <c r="M3" s="74">
        <f>+IF([1]MIN!AP30="","",[1]MIN!AP30)</f>
        <v>5.8</v>
      </c>
      <c r="N3" s="74">
        <f>+IF([1]MIN!AQ30="","",[1]MIN!AQ30)</f>
        <v>5.6</v>
      </c>
      <c r="O3" s="74">
        <f>+IF([1]MIN!AJ80="","",[1]MIN!AJ80)</f>
        <v>132</v>
      </c>
      <c r="P3" s="74">
        <f>+IF([1]MIN!AK80="","",[1]MIN!AK80)</f>
        <v>36</v>
      </c>
      <c r="Q3" s="74">
        <f>+IF([1]MIN!AL80="","",[1]MIN!AL80)</f>
        <v>19</v>
      </c>
      <c r="R3" s="74">
        <f>+IF([1]MIN!AM80="","",[1]MIN!AM80)</f>
        <v>13</v>
      </c>
    </row>
    <row r="4" spans="1:18" x14ac:dyDescent="0.25">
      <c r="A4" s="68">
        <v>2</v>
      </c>
      <c r="B4" s="68" t="str">
        <f>+Reference!A4</f>
        <v>silty clay</v>
      </c>
      <c r="C4" s="22">
        <f>Reference!N4</f>
        <v>41.650044916415212</v>
      </c>
      <c r="D4" s="20">
        <f>Reference!O4</f>
        <v>16.285391476180028</v>
      </c>
      <c r="E4" s="20">
        <f>Reference!P4</f>
        <v>14.625</v>
      </c>
      <c r="F4" s="22">
        <f>Reference!Q4</f>
        <v>17.084261085185851</v>
      </c>
      <c r="G4" s="75">
        <f>Reference!R4</f>
        <v>1.8836133717899819E-6</v>
      </c>
      <c r="H4" s="22">
        <f>AVERAGE(H5,H8)</f>
        <v>162.5</v>
      </c>
      <c r="I4" s="22">
        <f t="shared" ref="I4:J4" si="0">AVERAGE(I5,I8)</f>
        <v>12.5</v>
      </c>
      <c r="J4" s="22">
        <f t="shared" si="0"/>
        <v>1.5</v>
      </c>
      <c r="K4" s="74" t="str">
        <f>+IF([1]MIN!AN31="","",[1]MIN!AN31)</f>
        <v/>
      </c>
      <c r="L4" s="74">
        <f>+IF([1]MIN!AO31="","",[1]MIN!AO31)</f>
        <v>6</v>
      </c>
      <c r="M4" s="74">
        <f>+IF([1]MIN!AP31="","",[1]MIN!AP31)</f>
        <v>4.5999999999999996</v>
      </c>
      <c r="N4" s="74">
        <f>+IF([1]MIN!AQ31="","",[1]MIN!AQ31)</f>
        <v>4.5</v>
      </c>
      <c r="O4" s="74" t="str">
        <f>+IF([1]MIN!AJ81="","",[1]MIN!AJ81)</f>
        <v/>
      </c>
      <c r="P4" s="74">
        <f>+IF([1]MIN!AK81="","",[1]MIN!AK81)</f>
        <v>44</v>
      </c>
      <c r="Q4" s="74">
        <f>+IF([1]MIN!AL81="","",[1]MIN!AL81)</f>
        <v>18</v>
      </c>
      <c r="R4" s="74">
        <f>+IF([1]MIN!AM81="","",[1]MIN!AM81)</f>
        <v>11</v>
      </c>
    </row>
    <row r="5" spans="1:18" x14ac:dyDescent="0.25">
      <c r="A5" s="68">
        <v>3</v>
      </c>
      <c r="B5" s="68" t="str">
        <f>+Reference!A5</f>
        <v>clay</v>
      </c>
      <c r="C5" s="22">
        <f>Reference!N5</f>
        <v>42.804472764570505</v>
      </c>
      <c r="D5" s="20">
        <f>Reference!O5</f>
        <v>15.875367801276733</v>
      </c>
      <c r="E5" s="20">
        <f>Reference!P5</f>
        <v>7.5</v>
      </c>
      <c r="F5" s="22">
        <f>Reference!Q5</f>
        <v>24.362522170371708</v>
      </c>
      <c r="G5" s="75">
        <f>Reference!R5</f>
        <v>1.5611563246885305E-7</v>
      </c>
      <c r="H5" s="22">
        <f>+Reference!C110</f>
        <v>125</v>
      </c>
      <c r="I5" s="22">
        <f>+Reference!D110</f>
        <v>10</v>
      </c>
      <c r="J5" s="22">
        <f>+Reference!E110</f>
        <v>1.5</v>
      </c>
      <c r="K5" s="74">
        <f>+IF([1]MIN!AN32="","",[1]MIN!AN32)</f>
        <v>7.6</v>
      </c>
      <c r="L5" s="74">
        <f>+IF([1]MIN!AO32="","",[1]MIN!AO32)</f>
        <v>6.3</v>
      </c>
      <c r="M5" s="74">
        <f>+IF([1]MIN!AP32="","",[1]MIN!AP32)</f>
        <v>5.8</v>
      </c>
      <c r="N5" s="74">
        <f>+IF([1]MIN!AQ32="","",[1]MIN!AQ32)</f>
        <v>5.6</v>
      </c>
      <c r="O5" s="74">
        <f>+IF([1]MIN!AJ82="","",[1]MIN!AJ82)</f>
        <v>132</v>
      </c>
      <c r="P5" s="74">
        <f>+IF([1]MIN!AK82="","",[1]MIN!AK82)</f>
        <v>36</v>
      </c>
      <c r="Q5" s="74">
        <f>+IF([1]MIN!AL82="","",[1]MIN!AL82)</f>
        <v>19</v>
      </c>
      <c r="R5" s="74">
        <f>+IF([1]MIN!AM82="","",[1]MIN!AM82)</f>
        <v>13</v>
      </c>
    </row>
    <row r="6" spans="1:18" x14ac:dyDescent="0.25">
      <c r="A6" s="68">
        <v>4</v>
      </c>
      <c r="B6" s="68" t="str">
        <f>+Reference!A6</f>
        <v>silty clay loam</v>
      </c>
      <c r="C6" s="22">
        <f>Reference!N6</f>
        <v>40.781104367049302</v>
      </c>
      <c r="D6" s="20">
        <f>Reference!O6</f>
        <v>16.456821073993961</v>
      </c>
      <c r="E6" s="20">
        <f>Reference!P6</f>
        <v>17.733946609406726</v>
      </c>
      <c r="F6" s="22">
        <f>Reference!Q6</f>
        <v>13.920182759630098</v>
      </c>
      <c r="G6" s="75">
        <f>Reference!R6</f>
        <v>3.1062068290626357E-6</v>
      </c>
      <c r="H6" s="23">
        <f>H5*0.35+H8*0.55+H15*0.1</f>
        <v>178.75</v>
      </c>
      <c r="I6" s="23">
        <f>I5*0.35+I8*0.55+I15*0.1</f>
        <v>14.35</v>
      </c>
      <c r="J6" s="23">
        <f t="shared" ref="J6" si="1">J5*0.35+J8*0.55+J15*0.1</f>
        <v>1.5</v>
      </c>
      <c r="K6" s="74" t="str">
        <f>+IF([1]MIN!AN33="","",[1]MIN!AN33)</f>
        <v/>
      </c>
      <c r="L6" s="74">
        <f>+IF([1]MIN!AO33="","",[1]MIN!AO33)</f>
        <v>5.2</v>
      </c>
      <c r="M6" s="74">
        <f>+IF([1]MIN!AP33="","",[1]MIN!AP33)</f>
        <v>3.8</v>
      </c>
      <c r="N6" s="74">
        <f>+IF([1]MIN!AQ33="","",[1]MIN!AQ33)</f>
        <v>3.7</v>
      </c>
      <c r="O6" s="74" t="str">
        <f>+IF([1]MIN!AJ83="","",[1]MIN!AJ83)</f>
        <v/>
      </c>
      <c r="P6" s="74">
        <f>+IF([1]MIN!AK83="","",[1]MIN!AK83)</f>
        <v>44</v>
      </c>
      <c r="Q6" s="74">
        <f>+IF([1]MIN!AL83="","",[1]MIN!AL83)</f>
        <v>16</v>
      </c>
      <c r="R6" s="74">
        <f>+IF([1]MIN!AM83="","",[1]MIN!AM83)</f>
        <v>9</v>
      </c>
    </row>
    <row r="7" spans="1:18" x14ac:dyDescent="0.25">
      <c r="A7" s="68">
        <v>5</v>
      </c>
      <c r="B7" s="68" t="str">
        <f>+Reference!A7</f>
        <v>clay loam</v>
      </c>
      <c r="C7" s="22">
        <f>Reference!N7</f>
        <v>41.163833874268107</v>
      </c>
      <c r="D7" s="20">
        <f>Reference!O7</f>
        <v>16.229421076783844</v>
      </c>
      <c r="E7" s="20">
        <f>Reference!P7</f>
        <v>13.869077682344544</v>
      </c>
      <c r="F7" s="22">
        <f>Reference!Q7</f>
        <v>17.876014780247807</v>
      </c>
      <c r="G7" s="75">
        <f>Reference!R7</f>
        <v>2.4816876844767966E-6</v>
      </c>
      <c r="H7" s="22">
        <f>+AVERAGE(H11,H5)</f>
        <v>158.33333333333331</v>
      </c>
      <c r="I7" s="22">
        <f t="shared" ref="I7:J7" si="2">+AVERAGE(I11,I5)</f>
        <v>13.5</v>
      </c>
      <c r="J7" s="22">
        <f t="shared" si="2"/>
        <v>1.5</v>
      </c>
      <c r="K7" s="74">
        <f>+IF([1]MIN!AN34="","",[1]MIN!AN34)</f>
        <v>6.6</v>
      </c>
      <c r="L7" s="74">
        <f>+IF([1]MIN!AO34="","",[1]MIN!AO34)</f>
        <v>5.6</v>
      </c>
      <c r="M7" s="74">
        <f>+IF([1]MIN!AP34="","",[1]MIN!AP34)</f>
        <v>4.8</v>
      </c>
      <c r="N7" s="74">
        <f>+IF([1]MIN!AQ34="","",[1]MIN!AQ34)</f>
        <v>4.5999999999999996</v>
      </c>
      <c r="O7" s="74">
        <f>+IF([1]MIN!AJ84="","",[1]MIN!AJ84)</f>
        <v>429</v>
      </c>
      <c r="P7" s="74">
        <f>+IF([1]MIN!AK84="","",[1]MIN!AK84)</f>
        <v>39</v>
      </c>
      <c r="Q7" s="74">
        <f>+IF([1]MIN!AL84="","",[1]MIN!AL84)</f>
        <v>18</v>
      </c>
      <c r="R7" s="74">
        <f>+IF([1]MIN!AM84="","",[1]MIN!AM84)</f>
        <v>11</v>
      </c>
    </row>
    <row r="8" spans="1:18" x14ac:dyDescent="0.25">
      <c r="A8" s="68">
        <v>6</v>
      </c>
      <c r="B8" s="68" t="str">
        <f>+Reference!A8</f>
        <v>silt</v>
      </c>
      <c r="C8" s="22">
        <f>Reference!N8</f>
        <v>40.495617068259925</v>
      </c>
      <c r="D8" s="20">
        <f>Reference!O8</f>
        <v>16.695415151083321</v>
      </c>
      <c r="E8" s="20">
        <f>Reference!P8</f>
        <v>21.75</v>
      </c>
      <c r="F8" s="22">
        <f>Reference!Q8</f>
        <v>9.8059999999999974</v>
      </c>
      <c r="G8" s="75">
        <f>Reference!R8</f>
        <v>3.611111111111111E-6</v>
      </c>
      <c r="H8" s="22">
        <f>+Reference!C109</f>
        <v>200</v>
      </c>
      <c r="I8" s="22">
        <f>+Reference!D109</f>
        <v>15</v>
      </c>
      <c r="J8" s="22">
        <f>+Reference!E109</f>
        <v>1.5</v>
      </c>
      <c r="K8" s="74" t="str">
        <f>+IF([1]MIN!AN35="","",[1]MIN!AN35)</f>
        <v/>
      </c>
      <c r="L8" s="74">
        <f>+IF([1]MIN!AO35="","",[1]MIN!AO35)</f>
        <v>3.5</v>
      </c>
      <c r="M8" s="74">
        <f>+IF([1]MIN!AP35="","",[1]MIN!AP35)</f>
        <v>2.9</v>
      </c>
      <c r="N8" s="74">
        <f>+IF([1]MIN!AQ35="","",[1]MIN!AQ35)</f>
        <v>2.4</v>
      </c>
      <c r="O8" s="74" t="str">
        <f>+IF([1]MIN!AJ85="","",[1]MIN!AJ85)</f>
        <v/>
      </c>
      <c r="P8" s="74">
        <f>+IF([1]MIN!AK85="","",[1]MIN!AK85)</f>
        <v>39</v>
      </c>
      <c r="Q8" s="74">
        <f>+IF([1]MIN!AL85="","",[1]MIN!AL85)</f>
        <v>13</v>
      </c>
      <c r="R8" s="74">
        <f>+IF([1]MIN!AM85="","",[1]MIN!AM85)</f>
        <v>7</v>
      </c>
    </row>
    <row r="9" spans="1:18" x14ac:dyDescent="0.25">
      <c r="A9" s="68">
        <v>7</v>
      </c>
      <c r="B9" s="68" t="str">
        <f>+Reference!A9</f>
        <v>silt loam</v>
      </c>
      <c r="C9" s="22">
        <f>Reference!N9</f>
        <v>40.009406026112828</v>
      </c>
      <c r="D9" s="20">
        <f>Reference!O9</f>
        <v>16.639444751687137</v>
      </c>
      <c r="E9" s="20">
        <f>Reference!P9</f>
        <v>20.994077682344543</v>
      </c>
      <c r="F9" s="22">
        <f>Reference!Q9</f>
        <v>10.59775369506195</v>
      </c>
      <c r="G9" s="75">
        <f>Reference!R9</f>
        <v>4.2091854237979258E-6</v>
      </c>
      <c r="H9" s="22">
        <f>+AVERAGE(H8,H11)</f>
        <v>195.83333333333331</v>
      </c>
      <c r="I9" s="22">
        <f t="shared" ref="I9:J9" si="3">+AVERAGE(I8,I11)</f>
        <v>16</v>
      </c>
      <c r="J9" s="22">
        <f t="shared" si="3"/>
        <v>1.5</v>
      </c>
      <c r="K9" s="74" t="str">
        <f>+IF([1]MIN!AN36="","",[1]MIN!AN36)</f>
        <v/>
      </c>
      <c r="L9" s="74">
        <f>+IF([1]MIN!AO36="","",[1]MIN!AO36)</f>
        <v>4.0999999999999996</v>
      </c>
      <c r="M9" s="74">
        <f>+IF([1]MIN!AP36="","",[1]MIN!AP36)</f>
        <v>3.4</v>
      </c>
      <c r="N9" s="74">
        <f>+IF([1]MIN!AQ36="","",[1]MIN!AQ36)</f>
        <v>3</v>
      </c>
      <c r="O9" s="74" t="str">
        <f>+IF([1]MIN!AJ86="","",[1]MIN!AJ86)</f>
        <v/>
      </c>
      <c r="P9" s="74">
        <f>+IF([1]MIN!AK86="","",[1]MIN!AK86)</f>
        <v>44</v>
      </c>
      <c r="Q9" s="74">
        <f>+IF([1]MIN!AL86="","",[1]MIN!AL86)</f>
        <v>16</v>
      </c>
      <c r="R9" s="74">
        <f>+IF([1]MIN!AM86="","",[1]MIN!AM86)</f>
        <v>8</v>
      </c>
    </row>
    <row r="10" spans="1:18" x14ac:dyDescent="0.25">
      <c r="A10" s="68">
        <v>8</v>
      </c>
      <c r="B10" s="68" t="str">
        <f>+Reference!A10</f>
        <v>sandy clay</v>
      </c>
      <c r="C10" s="22">
        <f>Reference!N10</f>
        <v>39.036983941818633</v>
      </c>
      <c r="D10" s="20">
        <f>Reference!O10</f>
        <v>16.527503952894765</v>
      </c>
      <c r="E10" s="20">
        <f>Reference!P10</f>
        <v>19.482233047033631</v>
      </c>
      <c r="F10" s="22">
        <f>Reference!Q10</f>
        <v>12.181261085185854</v>
      </c>
      <c r="G10" s="75">
        <f>Reference!R10</f>
        <v>5.4053340491715554E-6</v>
      </c>
      <c r="H10" s="22">
        <f>AVERAGE(H15,H5)</f>
        <v>187.5</v>
      </c>
      <c r="I10" s="22">
        <f t="shared" ref="I10:J10" si="4">AVERAGE(I15,I5)</f>
        <v>18</v>
      </c>
      <c r="J10" s="22">
        <f t="shared" si="4"/>
        <v>1.5</v>
      </c>
      <c r="K10" s="74" t="str">
        <f>+IF([1]MIN!AN37="","",[1]MIN!AN37)</f>
        <v/>
      </c>
      <c r="L10" s="74">
        <f>+IF([1]MIN!AO37="","",[1]MIN!AO37)</f>
        <v>5.3</v>
      </c>
      <c r="M10" s="74">
        <f>+IF([1]MIN!AP37="","",[1]MIN!AP37)</f>
        <v>3.6</v>
      </c>
      <c r="N10" s="74">
        <f>+IF([1]MIN!AQ37="","",[1]MIN!AQ37)</f>
        <v>3.1</v>
      </c>
      <c r="O10" s="74" t="str">
        <f>+IF([1]MIN!AJ87="","",[1]MIN!AJ87)</f>
        <v/>
      </c>
      <c r="P10" s="74">
        <f>+IF([1]MIN!AK87="","",[1]MIN!AK87)</f>
        <v>50</v>
      </c>
      <c r="Q10" s="74">
        <f>+IF([1]MIN!AL87="","",[1]MIN!AL87)</f>
        <v>16</v>
      </c>
      <c r="R10" s="74">
        <f>+IF([1]MIN!AM87="","",[1]MIN!AM87)</f>
        <v>8</v>
      </c>
    </row>
    <row r="11" spans="1:18" x14ac:dyDescent="0.25">
      <c r="A11" s="68">
        <v>9</v>
      </c>
      <c r="B11" s="68" t="str">
        <f>+Reference!A11</f>
        <v>loam</v>
      </c>
      <c r="C11" s="22">
        <f>Reference!N11</f>
        <v>39.523194983965723</v>
      </c>
      <c r="D11" s="20">
        <f>Reference!O11</f>
        <v>16.583474352290953</v>
      </c>
      <c r="E11" s="20">
        <f>Reference!P11</f>
        <v>20.238155364689089</v>
      </c>
      <c r="F11" s="22">
        <f>Reference!Q11</f>
        <v>11.389507390123903</v>
      </c>
      <c r="G11" s="75">
        <f>Reference!R11</f>
        <v>4.807259736484741E-6</v>
      </c>
      <c r="H11" s="22">
        <f>+AVERAGE(H15,H8,H5)</f>
        <v>191.66666666666666</v>
      </c>
      <c r="I11" s="22">
        <f t="shared" ref="I11:J11" si="5">+AVERAGE(I15,I8,I5)</f>
        <v>17</v>
      </c>
      <c r="J11" s="22">
        <f t="shared" si="5"/>
        <v>1.5</v>
      </c>
      <c r="K11" s="74">
        <f>+IF([1]MIN!AN38="","",[1]MIN!AN38)</f>
        <v>5.5</v>
      </c>
      <c r="L11" s="74">
        <f>+IF([1]MIN!AO38="","",[1]MIN!AO38)</f>
        <v>4.5999999999999996</v>
      </c>
      <c r="M11" s="74">
        <f>+IF([1]MIN!AP38="","",[1]MIN!AP38)</f>
        <v>3.1</v>
      </c>
      <c r="N11" s="74">
        <f>+IF([1]MIN!AQ38="","",[1]MIN!AQ38)</f>
        <v>3</v>
      </c>
      <c r="O11" s="74">
        <f>+IF([1]MIN!AJ88="","",[1]MIN!AJ88)</f>
        <v>281.11111111111109</v>
      </c>
      <c r="P11" s="74">
        <f>+IF([1]MIN!AK88="","",[1]MIN!AK88)</f>
        <v>46</v>
      </c>
      <c r="Q11" s="74">
        <f>+IF([1]MIN!AL88="","",[1]MIN!AL88)</f>
        <v>14</v>
      </c>
      <c r="R11" s="74">
        <f>+IF([1]MIN!AM88="","",[1]MIN!AM88)</f>
        <v>8</v>
      </c>
    </row>
    <row r="12" spans="1:18" x14ac:dyDescent="0.25">
      <c r="A12" s="68">
        <v>10</v>
      </c>
      <c r="B12" s="68" t="str">
        <f>+Reference!A12</f>
        <v>sandy clay loam</v>
      </c>
      <c r="C12" s="22">
        <f>Reference!N12</f>
        <v>38.42934948991239</v>
      </c>
      <c r="D12" s="20">
        <f>Reference!O12</f>
        <v>16.674722303037228</v>
      </c>
      <c r="E12" s="20">
        <f>Reference!P12</f>
        <v>22.105456351736997</v>
      </c>
      <c r="F12" s="22">
        <f>Reference!Q12</f>
        <v>9.507482759630097</v>
      </c>
      <c r="G12" s="75">
        <f>Reference!R12</f>
        <v>6.2757554387060516E-6</v>
      </c>
      <c r="H12" s="22">
        <f>H5*0.35+H15*0.55+H8*0.1</f>
        <v>201.25</v>
      </c>
      <c r="I12" s="22">
        <f t="shared" ref="I12:J12" si="6">I5*0.35+I15*0.55+I8*0.1</f>
        <v>19.3</v>
      </c>
      <c r="J12" s="22">
        <f t="shared" si="6"/>
        <v>1.5</v>
      </c>
      <c r="K12" s="74">
        <f>+IF([1]MIN!AN39="","",[1]MIN!AN39)</f>
        <v>4.0999999999999996</v>
      </c>
      <c r="L12" s="74">
        <f>+IF([1]MIN!AO39="","",[1]MIN!AO39)</f>
        <v>3.4</v>
      </c>
      <c r="M12" s="74">
        <f>+IF([1]MIN!AP39="","",[1]MIN!AP39)</f>
        <v>2.8</v>
      </c>
      <c r="N12" s="74">
        <f>+IF([1]MIN!AQ39="","",[1]MIN!AQ39)</f>
        <v>2.4</v>
      </c>
      <c r="O12" s="74">
        <f>+IF([1]MIN!AJ89="","",[1]MIN!AJ89)</f>
        <v>238.33333333333331</v>
      </c>
      <c r="P12" s="74">
        <f>+IF([1]MIN!AK89="","",[1]MIN!AK89)</f>
        <v>39</v>
      </c>
      <c r="Q12" s="74">
        <f>+IF([1]MIN!AL89="","",[1]MIN!AL89)</f>
        <v>13</v>
      </c>
      <c r="R12" s="74">
        <f>+IF([1]MIN!AM89="","",[1]MIN!AM89)</f>
        <v>6</v>
      </c>
    </row>
    <row r="13" spans="1:18" x14ac:dyDescent="0.25">
      <c r="A13" s="68">
        <v>11</v>
      </c>
      <c r="B13" s="68" t="str">
        <f>+Reference!A13</f>
        <v>sandy loam</v>
      </c>
      <c r="C13" s="22">
        <f>Reference!N13</f>
        <v>38.1052950289994</v>
      </c>
      <c r="D13" s="20">
        <f>Reference!O13</f>
        <v>16.782196269698233</v>
      </c>
      <c r="E13" s="20">
        <f>Reference!P13</f>
        <v>23.980258941148477</v>
      </c>
      <c r="F13" s="22">
        <f>Reference!Q13</f>
        <v>7.5930049267492699</v>
      </c>
      <c r="G13" s="75">
        <f>Reference!R13</f>
        <v>6.7563573129479116E-6</v>
      </c>
      <c r="H13" s="22">
        <f>+H11*2/3+H15/3</f>
        <v>211.11111111111109</v>
      </c>
      <c r="I13" s="22">
        <f t="shared" ref="I13:J13" si="7">+I11*2/3+I15/3</f>
        <v>20</v>
      </c>
      <c r="J13" s="22">
        <f t="shared" si="7"/>
        <v>1.5</v>
      </c>
      <c r="K13" s="74" t="str">
        <f>+IF([1]MIN!AN40="","",[1]MIN!AN40)</f>
        <v/>
      </c>
      <c r="L13" s="74">
        <f>+IF([1]MIN!AO40="","",[1]MIN!AO40)</f>
        <v>3.3</v>
      </c>
      <c r="M13" s="74">
        <f>+IF([1]MIN!AP40="","",[1]MIN!AP40)</f>
        <v>2.6</v>
      </c>
      <c r="N13" s="74">
        <f>+IF([1]MIN!AQ40="","",[1]MIN!AQ40)</f>
        <v>2.4</v>
      </c>
      <c r="O13" s="74" t="str">
        <f>+IF([1]MIN!AJ90="","",[1]MIN!AJ90)</f>
        <v/>
      </c>
      <c r="P13" s="74">
        <f>+IF([1]MIN!AK90="","",[1]MIN!AK90)</f>
        <v>44</v>
      </c>
      <c r="Q13" s="74">
        <f>+IF([1]MIN!AL90="","",[1]MIN!AL90)</f>
        <v>13</v>
      </c>
      <c r="R13" s="74">
        <f>+IF([1]MIN!AM90="","",[1]MIN!AM90)</f>
        <v>6</v>
      </c>
    </row>
    <row r="14" spans="1:18" x14ac:dyDescent="0.25">
      <c r="A14" s="68">
        <v>12</v>
      </c>
      <c r="B14" s="68" t="str">
        <f>+Reference!A14</f>
        <v>loamy sand</v>
      </c>
      <c r="C14" s="22">
        <f>Reference!N14</f>
        <v>36.687395074033084</v>
      </c>
      <c r="D14" s="20">
        <f>Reference!O14</f>
        <v>16.980918187105516</v>
      </c>
      <c r="E14" s="20">
        <f>Reference!P14</f>
        <v>27.72236251760787</v>
      </c>
      <c r="F14" s="22">
        <f>Reference!Q14</f>
        <v>3.7965024633746349</v>
      </c>
      <c r="G14" s="75">
        <f>Reference!R14</f>
        <v>8.7054548894110855E-6</v>
      </c>
      <c r="H14" s="22">
        <f>+H11/3+H15*2/3</f>
        <v>230.55555555555554</v>
      </c>
      <c r="I14" s="22">
        <f t="shared" ref="I14:J14" si="8">+I11/3+I15*2/3</f>
        <v>23</v>
      </c>
      <c r="J14" s="22">
        <f t="shared" si="8"/>
        <v>1.5</v>
      </c>
      <c r="K14" s="74">
        <f>+IF([1]MIN!AN41="","",[1]MIN!AN41)</f>
        <v>1.8</v>
      </c>
      <c r="L14" s="74">
        <f>+IF([1]MIN!AO41="","",[1]MIN!AO41)</f>
        <v>1.5</v>
      </c>
      <c r="M14" s="74">
        <f>+IF([1]MIN!AP41="","",[1]MIN!AP41)</f>
        <v>1.2</v>
      </c>
      <c r="N14" s="74">
        <f>+IF([1]MIN!AQ41="","",[1]MIN!AQ41)</f>
        <v>0.8</v>
      </c>
      <c r="O14" s="74">
        <f>+IF([1]MIN!AJ91="","",[1]MIN!AJ91)</f>
        <v>134.44444444444443</v>
      </c>
      <c r="P14" s="74">
        <f>+IF([1]MIN!AK91="","",[1]MIN!AK91)</f>
        <v>22</v>
      </c>
      <c r="Q14" s="74">
        <f>+IF([1]MIN!AL91="","",[1]MIN!AL91)</f>
        <v>7</v>
      </c>
      <c r="R14" s="74">
        <f>+IF([1]MIN!AM91="","",[1]MIN!AM91)</f>
        <v>2</v>
      </c>
    </row>
    <row r="15" spans="1:18" x14ac:dyDescent="0.25">
      <c r="A15" s="68">
        <v>13</v>
      </c>
      <c r="B15" s="68" t="str">
        <f>+Reference!A15</f>
        <v>sand</v>
      </c>
      <c r="C15" s="22">
        <f>Reference!N15</f>
        <v>35.269495119066768</v>
      </c>
      <c r="D15" s="20">
        <f>Reference!O15</f>
        <v>17.179640104512796</v>
      </c>
      <c r="E15" s="20">
        <f>Reference!P15</f>
        <v>31.464466094067262</v>
      </c>
      <c r="F15" s="22">
        <f>Reference!Q15</f>
        <v>0</v>
      </c>
      <c r="G15" s="75">
        <f>Reference!R15</f>
        <v>1.0654552465874257E-5</v>
      </c>
      <c r="H15" s="22">
        <f>+Reference!C108</f>
        <v>250</v>
      </c>
      <c r="I15" s="22">
        <f>+Reference!D108</f>
        <v>26</v>
      </c>
      <c r="J15" s="22">
        <f>+Reference!E108</f>
        <v>1.5</v>
      </c>
      <c r="K15" s="74">
        <f>+IF([1]MIN!AN42="","",[1]MIN!AN42)</f>
        <v>1.8</v>
      </c>
      <c r="L15" s="74">
        <f>+IF([1]MIN!AO42="","",[1]MIN!AO42)</f>
        <v>1.5</v>
      </c>
      <c r="M15" s="74">
        <f>+IF([1]MIN!AP42="","",[1]MIN!AP42)</f>
        <v>1.2</v>
      </c>
      <c r="N15" s="74">
        <f>+IF([1]MIN!AQ42="","",[1]MIN!AQ42)</f>
        <v>0.8</v>
      </c>
      <c r="O15" s="74">
        <f>+IF([1]MIN!AJ92="","",[1]MIN!AJ92)</f>
        <v>134.44444444444443</v>
      </c>
      <c r="P15" s="74">
        <f>+IF([1]MIN!AK92="","",[1]MIN!AK92)</f>
        <v>22</v>
      </c>
      <c r="Q15" s="74">
        <f>+IF([1]MIN!AL92="","",[1]MIN!AL92)</f>
        <v>7</v>
      </c>
      <c r="R15" s="74">
        <f>+IF([1]MIN!AM92="","",[1]MIN!AM92)</f>
        <v>2</v>
      </c>
    </row>
    <row r="16" spans="1:18" s="10" customFormat="1" ht="10.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s="10" customFormat="1" ht="10.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s="10" customFormat="1" ht="10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s="10" customFormat="1" ht="10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s="10" customFormat="1" ht="10.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s="10" customFormat="1" ht="10.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s="10" customFormat="1" ht="10.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s="10" customFormat="1" ht="10.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s="10" customFormat="1" ht="10.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s="10" customFormat="1" ht="10.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s="10" customFormat="1" ht="10.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s="10" customFormat="1" ht="10.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s="10" customFormat="1" ht="10.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s="10" customFormat="1" ht="10.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s="10" customFormat="1" ht="10.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s="10" customFormat="1" ht="10.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s="10" customFormat="1" ht="10.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s="10" customFormat="1" ht="10.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s="10" customFormat="1" ht="10.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s="10" customFormat="1" ht="10.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s="10" customFormat="1" ht="10.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s="10" customFormat="1" ht="10.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s="10" customFormat="1" ht="10.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s="10" customFormat="1" ht="10.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s="10" customFormat="1" ht="10.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s="10" customFormat="1" ht="10.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s="10" customFormat="1" ht="10.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s="10" customFormat="1" ht="10.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4EFE-1432-47B2-BB28-533493829DB5}">
  <dimension ref="A1:AC236"/>
  <sheetViews>
    <sheetView zoomScale="130" zoomScaleNormal="130" workbookViewId="0">
      <pane ySplit="15" topLeftCell="A99" activePane="bottomLeft" state="frozen"/>
      <selection pane="bottomLeft" activeCell="J111" sqref="J111"/>
    </sheetView>
  </sheetViews>
  <sheetFormatPr defaultRowHeight="15" x14ac:dyDescent="0.25"/>
  <cols>
    <col min="1" max="1" width="14.7109375" style="10" customWidth="1"/>
    <col min="3" max="3" width="10" bestFit="1" customWidth="1"/>
    <col min="5" max="5" width="9.140625" customWidth="1"/>
    <col min="7" max="7" width="5.7109375" customWidth="1"/>
    <col min="8" max="12" width="7.42578125" customWidth="1"/>
    <col min="14" max="18" width="5.85546875" customWidth="1"/>
    <col min="19" max="19" width="4.42578125" bestFit="1" customWidth="1"/>
    <col min="20" max="24" width="5.85546875" customWidth="1"/>
  </cols>
  <sheetData>
    <row r="1" spans="1:29" x14ac:dyDescent="0.25">
      <c r="A1" s="91" t="s">
        <v>110</v>
      </c>
      <c r="B1" s="57" t="s">
        <v>2</v>
      </c>
      <c r="C1" s="57" t="s">
        <v>66</v>
      </c>
      <c r="D1" s="57" t="s">
        <v>8</v>
      </c>
      <c r="E1" s="57" t="s">
        <v>9</v>
      </c>
      <c r="F1" s="57" t="s">
        <v>14</v>
      </c>
      <c r="G1" s="12"/>
      <c r="H1" s="57" t="s">
        <v>2</v>
      </c>
      <c r="I1" s="57" t="s">
        <v>66</v>
      </c>
      <c r="J1" s="57" t="s">
        <v>8</v>
      </c>
      <c r="K1" s="57" t="s">
        <v>9</v>
      </c>
      <c r="L1" s="58" t="s">
        <v>14</v>
      </c>
      <c r="N1" s="72" t="s">
        <v>2</v>
      </c>
      <c r="O1" s="72" t="s">
        <v>66</v>
      </c>
      <c r="P1" s="72" t="s">
        <v>8</v>
      </c>
      <c r="Q1" s="72" t="s">
        <v>9</v>
      </c>
      <c r="R1" s="72" t="s">
        <v>14</v>
      </c>
      <c r="T1" s="72" t="s">
        <v>2</v>
      </c>
      <c r="U1" s="72" t="s">
        <v>66</v>
      </c>
      <c r="V1" s="72" t="s">
        <v>8</v>
      </c>
      <c r="W1" s="72" t="s">
        <v>9</v>
      </c>
      <c r="X1" s="72" t="s">
        <v>14</v>
      </c>
    </row>
    <row r="2" spans="1:29" x14ac:dyDescent="0.25">
      <c r="A2" s="92"/>
      <c r="B2" s="9" t="s">
        <v>10</v>
      </c>
      <c r="C2" s="9" t="s">
        <v>11</v>
      </c>
      <c r="D2" s="9" t="s">
        <v>12</v>
      </c>
      <c r="E2" s="9" t="s">
        <v>13</v>
      </c>
      <c r="F2" s="9" t="s">
        <v>15</v>
      </c>
      <c r="G2" s="13"/>
      <c r="H2" s="9" t="s">
        <v>10</v>
      </c>
      <c r="I2" s="9" t="s">
        <v>11</v>
      </c>
      <c r="J2" s="9" t="s">
        <v>12</v>
      </c>
      <c r="K2" s="9" t="s">
        <v>13</v>
      </c>
      <c r="L2" s="59" t="s">
        <v>15</v>
      </c>
      <c r="N2" s="72" t="s">
        <v>10</v>
      </c>
      <c r="O2" s="72" t="s">
        <v>11</v>
      </c>
      <c r="P2" s="72" t="s">
        <v>12</v>
      </c>
      <c r="Q2" s="72" t="s">
        <v>13</v>
      </c>
      <c r="R2" s="72" t="s">
        <v>15</v>
      </c>
      <c r="T2" s="72" t="s">
        <v>10</v>
      </c>
      <c r="U2" s="72" t="s">
        <v>11</v>
      </c>
      <c r="V2" s="72" t="s">
        <v>12</v>
      </c>
      <c r="W2" s="72" t="s">
        <v>13</v>
      </c>
      <c r="X2" s="72" t="s">
        <v>15</v>
      </c>
    </row>
    <row r="3" spans="1:29" x14ac:dyDescent="0.25">
      <c r="A3" s="60" t="s">
        <v>35</v>
      </c>
      <c r="B3" s="22">
        <f>+B5</f>
        <v>51</v>
      </c>
      <c r="C3" s="20">
        <f>+C5</f>
        <v>16.882270630085319</v>
      </c>
      <c r="D3" s="22">
        <f t="shared" ref="D3" si="0">+D5</f>
        <v>15</v>
      </c>
      <c r="E3" s="22">
        <f>+E5</f>
        <v>40.204599999999992</v>
      </c>
      <c r="F3" s="55">
        <f t="shared" ref="F3" si="1">+F5</f>
        <v>2.7083333333333332E-7</v>
      </c>
      <c r="G3" s="13"/>
      <c r="H3" s="56">
        <f>+H5</f>
        <v>16.391054470858997</v>
      </c>
      <c r="I3" s="56">
        <f t="shared" ref="I3:L3" si="2">+I5</f>
        <v>2.0138056576171723</v>
      </c>
      <c r="J3" s="56">
        <f t="shared" si="2"/>
        <v>15</v>
      </c>
      <c r="K3" s="56">
        <f>+K5</f>
        <v>31.684155659256568</v>
      </c>
      <c r="L3" s="61">
        <f t="shared" si="2"/>
        <v>2.2943540172896051E-7</v>
      </c>
      <c r="N3" s="73">
        <f>+B3-H3/2</f>
        <v>42.804472764570505</v>
      </c>
      <c r="O3" s="73">
        <f t="shared" ref="O3:R3" si="3">+C3-I3/2</f>
        <v>15.875367801276733</v>
      </c>
      <c r="P3" s="73">
        <f t="shared" si="3"/>
        <v>7.5</v>
      </c>
      <c r="Q3" s="84">
        <f>+E3-K3/2</f>
        <v>24.362522170371708</v>
      </c>
      <c r="R3" s="73">
        <f t="shared" si="3"/>
        <v>1.5611563246885305E-7</v>
      </c>
      <c r="S3" s="71"/>
      <c r="T3" s="73">
        <f>+H3+N3/2</f>
        <v>37.793290853144249</v>
      </c>
      <c r="U3" s="73">
        <f t="shared" ref="U3:X3" si="4">+I3+O3/2</f>
        <v>9.9514895582555383</v>
      </c>
      <c r="V3" s="73">
        <f t="shared" si="4"/>
        <v>18.75</v>
      </c>
      <c r="W3" s="73">
        <f t="shared" si="4"/>
        <v>43.86541674444242</v>
      </c>
      <c r="X3" s="73">
        <f t="shared" si="4"/>
        <v>3.0749321796338704E-7</v>
      </c>
      <c r="AA3" s="77"/>
      <c r="AB3" s="77"/>
      <c r="AC3" s="77"/>
    </row>
    <row r="4" spans="1:29" x14ac:dyDescent="0.25">
      <c r="A4" s="60" t="s">
        <v>36</v>
      </c>
      <c r="B4" s="22">
        <f>AVERAGE(B5,B8)</f>
        <v>47.333333333333329</v>
      </c>
      <c r="C4" s="20">
        <f>AVERAGE(C5,C8)</f>
        <v>17.448281025904528</v>
      </c>
      <c r="D4" s="22">
        <f>AVERAGE(D5,D8)</f>
        <v>19.25</v>
      </c>
      <c r="E4" s="22">
        <f>AVERAGE(E5,E8)</f>
        <v>25.005299999999995</v>
      </c>
      <c r="F4" s="55">
        <f>AVERAGE(F5,F8)</f>
        <v>1.940972222222222E-6</v>
      </c>
      <c r="G4" s="13"/>
      <c r="H4" s="56">
        <f>AVERAGE(H5,H8)</f>
        <v>11.366576833836239</v>
      </c>
      <c r="I4" s="56">
        <f t="shared" ref="I4:L4" si="5">AVERAGE(I5,I8)</f>
        <v>2.3257790994490009</v>
      </c>
      <c r="J4" s="56">
        <f t="shared" si="5"/>
        <v>9.25</v>
      </c>
      <c r="K4" s="56">
        <f t="shared" si="5"/>
        <v>15.842077829628284</v>
      </c>
      <c r="L4" s="61">
        <f t="shared" si="5"/>
        <v>1.1471770086448026E-7</v>
      </c>
      <c r="N4" s="73">
        <f t="shared" ref="N4:N15" si="6">+B4-H4/2</f>
        <v>41.650044916415212</v>
      </c>
      <c r="O4" s="73">
        <f t="shared" ref="O4:O15" si="7">+C4-I4/2</f>
        <v>16.285391476180028</v>
      </c>
      <c r="P4" s="73">
        <f t="shared" ref="P4:P15" si="8">+D4-J4/2</f>
        <v>14.625</v>
      </c>
      <c r="Q4" s="84">
        <f t="shared" ref="Q4:Q15" si="9">+E4-K4/2</f>
        <v>17.084261085185851</v>
      </c>
      <c r="R4" s="73">
        <f t="shared" ref="R4:R15" si="10">+F4-L4/2</f>
        <v>1.8836133717899819E-6</v>
      </c>
      <c r="T4" s="73">
        <f t="shared" ref="T4:T15" si="11">+H4+N4/2</f>
        <v>32.191599292043847</v>
      </c>
      <c r="U4" s="73">
        <f t="shared" ref="U4:U15" si="12">+I4+O4/2</f>
        <v>10.468474837539015</v>
      </c>
      <c r="V4" s="73">
        <f t="shared" ref="V4:V15" si="13">+J4+P4/2</f>
        <v>16.5625</v>
      </c>
      <c r="W4" s="73">
        <f t="shared" ref="W4:W15" si="14">+K4+Q4/2</f>
        <v>24.38420837222121</v>
      </c>
      <c r="X4" s="73">
        <f t="shared" ref="X4:X15" si="15">+L4+R4/2</f>
        <v>1.0565243867594712E-6</v>
      </c>
      <c r="AA4" s="77"/>
      <c r="AB4" s="77"/>
      <c r="AC4" s="77"/>
    </row>
    <row r="5" spans="1:29" x14ac:dyDescent="0.25">
      <c r="A5" s="60" t="s">
        <v>37</v>
      </c>
      <c r="B5" s="22">
        <f>+AVERAGE(B82,E84,B90:C90)</f>
        <v>51</v>
      </c>
      <c r="C5" s="20">
        <f>+AVERAGE(E24,E34:E37,E44,D50:E50)</f>
        <v>16.882270630085319</v>
      </c>
      <c r="D5" s="22">
        <f>++AVERAGE(B61:C61)</f>
        <v>15</v>
      </c>
      <c r="E5" s="22">
        <f>+AVERAGE(C68:C72)</f>
        <v>40.204599999999992</v>
      </c>
      <c r="F5" s="55">
        <f>+AVERAGE(C96,C102)</f>
        <v>2.7083333333333332E-7</v>
      </c>
      <c r="G5" s="13"/>
      <c r="H5" s="20">
        <f>+_xlfn.STDEV.P(B82,E84,B90:C90)</f>
        <v>16.391054470858997</v>
      </c>
      <c r="I5" s="20">
        <f>+_xlfn.STDEV.S(E24,E34:E37,E44,D50:E50)</f>
        <v>2.0138056576171723</v>
      </c>
      <c r="J5" s="20">
        <f>+_xlfn.STDEV.P(B61:C61)</f>
        <v>15</v>
      </c>
      <c r="K5" s="20">
        <f>+_xlfn.STDEV.P(C68:C72)</f>
        <v>31.684155659256568</v>
      </c>
      <c r="L5" s="59">
        <f>+_xlfn.STDEV.P(2.3,0.6,B102)/1000/3600</f>
        <v>2.2943540172896051E-7</v>
      </c>
      <c r="N5" s="73">
        <f t="shared" si="6"/>
        <v>42.804472764570505</v>
      </c>
      <c r="O5" s="73">
        <f t="shared" si="7"/>
        <v>15.875367801276733</v>
      </c>
      <c r="P5" s="73">
        <f t="shared" si="8"/>
        <v>7.5</v>
      </c>
      <c r="Q5" s="84">
        <f>+E5-K5/2</f>
        <v>24.362522170371708</v>
      </c>
      <c r="R5" s="73">
        <f t="shared" si="10"/>
        <v>1.5611563246885305E-7</v>
      </c>
      <c r="T5" s="73">
        <f t="shared" si="11"/>
        <v>37.793290853144249</v>
      </c>
      <c r="U5" s="73">
        <f t="shared" si="12"/>
        <v>9.9514895582555383</v>
      </c>
      <c r="V5" s="73">
        <f t="shared" si="13"/>
        <v>18.75</v>
      </c>
      <c r="W5" s="73">
        <f t="shared" si="14"/>
        <v>43.86541674444242</v>
      </c>
      <c r="X5" s="73">
        <f t="shared" si="15"/>
        <v>3.0749321796338704E-7</v>
      </c>
      <c r="AA5" s="77"/>
      <c r="AB5" s="77"/>
      <c r="AC5" s="77"/>
    </row>
    <row r="6" spans="1:29" x14ac:dyDescent="0.25">
      <c r="A6" s="60" t="s">
        <v>38</v>
      </c>
      <c r="B6" s="23">
        <f>B5*0.35+B8*0.55+B15*0.1</f>
        <v>45.766666666666659</v>
      </c>
      <c r="C6" s="21">
        <f>C5*0.35+C8*0.55+C15*0.1</f>
        <v>17.608420656570186</v>
      </c>
      <c r="D6" s="23">
        <f>D5*0.35+D8*0.55+D15*0.1</f>
        <v>21.675000000000001</v>
      </c>
      <c r="E6" s="23">
        <f>E5*0.35+E8*0.55+E15*0.1</f>
        <v>19.464909999999996</v>
      </c>
      <c r="F6" s="55">
        <f>F5*0.35+F8*0.55+F15*0.1</f>
        <v>4.1503472222222228E-6</v>
      </c>
      <c r="G6" s="13"/>
      <c r="H6" s="56">
        <f>H5*0.35+H8*0.55+H15*0.1</f>
        <v>9.9711245992347113</v>
      </c>
      <c r="I6" s="56">
        <f t="shared" ref="I6:L6" si="16">I5*0.35+I8*0.55+I15*0.1</f>
        <v>2.3031991651524475</v>
      </c>
      <c r="J6" s="56">
        <f t="shared" si="16"/>
        <v>7.8821067811865486</v>
      </c>
      <c r="K6" s="56">
        <f t="shared" si="16"/>
        <v>11.089454480739798</v>
      </c>
      <c r="L6" s="61">
        <f t="shared" si="16"/>
        <v>2.0882807863191742E-6</v>
      </c>
      <c r="N6" s="73">
        <f t="shared" si="6"/>
        <v>40.781104367049302</v>
      </c>
      <c r="O6" s="73">
        <f t="shared" si="7"/>
        <v>16.456821073993961</v>
      </c>
      <c r="P6" s="73">
        <f t="shared" si="8"/>
        <v>17.733946609406726</v>
      </c>
      <c r="Q6" s="73">
        <f t="shared" si="9"/>
        <v>13.920182759630098</v>
      </c>
      <c r="R6" s="73">
        <f t="shared" si="10"/>
        <v>3.1062068290626357E-6</v>
      </c>
      <c r="T6" s="73">
        <f t="shared" si="11"/>
        <v>30.361676782759361</v>
      </c>
      <c r="U6" s="73">
        <f t="shared" si="12"/>
        <v>10.531609702149428</v>
      </c>
      <c r="V6" s="73">
        <f t="shared" si="13"/>
        <v>16.749080085889911</v>
      </c>
      <c r="W6" s="73">
        <f t="shared" si="14"/>
        <v>18.049545860554847</v>
      </c>
      <c r="X6" s="73">
        <f t="shared" si="15"/>
        <v>3.6413842008504921E-6</v>
      </c>
      <c r="AA6" s="77"/>
      <c r="AB6" s="77"/>
      <c r="AC6" s="77"/>
    </row>
    <row r="7" spans="1:29" x14ac:dyDescent="0.25">
      <c r="A7" s="60" t="s">
        <v>39</v>
      </c>
      <c r="B7" s="22">
        <f>+AVERAGE(B11,B5)</f>
        <v>47.777777777777771</v>
      </c>
      <c r="C7" s="20">
        <f>+AVERAGE(C11,C5)</f>
        <v>17.243505080497954</v>
      </c>
      <c r="D7" s="22">
        <f>+AVERAGE(D11,D5)</f>
        <v>19.75</v>
      </c>
      <c r="E7" s="22">
        <f>+AVERAGE(E11,E5)</f>
        <v>28.437399999999997</v>
      </c>
      <c r="F7" s="55">
        <f>+AVERAGE(F11,F5)</f>
        <v>4.2314814814814816E-6</v>
      </c>
      <c r="G7" s="13"/>
      <c r="H7" s="56">
        <f>+AVERAGE(H11,H5)</f>
        <v>13.227887807019322</v>
      </c>
      <c r="I7" s="56">
        <f t="shared" ref="I7:L7" si="17">+AVERAGE(I11,I5)</f>
        <v>2.028168007428222</v>
      </c>
      <c r="J7" s="56">
        <f t="shared" si="17"/>
        <v>11.761844635310911</v>
      </c>
      <c r="K7" s="56">
        <f t="shared" si="17"/>
        <v>21.122770439504379</v>
      </c>
      <c r="L7" s="61">
        <f t="shared" si="17"/>
        <v>3.4995875940093699E-6</v>
      </c>
      <c r="N7" s="73">
        <f t="shared" si="6"/>
        <v>41.163833874268107</v>
      </c>
      <c r="O7" s="73">
        <f t="shared" si="7"/>
        <v>16.229421076783844</v>
      </c>
      <c r="P7" s="73">
        <f t="shared" si="8"/>
        <v>13.869077682344544</v>
      </c>
      <c r="Q7" s="73">
        <f t="shared" si="9"/>
        <v>17.876014780247807</v>
      </c>
      <c r="R7" s="73">
        <f t="shared" si="10"/>
        <v>2.4816876844767966E-6</v>
      </c>
      <c r="T7" s="73">
        <f t="shared" si="11"/>
        <v>33.809804744153375</v>
      </c>
      <c r="U7" s="73">
        <f t="shared" si="12"/>
        <v>10.142878545820144</v>
      </c>
      <c r="V7" s="73">
        <f t="shared" si="13"/>
        <v>18.696383476483184</v>
      </c>
      <c r="W7" s="73">
        <f t="shared" si="14"/>
        <v>30.060777829628282</v>
      </c>
      <c r="X7" s="73">
        <f t="shared" si="15"/>
        <v>4.7404314362477678E-6</v>
      </c>
      <c r="AA7" s="77"/>
      <c r="AB7" s="77"/>
      <c r="AC7" s="77"/>
    </row>
    <row r="8" spans="1:29" x14ac:dyDescent="0.25">
      <c r="A8" s="60" t="s">
        <v>40</v>
      </c>
      <c r="B8" s="22">
        <f>+AVERAGE(B81,B89:C89)</f>
        <v>43.666666666666664</v>
      </c>
      <c r="C8" s="20">
        <f>+AVERAGE(E27,D49:E49)</f>
        <v>18.014291421723737</v>
      </c>
      <c r="D8" s="22">
        <f>+AVERAGE(B63:C63)</f>
        <v>23.5</v>
      </c>
      <c r="E8" s="22">
        <f>+C74</f>
        <v>9.8059999999999974</v>
      </c>
      <c r="F8" s="55">
        <f>+C101</f>
        <v>3.611111111111111E-6</v>
      </c>
      <c r="G8" s="13"/>
      <c r="H8" s="20">
        <f>+_xlfn.STDEV.P(B81,B89:C89)</f>
        <v>6.342099196813483</v>
      </c>
      <c r="I8" s="20">
        <f>+_xlfn.STDEV.S(E27,D49:E49)</f>
        <v>2.6377525412808294</v>
      </c>
      <c r="J8" s="20">
        <f>+_xlfn.STDEV.P(B63:C63)</f>
        <v>3.5</v>
      </c>
      <c r="K8" s="20">
        <v>0</v>
      </c>
      <c r="L8" s="59">
        <v>0</v>
      </c>
      <c r="N8" s="73">
        <f t="shared" si="6"/>
        <v>40.495617068259925</v>
      </c>
      <c r="O8" s="73">
        <f t="shared" si="7"/>
        <v>16.695415151083321</v>
      </c>
      <c r="P8" s="73">
        <f t="shared" si="8"/>
        <v>21.75</v>
      </c>
      <c r="Q8" s="73">
        <f t="shared" si="9"/>
        <v>9.8059999999999974</v>
      </c>
      <c r="R8" s="73">
        <f t="shared" si="10"/>
        <v>3.611111111111111E-6</v>
      </c>
      <c r="T8" s="73">
        <f t="shared" si="11"/>
        <v>26.589907730943445</v>
      </c>
      <c r="U8" s="73">
        <f t="shared" si="12"/>
        <v>10.985460116822489</v>
      </c>
      <c r="V8" s="73">
        <f t="shared" si="13"/>
        <v>14.375</v>
      </c>
      <c r="W8" s="73">
        <f t="shared" si="14"/>
        <v>4.9029999999999987</v>
      </c>
      <c r="X8" s="73">
        <f t="shared" si="15"/>
        <v>1.8055555555555555E-6</v>
      </c>
      <c r="AA8" s="77"/>
      <c r="AB8" s="77"/>
      <c r="AC8" s="77"/>
    </row>
    <row r="9" spans="1:29" x14ac:dyDescent="0.25">
      <c r="A9" s="60" t="s">
        <v>41</v>
      </c>
      <c r="B9" s="22">
        <f>+AVERAGE(B8,B11)</f>
        <v>44.111111111111107</v>
      </c>
      <c r="C9" s="20">
        <f>+AVERAGE(C8,C11)</f>
        <v>17.809515476317163</v>
      </c>
      <c r="D9" s="22">
        <f>+AVERAGE(D8,D11)</f>
        <v>24</v>
      </c>
      <c r="E9" s="22">
        <f>+AVERAGE(E8,E11)</f>
        <v>13.238099999999998</v>
      </c>
      <c r="F9" s="55">
        <f>+AVERAGE(F8,F11)</f>
        <v>5.9016203703703706E-6</v>
      </c>
      <c r="G9" s="13"/>
      <c r="H9" s="56">
        <f>+AVERAGE(H8,H11)</f>
        <v>8.203410169996566</v>
      </c>
      <c r="I9" s="56">
        <f t="shared" ref="I9:L9" si="18">+AVERAGE(I8,I11)</f>
        <v>2.3401414492600505</v>
      </c>
      <c r="J9" s="56">
        <f t="shared" si="18"/>
        <v>6.0118446353109123</v>
      </c>
      <c r="K9" s="56">
        <f t="shared" si="18"/>
        <v>5.2806926098760947</v>
      </c>
      <c r="L9" s="61">
        <f t="shared" si="18"/>
        <v>3.3848698931448896E-6</v>
      </c>
      <c r="N9" s="73">
        <f t="shared" si="6"/>
        <v>40.009406026112828</v>
      </c>
      <c r="O9" s="73">
        <f t="shared" si="7"/>
        <v>16.639444751687137</v>
      </c>
      <c r="P9" s="73">
        <f t="shared" si="8"/>
        <v>20.994077682344543</v>
      </c>
      <c r="Q9" s="73">
        <f t="shared" si="9"/>
        <v>10.59775369506195</v>
      </c>
      <c r="R9" s="73">
        <f t="shared" si="10"/>
        <v>4.2091854237979258E-6</v>
      </c>
      <c r="T9" s="73">
        <f t="shared" si="11"/>
        <v>28.20811318305298</v>
      </c>
      <c r="U9" s="73">
        <f t="shared" si="12"/>
        <v>10.659863825103619</v>
      </c>
      <c r="V9" s="73">
        <f t="shared" si="13"/>
        <v>16.508883476483184</v>
      </c>
      <c r="W9" s="73">
        <f t="shared" si="14"/>
        <v>10.57956945740707</v>
      </c>
      <c r="X9" s="73">
        <f t="shared" si="15"/>
        <v>5.4894626050438521E-6</v>
      </c>
      <c r="AA9" s="77"/>
      <c r="AB9" s="77"/>
      <c r="AC9" s="77"/>
    </row>
    <row r="10" spans="1:29" x14ac:dyDescent="0.25">
      <c r="A10" s="60" t="s">
        <v>42</v>
      </c>
      <c r="B10" s="22">
        <f>AVERAGE(B15,B5)</f>
        <v>45</v>
      </c>
      <c r="C10" s="20">
        <f>AVERAGE(C15,C5)</f>
        <v>17.399963585504011</v>
      </c>
      <c r="D10" s="22">
        <f>AVERAGE(D15,D5)</f>
        <v>25</v>
      </c>
      <c r="E10" s="22">
        <f>AVERAGE(E15,E5)</f>
        <v>20.102299999999996</v>
      </c>
      <c r="F10" s="55">
        <f>AVERAGE(F15,F5)</f>
        <v>1.048263888888889E-5</v>
      </c>
      <c r="G10" s="13"/>
      <c r="H10" s="56">
        <f>AVERAGE(H15,H5)</f>
        <v>11.92603211636273</v>
      </c>
      <c r="I10" s="56">
        <f t="shared" ref="I10:L10" si="19">AVERAGE(I15,I5)</f>
        <v>1.7449192652184924</v>
      </c>
      <c r="J10" s="56">
        <f t="shared" si="19"/>
        <v>11.035533905932738</v>
      </c>
      <c r="K10" s="56">
        <f t="shared" si="19"/>
        <v>15.842077829628284</v>
      </c>
      <c r="L10" s="61">
        <f t="shared" si="19"/>
        <v>1.0154609679434669E-5</v>
      </c>
      <c r="N10" s="73">
        <f t="shared" si="6"/>
        <v>39.036983941818633</v>
      </c>
      <c r="O10" s="73">
        <f t="shared" si="7"/>
        <v>16.527503952894765</v>
      </c>
      <c r="P10" s="73">
        <f t="shared" si="8"/>
        <v>19.482233047033631</v>
      </c>
      <c r="Q10" s="73">
        <f t="shared" si="9"/>
        <v>12.181261085185854</v>
      </c>
      <c r="R10" s="73">
        <f t="shared" si="10"/>
        <v>5.4053340491715554E-6</v>
      </c>
      <c r="T10" s="73">
        <f t="shared" si="11"/>
        <v>31.444524087272047</v>
      </c>
      <c r="U10" s="73">
        <f t="shared" si="12"/>
        <v>10.008671241665875</v>
      </c>
      <c r="V10" s="73">
        <f t="shared" si="13"/>
        <v>20.776650429449553</v>
      </c>
      <c r="W10" s="73">
        <f t="shared" si="14"/>
        <v>21.93270837222121</v>
      </c>
      <c r="X10" s="73">
        <f t="shared" si="15"/>
        <v>1.2857276704020447E-5</v>
      </c>
      <c r="AA10" s="77"/>
      <c r="AB10" s="77"/>
      <c r="AC10" s="77"/>
    </row>
    <row r="11" spans="1:29" x14ac:dyDescent="0.25">
      <c r="A11" s="60" t="s">
        <v>43</v>
      </c>
      <c r="B11" s="22">
        <f>+AVERAGE(B15,B8,B5)</f>
        <v>44.55555555555555</v>
      </c>
      <c r="C11" s="20">
        <f>+AVERAGE(C15,C8,C5)</f>
        <v>17.604739530910589</v>
      </c>
      <c r="D11" s="22">
        <f>+AVERAGE(D15,D8,D5)</f>
        <v>24.5</v>
      </c>
      <c r="E11" s="22">
        <f>+AVERAGE(E15,E8,E5)</f>
        <v>16.670199999999998</v>
      </c>
      <c r="F11" s="55">
        <f>+AVERAGE(F15,F8,F5)</f>
        <v>8.1921296296296306E-6</v>
      </c>
      <c r="G11" s="13"/>
      <c r="H11" s="56">
        <f>+AVERAGE(H15,H8,H5)</f>
        <v>10.064721143179648</v>
      </c>
      <c r="I11" s="56">
        <f t="shared" ref="I11:L11" si="20">+AVERAGE(I15,I8,I5)</f>
        <v>2.0425303572392717</v>
      </c>
      <c r="J11" s="56">
        <f t="shared" si="20"/>
        <v>8.5236892706218246</v>
      </c>
      <c r="K11" s="56">
        <f t="shared" si="20"/>
        <v>10.561385219752189</v>
      </c>
      <c r="L11" s="61">
        <f t="shared" si="20"/>
        <v>6.7697397862897791E-6</v>
      </c>
      <c r="N11" s="73">
        <f t="shared" si="6"/>
        <v>39.523194983965723</v>
      </c>
      <c r="O11" s="73">
        <f t="shared" si="7"/>
        <v>16.583474352290953</v>
      </c>
      <c r="P11" s="73">
        <f t="shared" si="8"/>
        <v>20.238155364689089</v>
      </c>
      <c r="Q11" s="73">
        <f t="shared" si="9"/>
        <v>11.389507390123903</v>
      </c>
      <c r="R11" s="73">
        <f t="shared" si="10"/>
        <v>4.807259736484741E-6</v>
      </c>
      <c r="T11" s="73">
        <f t="shared" si="11"/>
        <v>29.826318635162508</v>
      </c>
      <c r="U11" s="73">
        <f t="shared" si="12"/>
        <v>10.334267533384748</v>
      </c>
      <c r="V11" s="73">
        <f t="shared" si="13"/>
        <v>18.642766952966369</v>
      </c>
      <c r="W11" s="73">
        <f t="shared" si="14"/>
        <v>16.256138914814141</v>
      </c>
      <c r="X11" s="73">
        <f t="shared" si="15"/>
        <v>9.1733696545321497E-6</v>
      </c>
      <c r="AA11" s="77"/>
      <c r="AB11" s="77"/>
      <c r="AC11" s="77"/>
    </row>
    <row r="12" spans="1:29" x14ac:dyDescent="0.25">
      <c r="A12" s="60" t="s">
        <v>47</v>
      </c>
      <c r="B12" s="22">
        <f>B5*0.35+B15*0.55+B8*0.1</f>
        <v>43.666666666666664</v>
      </c>
      <c r="C12" s="20">
        <f>C5*0.35+C15*0.55+C8*0.1</f>
        <v>17.564934960209722</v>
      </c>
      <c r="D12" s="22">
        <f>D5*0.35+D15*0.55+D8*0.1</f>
        <v>26.85</v>
      </c>
      <c r="E12" s="22">
        <f>E5*0.35+E15*0.55+E8*0.1</f>
        <v>15.052209999999995</v>
      </c>
      <c r="F12" s="55">
        <f>F5*0.35+F15*0.55+F8*0.1</f>
        <v>1.1837847222222223E-5</v>
      </c>
      <c r="G12" s="13"/>
      <c r="H12" s="56">
        <f>H5*0.35+H15*0.55+H8*0.1</f>
        <v>10.474634353508552</v>
      </c>
      <c r="I12" s="56">
        <f t="shared" ref="I12:L12" si="21">I5*0.35+I15*0.55+I8*0.1</f>
        <v>1.7804253143449897</v>
      </c>
      <c r="J12" s="56">
        <f t="shared" si="21"/>
        <v>9.4890872965260105</v>
      </c>
      <c r="K12" s="56">
        <f t="shared" si="21"/>
        <v>11.089454480739798</v>
      </c>
      <c r="L12" s="61">
        <f t="shared" si="21"/>
        <v>1.1124183567032343E-5</v>
      </c>
      <c r="N12" s="73">
        <f t="shared" si="6"/>
        <v>38.42934948991239</v>
      </c>
      <c r="O12" s="73">
        <f t="shared" si="7"/>
        <v>16.674722303037228</v>
      </c>
      <c r="P12" s="73">
        <f t="shared" si="8"/>
        <v>22.105456351736997</v>
      </c>
      <c r="Q12" s="73">
        <f t="shared" si="9"/>
        <v>9.507482759630097</v>
      </c>
      <c r="R12" s="73">
        <f t="shared" si="10"/>
        <v>6.2757554387060516E-6</v>
      </c>
      <c r="T12" s="73">
        <f t="shared" si="11"/>
        <v>29.689309098464747</v>
      </c>
      <c r="U12" s="73">
        <f t="shared" si="12"/>
        <v>10.117786465863604</v>
      </c>
      <c r="V12" s="73">
        <f t="shared" si="13"/>
        <v>20.541815472394511</v>
      </c>
      <c r="W12" s="73">
        <f t="shared" si="14"/>
        <v>15.843195860554847</v>
      </c>
      <c r="X12" s="73">
        <f t="shared" si="15"/>
        <v>1.426206128638537E-5</v>
      </c>
      <c r="AA12" s="77"/>
      <c r="AB12" s="77"/>
      <c r="AC12" s="77"/>
    </row>
    <row r="13" spans="1:29" x14ac:dyDescent="0.25">
      <c r="A13" s="60" t="s">
        <v>44</v>
      </c>
      <c r="B13" s="22">
        <f>+B11*2/3+B15/3</f>
        <v>42.703703703703695</v>
      </c>
      <c r="C13" s="20">
        <f>+C11*2/3+C15/3</f>
        <v>17.709045200914627</v>
      </c>
      <c r="D13" s="22">
        <f>+D11*2/3+D15/3</f>
        <v>28</v>
      </c>
      <c r="E13" s="22">
        <f>+E11*2/3+E15/3</f>
        <v>11.113466666666666</v>
      </c>
      <c r="F13" s="55">
        <f>+F11*2/3+F15/3</f>
        <v>1.2359567901234568E-5</v>
      </c>
      <c r="G13" s="13"/>
      <c r="H13" s="56">
        <f>+H11*2/3+H15/3</f>
        <v>9.1968173494085868</v>
      </c>
      <c r="I13" s="56">
        <f t="shared" ref="I13:L13" si="22">+I11*2/3+I15/3</f>
        <v>1.8536978624327851</v>
      </c>
      <c r="J13" s="56">
        <f t="shared" si="22"/>
        <v>8.0394821177030416</v>
      </c>
      <c r="K13" s="56">
        <f t="shared" si="22"/>
        <v>7.0409234798347926</v>
      </c>
      <c r="L13" s="61">
        <f t="shared" si="22"/>
        <v>1.1206421176573312E-5</v>
      </c>
      <c r="N13" s="73">
        <f t="shared" si="6"/>
        <v>38.1052950289994</v>
      </c>
      <c r="O13" s="73">
        <f t="shared" si="7"/>
        <v>16.782196269698233</v>
      </c>
      <c r="P13" s="73">
        <f t="shared" si="8"/>
        <v>23.980258941148477</v>
      </c>
      <c r="Q13" s="73">
        <f t="shared" si="9"/>
        <v>7.5930049267492699</v>
      </c>
      <c r="R13" s="73">
        <f t="shared" si="10"/>
        <v>6.7563573129479116E-6</v>
      </c>
      <c r="T13" s="73">
        <f t="shared" si="11"/>
        <v>28.249464863908287</v>
      </c>
      <c r="U13" s="73">
        <f t="shared" si="12"/>
        <v>10.244795997281901</v>
      </c>
      <c r="V13" s="73">
        <f t="shared" si="13"/>
        <v>20.02961158827728</v>
      </c>
      <c r="W13" s="73">
        <f t="shared" si="14"/>
        <v>10.837425943209428</v>
      </c>
      <c r="X13" s="73">
        <f t="shared" si="15"/>
        <v>1.4584599833047268E-5</v>
      </c>
      <c r="AA13" s="77"/>
      <c r="AB13" s="77"/>
      <c r="AC13" s="77"/>
    </row>
    <row r="14" spans="1:29" x14ac:dyDescent="0.25">
      <c r="A14" s="60" t="s">
        <v>45</v>
      </c>
      <c r="B14" s="22">
        <f>+B11/3+B15*2/3</f>
        <v>40.851851851851848</v>
      </c>
      <c r="C14" s="20">
        <f>+C11/3+C15*2/3</f>
        <v>17.813350870918665</v>
      </c>
      <c r="D14" s="22">
        <f>+D11/3+D15*2/3</f>
        <v>31.5</v>
      </c>
      <c r="E14" s="22">
        <f>+E11/3+E15*2/3</f>
        <v>5.5567333333333329</v>
      </c>
      <c r="F14" s="55">
        <f>+F11/3+F15*2/3</f>
        <v>1.6527006172839508E-5</v>
      </c>
      <c r="G14" s="13"/>
      <c r="H14" s="56">
        <f>+H11/3+H15*2/3</f>
        <v>8.3289135556375253</v>
      </c>
      <c r="I14" s="56">
        <f t="shared" ref="I14:L14" si="23">+I11/3+I15*2/3</f>
        <v>1.6648653676262986</v>
      </c>
      <c r="J14" s="56">
        <f t="shared" si="23"/>
        <v>7.5552749647842585</v>
      </c>
      <c r="K14" s="56">
        <f t="shared" si="23"/>
        <v>3.5204617399173963</v>
      </c>
      <c r="L14" s="61">
        <f t="shared" si="23"/>
        <v>1.5643102566856845E-5</v>
      </c>
      <c r="N14" s="73">
        <f t="shared" si="6"/>
        <v>36.687395074033084</v>
      </c>
      <c r="O14" s="73">
        <f t="shared" si="7"/>
        <v>16.980918187105516</v>
      </c>
      <c r="P14" s="73">
        <f t="shared" si="8"/>
        <v>27.72236251760787</v>
      </c>
      <c r="Q14" s="73">
        <f t="shared" si="9"/>
        <v>3.7965024633746349</v>
      </c>
      <c r="R14" s="73">
        <f t="shared" si="10"/>
        <v>8.7054548894110855E-6</v>
      </c>
      <c r="T14" s="73">
        <f t="shared" si="11"/>
        <v>26.672611092654066</v>
      </c>
      <c r="U14" s="73">
        <f t="shared" si="12"/>
        <v>10.155324461179056</v>
      </c>
      <c r="V14" s="73">
        <f t="shared" si="13"/>
        <v>21.416456223588192</v>
      </c>
      <c r="W14" s="73">
        <f t="shared" si="14"/>
        <v>5.4187129716047142</v>
      </c>
      <c r="X14" s="73">
        <f t="shared" si="15"/>
        <v>1.9995830011562387E-5</v>
      </c>
      <c r="AA14" s="77"/>
      <c r="AB14" s="77"/>
      <c r="AC14" s="77"/>
    </row>
    <row r="15" spans="1:29" ht="15.75" thickBot="1" x14ac:dyDescent="0.3">
      <c r="A15" s="62" t="s">
        <v>46</v>
      </c>
      <c r="B15" s="63">
        <f>+AVERAGE(B78:B80,E78,B88:C88)</f>
        <v>39</v>
      </c>
      <c r="C15" s="64">
        <f>+AVERAGE(E20,E22,E26,E29,E40,E42,D48:E48)</f>
        <v>17.917656540922703</v>
      </c>
      <c r="D15" s="63">
        <f>+AVERAGE(B57:C58)</f>
        <v>35</v>
      </c>
      <c r="E15" s="65">
        <v>0</v>
      </c>
      <c r="F15" s="66">
        <f>+AVERAGE(C94,C100)</f>
        <v>2.0694444444444445E-5</v>
      </c>
      <c r="G15" s="16"/>
      <c r="H15" s="64">
        <f>+_xlfn.STDEV.P(B78:B80,E78,B88:C88)</f>
        <v>7.4610097618664639</v>
      </c>
      <c r="I15" s="64">
        <f>+_xlfn.STDEV.S(E20,E22,E26,E29,E40,E42,D48:E48)</f>
        <v>1.4760328728198122</v>
      </c>
      <c r="J15" s="64">
        <f>+_xlfn.STDEV.P(B57:C58)</f>
        <v>7.0710678118654755</v>
      </c>
      <c r="K15" s="64">
        <v>0</v>
      </c>
      <c r="L15" s="67">
        <f>+_xlfn.STDEV.P(210,61.1,25.9,B100)/1000/3600</f>
        <v>2.0079783957140377E-5</v>
      </c>
      <c r="N15" s="73">
        <f t="shared" si="6"/>
        <v>35.269495119066768</v>
      </c>
      <c r="O15" s="73">
        <f t="shared" si="7"/>
        <v>17.179640104512796</v>
      </c>
      <c r="P15" s="73">
        <f t="shared" si="8"/>
        <v>31.464466094067262</v>
      </c>
      <c r="Q15" s="73">
        <f t="shared" si="9"/>
        <v>0</v>
      </c>
      <c r="R15" s="73">
        <f t="shared" si="10"/>
        <v>1.0654552465874257E-5</v>
      </c>
      <c r="T15" s="73">
        <f t="shared" si="11"/>
        <v>25.095757321399848</v>
      </c>
      <c r="U15" s="73">
        <f t="shared" si="12"/>
        <v>10.065852925076211</v>
      </c>
      <c r="V15" s="73">
        <f t="shared" si="13"/>
        <v>22.803300858899107</v>
      </c>
      <c r="W15" s="73">
        <f t="shared" si="14"/>
        <v>0</v>
      </c>
      <c r="X15" s="73">
        <f t="shared" si="15"/>
        <v>2.5407060190077507E-5</v>
      </c>
      <c r="AA15" s="77"/>
      <c r="AB15" s="77"/>
      <c r="AC15" s="77"/>
    </row>
    <row r="16" spans="1:29" ht="15.75" thickBot="1" x14ac:dyDescent="0.3">
      <c r="N16" s="73"/>
      <c r="O16" s="73"/>
      <c r="P16" s="71"/>
      <c r="Q16" s="71"/>
      <c r="R16" s="71"/>
      <c r="T16" s="71"/>
      <c r="U16" s="71"/>
      <c r="V16" s="71"/>
      <c r="W16" s="71"/>
      <c r="X16" s="71"/>
    </row>
    <row r="17" spans="1:24" ht="10.5" customHeight="1" x14ac:dyDescent="0.25">
      <c r="A17" s="24" t="s">
        <v>69</v>
      </c>
      <c r="B17" s="25"/>
      <c r="C17" s="25"/>
      <c r="D17" s="25"/>
      <c r="E17" s="25"/>
      <c r="F17" s="25"/>
      <c r="G17" s="25"/>
      <c r="H17" s="25"/>
      <c r="I17" s="25"/>
      <c r="J17" s="85" t="s">
        <v>74</v>
      </c>
      <c r="K17" s="86"/>
      <c r="L17" s="87"/>
      <c r="N17" s="80"/>
      <c r="O17" s="80" t="s">
        <v>129</v>
      </c>
      <c r="P17" s="80"/>
      <c r="Q17" s="71"/>
      <c r="R17" s="71"/>
      <c r="T17" s="71"/>
      <c r="U17" s="71"/>
      <c r="V17" s="71"/>
      <c r="W17" s="71"/>
      <c r="X17" s="71"/>
    </row>
    <row r="18" spans="1:24" ht="10.5" customHeight="1" thickBot="1" x14ac:dyDescent="0.3">
      <c r="A18" s="26"/>
      <c r="B18" s="27" t="s">
        <v>66</v>
      </c>
      <c r="C18" s="27" t="s">
        <v>67</v>
      </c>
      <c r="D18" s="28"/>
      <c r="E18" s="28" t="s">
        <v>11</v>
      </c>
      <c r="F18" s="28" t="s">
        <v>11</v>
      </c>
      <c r="G18" s="29"/>
      <c r="H18" s="30"/>
      <c r="I18" s="29"/>
      <c r="J18" s="88"/>
      <c r="K18" s="89"/>
      <c r="L18" s="90"/>
      <c r="N18" s="80" t="s">
        <v>5</v>
      </c>
      <c r="O18" s="80" t="s">
        <v>130</v>
      </c>
      <c r="P18" s="80" t="s">
        <v>4</v>
      </c>
      <c r="Q18" s="71"/>
      <c r="R18" s="81" t="s">
        <v>131</v>
      </c>
      <c r="S18" s="81" t="s">
        <v>131</v>
      </c>
      <c r="T18" s="81" t="s">
        <v>131</v>
      </c>
      <c r="U18" s="71"/>
      <c r="V18" s="71"/>
      <c r="W18" s="71"/>
      <c r="X18" s="71"/>
    </row>
    <row r="19" spans="1:24" ht="10.5" customHeight="1" x14ac:dyDescent="0.25">
      <c r="A19" s="31" t="s">
        <v>48</v>
      </c>
      <c r="B19" s="32">
        <v>90</v>
      </c>
      <c r="C19" s="32">
        <v>118</v>
      </c>
      <c r="D19" s="28" t="s">
        <v>46</v>
      </c>
      <c r="E19" s="33">
        <f>+B19*0.453592/0.0283168*9.806/1000</f>
        <v>14.136946395072888</v>
      </c>
      <c r="F19" s="33">
        <f>+C19*0.453592/0.0283168*9.806/1000</f>
        <v>18.535107495762233</v>
      </c>
      <c r="G19" s="29"/>
      <c r="H19" s="29"/>
      <c r="I19" s="29"/>
      <c r="J19" s="29"/>
      <c r="K19" s="29"/>
      <c r="L19" s="34"/>
      <c r="N19" s="80">
        <f t="shared" ref="N19:N31" si="24">+W3/TAN(RADIANS(V3))</f>
        <v>129.22335071393951</v>
      </c>
      <c r="O19" s="80">
        <f>+E3/TAN(RADIANS(D3))</f>
        <v>150.04560989798367</v>
      </c>
      <c r="P19" s="80">
        <f>+Q3/TAN(RADIANS(P3))</f>
        <v>185.0517279719586</v>
      </c>
      <c r="Q19" s="71">
        <v>1</v>
      </c>
      <c r="R19" s="81">
        <f>+IF(N19&lt;$O$37,1,IF(N19&gt;$O$36,10,(N19-$O$37)/($O$36-$O$37)*9+1))</f>
        <v>1</v>
      </c>
      <c r="S19" s="81">
        <f>+IF(O19&lt;$O$37,1,IF(O19&gt;$O$36,10,(O19-$O$37)/($O$36-$O$37)*9+1))</f>
        <v>1.0002218859901908</v>
      </c>
      <c r="T19" s="81">
        <f t="shared" ref="T19" si="25">+IF(P19&lt;$O$37,1,IF(P19&gt;$O$36,10,(P19-$O$37)/($O$36-$O$37)*9+1))</f>
        <v>1.1705219198635823</v>
      </c>
      <c r="U19" s="71"/>
      <c r="V19" s="71"/>
      <c r="W19" s="71"/>
      <c r="X19" s="71"/>
    </row>
    <row r="20" spans="1:24" ht="10.5" customHeight="1" x14ac:dyDescent="0.25">
      <c r="A20" s="31" t="s">
        <v>49</v>
      </c>
      <c r="B20" s="32">
        <v>109</v>
      </c>
      <c r="C20" s="32">
        <v>130</v>
      </c>
      <c r="D20" s="28" t="s">
        <v>46</v>
      </c>
      <c r="E20" s="33">
        <f t="shared" ref="E20:E44" si="26">+B20*0.453592/0.0283168*9.806/1000</f>
        <v>17.121412856254942</v>
      </c>
      <c r="F20" s="33">
        <f t="shared" ref="F20:F44" si="27">+C20*0.453592/0.0283168*9.806/1000</f>
        <v>20.420033681771947</v>
      </c>
      <c r="G20" s="29"/>
      <c r="H20" s="29"/>
      <c r="I20" s="29"/>
      <c r="J20" s="29"/>
      <c r="K20" s="29"/>
      <c r="L20" s="34"/>
      <c r="N20" s="80">
        <f t="shared" si="24"/>
        <v>81.991169406840086</v>
      </c>
      <c r="O20" s="80">
        <f t="shared" ref="O20:O31" si="28">+E4/TAN(RADIANS(D4))</f>
        <v>71.604182650711891</v>
      </c>
      <c r="P20" s="80">
        <f t="shared" ref="P20:P31" si="29">+Q4/TAN(RADIANS(P4))</f>
        <v>65.470364259632873</v>
      </c>
      <c r="Q20" s="71">
        <v>2</v>
      </c>
      <c r="R20" s="81">
        <f t="shared" ref="R20:R31" si="30">+IF(N20&lt;$O$37,1,IF(N20&gt;$O$36,10,(N20-$O$37)/($O$36-$O$37)*9+1))</f>
        <v>1</v>
      </c>
      <c r="S20" s="81">
        <f t="shared" ref="S20:S31" si="31">+IF(O20&lt;$O$37,1,IF(O20&gt;$O$36,10,(O20-$O$37)/($O$36-$O$37)*9+1))</f>
        <v>1</v>
      </c>
      <c r="T20" s="81">
        <f t="shared" ref="T20:T31" si="32">+IF(P20&lt;$O$37,1,IF(P20&gt;$O$36,10,(P20-$O$37)/($O$36-$O$37)*9+1))</f>
        <v>1</v>
      </c>
      <c r="U20" s="71"/>
      <c r="V20" s="71"/>
      <c r="W20" s="71"/>
      <c r="X20" s="71"/>
    </row>
    <row r="21" spans="1:24" ht="10.5" customHeight="1" x14ac:dyDescent="0.25">
      <c r="A21" s="31" t="s">
        <v>50</v>
      </c>
      <c r="B21" s="32">
        <v>99</v>
      </c>
      <c r="C21" s="32">
        <v>124</v>
      </c>
      <c r="D21" s="28" t="s">
        <v>46</v>
      </c>
      <c r="E21" s="33">
        <f t="shared" si="26"/>
        <v>15.550641034580178</v>
      </c>
      <c r="F21" s="33">
        <f t="shared" si="27"/>
        <v>19.47757058876709</v>
      </c>
      <c r="G21" s="29"/>
      <c r="H21" s="29"/>
      <c r="I21" s="29"/>
      <c r="J21" s="29"/>
      <c r="K21" s="29"/>
      <c r="L21" s="34"/>
      <c r="N21" s="80">
        <f t="shared" si="24"/>
        <v>129.22335071393951</v>
      </c>
      <c r="O21" s="80">
        <f t="shared" si="28"/>
        <v>150.04560989798367</v>
      </c>
      <c r="P21" s="80">
        <f t="shared" si="29"/>
        <v>185.0517279719586</v>
      </c>
      <c r="Q21" s="71">
        <v>3</v>
      </c>
      <c r="R21" s="81">
        <f t="shared" si="30"/>
        <v>1</v>
      </c>
      <c r="S21" s="81">
        <f t="shared" si="31"/>
        <v>1.0002218859901908</v>
      </c>
      <c r="T21" s="81">
        <f t="shared" si="32"/>
        <v>1.1705219198635823</v>
      </c>
      <c r="U21" s="71"/>
      <c r="V21" s="71"/>
      <c r="W21" s="71"/>
      <c r="X21" s="71"/>
    </row>
    <row r="22" spans="1:24" ht="10.5" customHeight="1" x14ac:dyDescent="0.25">
      <c r="A22" s="31" t="s">
        <v>51</v>
      </c>
      <c r="B22" s="32">
        <v>116</v>
      </c>
      <c r="C22" s="32">
        <v>135</v>
      </c>
      <c r="D22" s="28" t="s">
        <v>46</v>
      </c>
      <c r="E22" s="33">
        <f t="shared" si="26"/>
        <v>18.220953131427279</v>
      </c>
      <c r="F22" s="33">
        <f t="shared" si="27"/>
        <v>21.205419592609335</v>
      </c>
      <c r="G22" s="29"/>
      <c r="H22" s="29"/>
      <c r="I22" s="29"/>
      <c r="J22" s="29"/>
      <c r="K22" s="29"/>
      <c r="L22" s="34"/>
      <c r="N22" s="80">
        <f t="shared" si="24"/>
        <v>59.975564238278828</v>
      </c>
      <c r="O22" s="80">
        <f t="shared" si="28"/>
        <v>48.975351304012335</v>
      </c>
      <c r="P22" s="80">
        <f t="shared" si="29"/>
        <v>43.528639262361921</v>
      </c>
      <c r="Q22" s="71">
        <v>4</v>
      </c>
      <c r="R22" s="81">
        <f t="shared" si="30"/>
        <v>1</v>
      </c>
      <c r="S22" s="81">
        <f t="shared" si="31"/>
        <v>1</v>
      </c>
      <c r="T22" s="81">
        <f t="shared" si="32"/>
        <v>1</v>
      </c>
      <c r="U22" s="71"/>
      <c r="V22" s="71"/>
      <c r="W22" s="71"/>
      <c r="X22" s="71"/>
    </row>
    <row r="23" spans="1:24" ht="10.5" customHeight="1" x14ac:dyDescent="0.25">
      <c r="A23" s="31" t="s">
        <v>52</v>
      </c>
      <c r="B23" s="32">
        <v>76</v>
      </c>
      <c r="C23" s="32">
        <v>110</v>
      </c>
      <c r="D23" s="28" t="s">
        <v>37</v>
      </c>
      <c r="E23" s="33">
        <f t="shared" si="26"/>
        <v>11.937865844728217</v>
      </c>
      <c r="F23" s="33">
        <f t="shared" si="27"/>
        <v>17.278490038422419</v>
      </c>
      <c r="G23" s="29"/>
      <c r="H23" s="29"/>
      <c r="I23" s="29"/>
      <c r="J23" s="29"/>
      <c r="K23" s="29"/>
      <c r="L23" s="34"/>
      <c r="N23" s="80">
        <f t="shared" si="24"/>
        <v>88.829204778910537</v>
      </c>
      <c r="O23" s="80">
        <f t="shared" si="28"/>
        <v>79.204719359247562</v>
      </c>
      <c r="P23" s="80">
        <f t="shared" si="29"/>
        <v>72.401165242877923</v>
      </c>
      <c r="Q23" s="71">
        <v>5</v>
      </c>
      <c r="R23" s="81">
        <f t="shared" si="30"/>
        <v>1</v>
      </c>
      <c r="S23" s="81">
        <f t="shared" si="31"/>
        <v>1</v>
      </c>
      <c r="T23" s="81">
        <f t="shared" si="32"/>
        <v>1</v>
      </c>
      <c r="U23" s="71"/>
      <c r="V23" s="71"/>
      <c r="W23" s="71"/>
      <c r="X23" s="71"/>
    </row>
    <row r="24" spans="1:24" ht="10.5" customHeight="1" x14ac:dyDescent="0.25">
      <c r="A24" s="31" t="s">
        <v>53</v>
      </c>
      <c r="B24" s="32">
        <v>106</v>
      </c>
      <c r="C24" s="32">
        <v>125</v>
      </c>
      <c r="D24" s="28" t="s">
        <v>37</v>
      </c>
      <c r="E24" s="33">
        <f t="shared" si="26"/>
        <v>16.650181309752512</v>
      </c>
      <c r="F24" s="33">
        <f t="shared" si="27"/>
        <v>19.634647770934567</v>
      </c>
      <c r="G24" s="29"/>
      <c r="H24" s="29"/>
      <c r="I24" s="29"/>
      <c r="J24" s="29"/>
      <c r="K24" s="29"/>
      <c r="L24" s="34"/>
      <c r="N24" s="80">
        <f t="shared" si="24"/>
        <v>19.130574096161631</v>
      </c>
      <c r="O24" s="80">
        <f t="shared" si="28"/>
        <v>22.552256018198729</v>
      </c>
      <c r="P24" s="80">
        <f t="shared" si="29"/>
        <v>24.57893312482852</v>
      </c>
      <c r="Q24" s="71">
        <v>6</v>
      </c>
      <c r="R24" s="81">
        <f t="shared" si="30"/>
        <v>1</v>
      </c>
      <c r="S24" s="81">
        <f t="shared" si="31"/>
        <v>1</v>
      </c>
      <c r="T24" s="81">
        <f t="shared" si="32"/>
        <v>1</v>
      </c>
      <c r="U24" s="71"/>
      <c r="V24" s="71"/>
      <c r="W24" s="71"/>
      <c r="X24" s="71"/>
    </row>
    <row r="25" spans="1:24" ht="10.5" customHeight="1" x14ac:dyDescent="0.25">
      <c r="A25" s="26"/>
      <c r="B25" s="35"/>
      <c r="C25" s="35"/>
      <c r="D25" s="29"/>
      <c r="E25" s="36"/>
      <c r="F25" s="36"/>
      <c r="G25" s="29"/>
      <c r="H25" s="29"/>
      <c r="I25" s="29"/>
      <c r="J25" s="29"/>
      <c r="K25" s="29"/>
      <c r="L25" s="34"/>
      <c r="N25" s="80">
        <f t="shared" si="24"/>
        <v>35.695703536789921</v>
      </c>
      <c r="O25" s="80">
        <f t="shared" si="28"/>
        <v>29.733259416621394</v>
      </c>
      <c r="P25" s="80">
        <f t="shared" si="29"/>
        <v>27.616624078181928</v>
      </c>
      <c r="Q25" s="71">
        <v>7</v>
      </c>
      <c r="R25" s="81">
        <f t="shared" si="30"/>
        <v>1</v>
      </c>
      <c r="S25" s="81">
        <f t="shared" si="31"/>
        <v>1</v>
      </c>
      <c r="T25" s="81">
        <f t="shared" si="32"/>
        <v>1</v>
      </c>
      <c r="V25" s="71"/>
      <c r="W25" s="71"/>
      <c r="X25" s="71"/>
    </row>
    <row r="26" spans="1:24" ht="10.5" customHeight="1" x14ac:dyDescent="0.25">
      <c r="A26" s="37" t="s">
        <v>54</v>
      </c>
      <c r="B26" s="38">
        <f t="shared" ref="B26:B37" si="33">+AVERAGE(H26:I26)</f>
        <v>110</v>
      </c>
      <c r="C26" s="38">
        <f t="shared" ref="C26:C37" si="34">+AVERAGE(J26:K26)</f>
        <v>62.5</v>
      </c>
      <c r="D26" s="29" t="s">
        <v>46</v>
      </c>
      <c r="E26" s="36">
        <f t="shared" si="26"/>
        <v>17.278490038422419</v>
      </c>
      <c r="F26" s="36">
        <f t="shared" si="27"/>
        <v>9.8173238854672835</v>
      </c>
      <c r="G26" s="29"/>
      <c r="H26" s="32">
        <v>84</v>
      </c>
      <c r="I26" s="27">
        <v>136</v>
      </c>
      <c r="J26" s="32">
        <v>52</v>
      </c>
      <c r="K26" s="27">
        <v>73</v>
      </c>
      <c r="L26" s="34"/>
      <c r="N26" s="80">
        <f t="shared" si="24"/>
        <v>57.809219477991661</v>
      </c>
      <c r="O26" s="80">
        <f t="shared" si="28"/>
        <v>43.109521468159294</v>
      </c>
      <c r="P26" s="80">
        <f t="shared" si="29"/>
        <v>34.432749256893615</v>
      </c>
      <c r="Q26" s="71">
        <v>8</v>
      </c>
      <c r="R26" s="81">
        <f t="shared" si="30"/>
        <v>1</v>
      </c>
      <c r="S26" s="81">
        <f t="shared" si="31"/>
        <v>1</v>
      </c>
      <c r="T26" s="81">
        <f t="shared" si="32"/>
        <v>1</v>
      </c>
      <c r="U26" s="71"/>
      <c r="V26" s="71"/>
      <c r="W26" s="71"/>
      <c r="X26" s="71"/>
    </row>
    <row r="27" spans="1:24" ht="10.5" customHeight="1" x14ac:dyDescent="0.25">
      <c r="A27" s="37" t="s">
        <v>55</v>
      </c>
      <c r="B27" s="38">
        <f t="shared" si="33"/>
        <v>108.5</v>
      </c>
      <c r="C27" s="38">
        <f t="shared" si="34"/>
        <v>62</v>
      </c>
      <c r="D27" s="29" t="s">
        <v>40</v>
      </c>
      <c r="E27" s="36">
        <f t="shared" si="26"/>
        <v>17.042874265171207</v>
      </c>
      <c r="F27" s="36">
        <f t="shared" si="27"/>
        <v>9.7387852943835451</v>
      </c>
      <c r="G27" s="29"/>
      <c r="H27" s="32">
        <v>81</v>
      </c>
      <c r="I27" s="27">
        <v>136</v>
      </c>
      <c r="J27" s="32">
        <v>51</v>
      </c>
      <c r="K27" s="27">
        <v>73</v>
      </c>
      <c r="L27" s="34"/>
      <c r="N27" s="80">
        <f t="shared" si="24"/>
        <v>48.185132950970292</v>
      </c>
      <c r="O27" s="80">
        <f t="shared" si="28"/>
        <v>36.579415378467417</v>
      </c>
      <c r="P27" s="80">
        <f t="shared" si="29"/>
        <v>30.892276021628739</v>
      </c>
      <c r="Q27" s="71">
        <v>9</v>
      </c>
      <c r="R27" s="81">
        <f t="shared" si="30"/>
        <v>1</v>
      </c>
      <c r="S27" s="81">
        <f t="shared" si="31"/>
        <v>1</v>
      </c>
      <c r="T27" s="81">
        <f t="shared" si="32"/>
        <v>1</v>
      </c>
      <c r="U27" s="71"/>
      <c r="V27" s="71"/>
      <c r="W27" s="71"/>
      <c r="X27" s="71"/>
    </row>
    <row r="28" spans="1:24" ht="10.5" customHeight="1" x14ac:dyDescent="0.25">
      <c r="A28" s="37" t="s">
        <v>56</v>
      </c>
      <c r="B28" s="38">
        <f t="shared" si="33"/>
        <v>115</v>
      </c>
      <c r="C28" s="38">
        <f t="shared" si="34"/>
        <v>66.5</v>
      </c>
      <c r="D28" s="29" t="s">
        <v>68</v>
      </c>
      <c r="E28" s="36">
        <f t="shared" si="26"/>
        <v>18.063875949259803</v>
      </c>
      <c r="F28" s="36">
        <f t="shared" si="27"/>
        <v>10.445632614137191</v>
      </c>
      <c r="G28" s="29"/>
      <c r="H28" s="32">
        <v>88</v>
      </c>
      <c r="I28" s="27">
        <v>142</v>
      </c>
      <c r="J28" s="32">
        <v>54</v>
      </c>
      <c r="K28" s="27">
        <v>79</v>
      </c>
      <c r="L28" s="34"/>
      <c r="N28" s="80">
        <f t="shared" si="24"/>
        <v>42.280458655433762</v>
      </c>
      <c r="O28" s="80">
        <f t="shared" si="28"/>
        <v>29.733807855950225</v>
      </c>
      <c r="P28" s="80">
        <f t="shared" si="29"/>
        <v>23.407711414570041</v>
      </c>
      <c r="Q28" s="71">
        <v>10</v>
      </c>
      <c r="R28" s="81">
        <f t="shared" si="30"/>
        <v>1</v>
      </c>
      <c r="S28" s="81">
        <f t="shared" si="31"/>
        <v>1</v>
      </c>
      <c r="T28" s="81">
        <f t="shared" si="32"/>
        <v>1</v>
      </c>
      <c r="U28" s="71"/>
      <c r="V28" s="71"/>
      <c r="W28" s="71"/>
      <c r="X28" s="71"/>
    </row>
    <row r="29" spans="1:24" ht="10.5" customHeight="1" x14ac:dyDescent="0.25">
      <c r="A29" s="37" t="s">
        <v>57</v>
      </c>
      <c r="B29" s="38">
        <f t="shared" si="33"/>
        <v>117</v>
      </c>
      <c r="C29" s="38">
        <f t="shared" si="34"/>
        <v>69.5</v>
      </c>
      <c r="D29" s="29" t="s">
        <v>46</v>
      </c>
      <c r="E29" s="36">
        <f t="shared" si="26"/>
        <v>18.378030313594756</v>
      </c>
      <c r="F29" s="36">
        <f t="shared" si="27"/>
        <v>10.916864160639619</v>
      </c>
      <c r="G29" s="29"/>
      <c r="H29" s="32">
        <v>86</v>
      </c>
      <c r="I29" s="27">
        <v>148</v>
      </c>
      <c r="J29" s="32">
        <v>53</v>
      </c>
      <c r="K29" s="27">
        <v>86</v>
      </c>
      <c r="L29" s="34"/>
      <c r="N29" s="80">
        <f t="shared" si="24"/>
        <v>29.727770102667129</v>
      </c>
      <c r="O29" s="80">
        <f t="shared" si="28"/>
        <v>20.90139088174428</v>
      </c>
      <c r="P29" s="80">
        <f t="shared" si="29"/>
        <v>17.069994288581206</v>
      </c>
      <c r="Q29" s="71">
        <v>11</v>
      </c>
      <c r="R29" s="81">
        <f t="shared" si="30"/>
        <v>1</v>
      </c>
      <c r="S29" s="81">
        <f t="shared" si="31"/>
        <v>1</v>
      </c>
      <c r="T29" s="81">
        <f t="shared" si="32"/>
        <v>1</v>
      </c>
      <c r="U29" s="71"/>
      <c r="V29" s="71"/>
      <c r="W29" s="71"/>
      <c r="X29" s="71"/>
    </row>
    <row r="30" spans="1:24" ht="10.5" customHeight="1" x14ac:dyDescent="0.25">
      <c r="A30" s="37" t="s">
        <v>58</v>
      </c>
      <c r="B30" s="38">
        <f t="shared" si="33"/>
        <v>122.5</v>
      </c>
      <c r="C30" s="38">
        <f t="shared" si="34"/>
        <v>74</v>
      </c>
      <c r="D30" s="29" t="s">
        <v>68</v>
      </c>
      <c r="E30" s="36">
        <f t="shared" si="26"/>
        <v>19.241954815515875</v>
      </c>
      <c r="F30" s="36">
        <f t="shared" si="27"/>
        <v>11.623711480393261</v>
      </c>
      <c r="G30" s="29"/>
      <c r="H30" s="32">
        <v>90</v>
      </c>
      <c r="I30" s="27">
        <v>155</v>
      </c>
      <c r="J30" s="32">
        <v>56</v>
      </c>
      <c r="K30" s="27">
        <v>92</v>
      </c>
      <c r="L30" s="34"/>
      <c r="N30" s="80">
        <f t="shared" si="24"/>
        <v>13.815244458751657</v>
      </c>
      <c r="O30" s="80">
        <f t="shared" si="28"/>
        <v>9.0677646649247823</v>
      </c>
      <c r="P30" s="80">
        <f t="shared" si="29"/>
        <v>7.2244191075577744</v>
      </c>
      <c r="Q30" s="71">
        <v>12</v>
      </c>
      <c r="R30" s="81">
        <f t="shared" si="30"/>
        <v>1</v>
      </c>
      <c r="S30" s="81">
        <f t="shared" si="31"/>
        <v>1</v>
      </c>
      <c r="T30" s="81">
        <f t="shared" si="32"/>
        <v>1</v>
      </c>
      <c r="U30" s="71"/>
      <c r="V30" s="71"/>
      <c r="W30" s="71"/>
      <c r="X30" s="71"/>
    </row>
    <row r="31" spans="1:24" ht="10.5" customHeight="1" x14ac:dyDescent="0.25">
      <c r="A31" s="37" t="s">
        <v>59</v>
      </c>
      <c r="B31" s="38">
        <f t="shared" si="33"/>
        <v>123.5</v>
      </c>
      <c r="C31" s="38">
        <f t="shared" si="34"/>
        <v>61.5</v>
      </c>
      <c r="D31" s="29" t="s">
        <v>36</v>
      </c>
      <c r="E31" s="36">
        <f t="shared" si="26"/>
        <v>19.399031997683352</v>
      </c>
      <c r="F31" s="36">
        <f t="shared" si="27"/>
        <v>9.6602467032998067</v>
      </c>
      <c r="G31" s="29"/>
      <c r="H31" s="32">
        <v>100</v>
      </c>
      <c r="I31" s="27">
        <v>147</v>
      </c>
      <c r="J31" s="32">
        <v>38</v>
      </c>
      <c r="K31" s="27">
        <v>85</v>
      </c>
      <c r="L31" s="34"/>
      <c r="N31" s="80">
        <f t="shared" si="24"/>
        <v>0</v>
      </c>
      <c r="O31" s="80">
        <f t="shared" si="28"/>
        <v>0</v>
      </c>
      <c r="P31" s="80">
        <f t="shared" si="29"/>
        <v>0</v>
      </c>
      <c r="Q31" s="71">
        <v>13</v>
      </c>
      <c r="R31" s="81">
        <f t="shared" si="30"/>
        <v>1</v>
      </c>
      <c r="S31" s="81">
        <f t="shared" si="31"/>
        <v>1</v>
      </c>
      <c r="T31" s="81">
        <f t="shared" si="32"/>
        <v>1</v>
      </c>
      <c r="U31" s="71"/>
      <c r="V31" s="71"/>
      <c r="W31" s="71"/>
      <c r="X31" s="71"/>
    </row>
    <row r="32" spans="1:24" ht="10.5" customHeight="1" x14ac:dyDescent="0.25">
      <c r="A32" s="37" t="s">
        <v>60</v>
      </c>
      <c r="B32" s="38">
        <f t="shared" si="33"/>
        <v>133</v>
      </c>
      <c r="C32" s="38">
        <f t="shared" si="34"/>
        <v>71</v>
      </c>
      <c r="D32" s="29" t="s">
        <v>36</v>
      </c>
      <c r="E32" s="36">
        <f t="shared" si="26"/>
        <v>20.891265228274381</v>
      </c>
      <c r="F32" s="36">
        <f t="shared" si="27"/>
        <v>11.152479933890834</v>
      </c>
      <c r="G32" s="29"/>
      <c r="H32" s="32">
        <v>115</v>
      </c>
      <c r="I32" s="27">
        <v>151</v>
      </c>
      <c r="J32" s="32">
        <v>53</v>
      </c>
      <c r="K32" s="27">
        <v>89</v>
      </c>
      <c r="L32" s="34"/>
      <c r="N32" s="71"/>
      <c r="O32" s="71"/>
      <c r="P32" s="71"/>
      <c r="Q32" s="71"/>
      <c r="R32" s="71"/>
      <c r="T32" s="71"/>
      <c r="U32" s="71"/>
      <c r="V32" s="71"/>
      <c r="W32" s="71"/>
      <c r="X32" s="71"/>
    </row>
    <row r="33" spans="1:24" ht="10.5" customHeight="1" x14ac:dyDescent="0.25">
      <c r="A33" s="37" t="s">
        <v>61</v>
      </c>
      <c r="B33" s="38">
        <f t="shared" si="33"/>
        <v>140.5</v>
      </c>
      <c r="C33" s="38">
        <f t="shared" si="34"/>
        <v>78</v>
      </c>
      <c r="D33" s="29"/>
      <c r="E33" s="36">
        <f t="shared" si="26"/>
        <v>22.069344094530454</v>
      </c>
      <c r="F33" s="36">
        <f t="shared" si="27"/>
        <v>12.25202020906317</v>
      </c>
      <c r="G33" s="29"/>
      <c r="H33" s="32">
        <v>125</v>
      </c>
      <c r="I33" s="27">
        <v>156</v>
      </c>
      <c r="J33" s="32">
        <v>62</v>
      </c>
      <c r="K33" s="27">
        <v>94</v>
      </c>
      <c r="L33" s="34"/>
      <c r="N33" s="71"/>
      <c r="O33">
        <v>2000</v>
      </c>
      <c r="P33" s="71"/>
      <c r="Q33" s="71"/>
      <c r="R33" s="71"/>
      <c r="T33" s="71"/>
      <c r="U33" s="71"/>
      <c r="V33" s="71"/>
      <c r="W33" s="71"/>
      <c r="X33" s="71"/>
    </row>
    <row r="34" spans="1:24" ht="10.5" customHeight="1" x14ac:dyDescent="0.25">
      <c r="A34" s="37" t="s">
        <v>62</v>
      </c>
      <c r="B34" s="38">
        <f t="shared" si="33"/>
        <v>113.5</v>
      </c>
      <c r="C34" s="38">
        <f t="shared" si="34"/>
        <v>51</v>
      </c>
      <c r="D34" s="29" t="s">
        <v>37</v>
      </c>
      <c r="E34" s="36">
        <f t="shared" si="26"/>
        <v>17.828260176008584</v>
      </c>
      <c r="F34" s="36">
        <f t="shared" si="27"/>
        <v>8.010936290541304</v>
      </c>
      <c r="G34" s="29"/>
      <c r="H34" s="32">
        <v>94</v>
      </c>
      <c r="I34" s="27">
        <v>133</v>
      </c>
      <c r="J34" s="32">
        <v>31</v>
      </c>
      <c r="K34" s="27">
        <v>71</v>
      </c>
      <c r="L34" s="34"/>
      <c r="N34" s="71"/>
      <c r="O34" s="71">
        <f>50/TAN(RADIANS(20))</f>
        <v>137.37387097273111</v>
      </c>
      <c r="P34" s="71"/>
      <c r="Q34" s="71"/>
      <c r="R34" s="71"/>
      <c r="T34" s="71"/>
      <c r="U34" s="71"/>
      <c r="V34" s="71"/>
      <c r="W34" s="71"/>
      <c r="X34" s="71"/>
    </row>
    <row r="35" spans="1:24" ht="10.5" customHeight="1" x14ac:dyDescent="0.25">
      <c r="A35" s="37" t="s">
        <v>63</v>
      </c>
      <c r="B35" s="38">
        <f t="shared" si="33"/>
        <v>99.5</v>
      </c>
      <c r="C35" s="38">
        <f t="shared" si="34"/>
        <v>37</v>
      </c>
      <c r="D35" s="29" t="s">
        <v>37</v>
      </c>
      <c r="E35" s="36">
        <f t="shared" si="26"/>
        <v>15.629179625663918</v>
      </c>
      <c r="F35" s="36">
        <f t="shared" si="27"/>
        <v>5.8118557401966306</v>
      </c>
      <c r="G35" s="29"/>
      <c r="H35" s="32">
        <v>71</v>
      </c>
      <c r="I35" s="27">
        <v>128</v>
      </c>
      <c r="J35" s="32">
        <v>8</v>
      </c>
      <c r="K35" s="27">
        <v>66</v>
      </c>
      <c r="L35" s="34"/>
      <c r="N35" s="71"/>
      <c r="O35" s="71"/>
      <c r="P35" s="71"/>
      <c r="Q35" s="71"/>
      <c r="R35" s="71"/>
      <c r="T35" s="71"/>
      <c r="U35" s="71"/>
      <c r="V35" s="71"/>
      <c r="W35" s="71"/>
      <c r="X35" s="71"/>
    </row>
    <row r="36" spans="1:24" ht="10.5" customHeight="1" x14ac:dyDescent="0.25">
      <c r="A36" s="37" t="s">
        <v>64</v>
      </c>
      <c r="B36" s="38">
        <f t="shared" si="33"/>
        <v>109</v>
      </c>
      <c r="C36" s="38">
        <f t="shared" si="34"/>
        <v>47</v>
      </c>
      <c r="D36" s="29" t="s">
        <v>37</v>
      </c>
      <c r="E36" s="36">
        <f t="shared" si="26"/>
        <v>17.121412856254942</v>
      </c>
      <c r="F36" s="36">
        <f t="shared" si="27"/>
        <v>7.3826275618713977</v>
      </c>
      <c r="G36" s="29"/>
      <c r="H36" s="32">
        <v>87</v>
      </c>
      <c r="I36" s="27">
        <v>131</v>
      </c>
      <c r="J36" s="32">
        <v>25</v>
      </c>
      <c r="K36" s="27">
        <v>69</v>
      </c>
      <c r="L36" s="34"/>
      <c r="N36" s="71"/>
      <c r="O36">
        <v>2000</v>
      </c>
      <c r="P36" s="71"/>
      <c r="Q36" s="71"/>
      <c r="R36" s="71"/>
      <c r="T36" s="71"/>
      <c r="U36" s="71"/>
      <c r="V36" s="71"/>
      <c r="W36" s="71"/>
      <c r="X36" s="71"/>
    </row>
    <row r="37" spans="1:24" ht="10.5" customHeight="1" x14ac:dyDescent="0.25">
      <c r="A37" s="37" t="s">
        <v>65</v>
      </c>
      <c r="B37" s="38">
        <f t="shared" si="33"/>
        <v>103</v>
      </c>
      <c r="C37" s="38">
        <f t="shared" si="34"/>
        <v>40</v>
      </c>
      <c r="D37" s="29" t="s">
        <v>37</v>
      </c>
      <c r="E37" s="36">
        <f t="shared" si="26"/>
        <v>16.178949763250085</v>
      </c>
      <c r="F37" s="36">
        <f t="shared" si="27"/>
        <v>6.283087286699061</v>
      </c>
      <c r="G37" s="29"/>
      <c r="H37" s="32">
        <v>81</v>
      </c>
      <c r="I37" s="27">
        <v>125</v>
      </c>
      <c r="J37" s="32">
        <v>18</v>
      </c>
      <c r="K37" s="27">
        <v>62</v>
      </c>
      <c r="L37" s="34"/>
      <c r="N37" s="71"/>
      <c r="O37" s="71">
        <v>150</v>
      </c>
      <c r="P37" s="71"/>
      <c r="Q37" s="71"/>
      <c r="R37" s="71"/>
      <c r="T37" s="71"/>
      <c r="U37" s="71"/>
      <c r="V37" s="71"/>
      <c r="W37" s="71"/>
      <c r="X37" s="71"/>
    </row>
    <row r="38" spans="1:24" ht="10.5" customHeight="1" x14ac:dyDescent="0.25">
      <c r="A38" s="26"/>
      <c r="B38" s="35"/>
      <c r="C38" s="35"/>
      <c r="D38" s="29"/>
      <c r="E38" s="36"/>
      <c r="F38" s="36"/>
      <c r="G38" s="29"/>
      <c r="H38" s="29"/>
      <c r="I38" s="29"/>
      <c r="J38" s="29"/>
      <c r="K38" s="29"/>
      <c r="L38" s="34"/>
      <c r="N38" s="71"/>
      <c r="O38" s="71"/>
      <c r="P38" s="71"/>
      <c r="Q38" s="71"/>
      <c r="R38" s="71"/>
      <c r="T38" s="71"/>
      <c r="U38" s="71"/>
      <c r="V38" s="71"/>
      <c r="W38" s="71"/>
      <c r="X38" s="71"/>
    </row>
    <row r="39" spans="1:24" ht="10.5" customHeight="1" x14ac:dyDescent="0.25">
      <c r="A39" s="37" t="s">
        <v>48</v>
      </c>
      <c r="B39" s="38">
        <v>90</v>
      </c>
      <c r="C39" s="38">
        <v>118</v>
      </c>
      <c r="D39" s="29" t="s">
        <v>46</v>
      </c>
      <c r="E39" s="36">
        <f t="shared" si="26"/>
        <v>14.136946395072888</v>
      </c>
      <c r="F39" s="36">
        <f t="shared" si="27"/>
        <v>18.535107495762233</v>
      </c>
      <c r="G39" s="29"/>
      <c r="H39" s="29"/>
      <c r="I39" s="29"/>
      <c r="J39" s="29"/>
      <c r="K39" s="29"/>
      <c r="L39" s="34"/>
      <c r="N39" s="71"/>
      <c r="O39" s="71"/>
      <c r="P39" s="71"/>
      <c r="Q39" s="71"/>
      <c r="R39" s="71"/>
      <c r="T39" s="71"/>
      <c r="U39" s="71"/>
      <c r="V39" s="71"/>
      <c r="W39" s="71"/>
      <c r="X39" s="71"/>
    </row>
    <row r="40" spans="1:24" ht="10.5" customHeight="1" x14ac:dyDescent="0.25">
      <c r="A40" s="37" t="s">
        <v>49</v>
      </c>
      <c r="B40" s="38">
        <v>109</v>
      </c>
      <c r="C40" s="38">
        <v>130</v>
      </c>
      <c r="D40" s="29" t="s">
        <v>46</v>
      </c>
      <c r="E40" s="36">
        <f t="shared" si="26"/>
        <v>17.121412856254942</v>
      </c>
      <c r="F40" s="36">
        <f t="shared" si="27"/>
        <v>20.420033681771947</v>
      </c>
      <c r="G40" s="29"/>
      <c r="H40" s="29"/>
      <c r="I40" s="29"/>
      <c r="J40" s="29"/>
      <c r="K40" s="29"/>
      <c r="L40" s="34"/>
      <c r="N40" s="71"/>
      <c r="O40" s="71"/>
      <c r="P40" s="71"/>
      <c r="Q40" s="71"/>
      <c r="R40" s="71"/>
      <c r="T40" s="71"/>
      <c r="U40" s="71"/>
      <c r="V40" s="71"/>
      <c r="W40" s="71"/>
      <c r="X40" s="71"/>
    </row>
    <row r="41" spans="1:24" ht="10.5" customHeight="1" x14ac:dyDescent="0.25">
      <c r="A41" s="37" t="s">
        <v>50</v>
      </c>
      <c r="B41" s="38">
        <v>99</v>
      </c>
      <c r="C41" s="38">
        <v>124</v>
      </c>
      <c r="D41" s="29" t="s">
        <v>46</v>
      </c>
      <c r="E41" s="36">
        <f t="shared" si="26"/>
        <v>15.550641034580178</v>
      </c>
      <c r="F41" s="36">
        <f t="shared" si="27"/>
        <v>19.47757058876709</v>
      </c>
      <c r="G41" s="29"/>
      <c r="H41" s="29"/>
      <c r="I41" s="29"/>
      <c r="J41" s="29"/>
      <c r="K41" s="29"/>
      <c r="L41" s="34"/>
      <c r="N41" s="71"/>
      <c r="O41" s="71"/>
      <c r="P41" s="71"/>
      <c r="Q41" s="71"/>
      <c r="R41" s="71"/>
      <c r="T41" s="71"/>
      <c r="U41" s="71"/>
      <c r="V41" s="71"/>
      <c r="W41" s="71"/>
      <c r="X41" s="71"/>
    </row>
    <row r="42" spans="1:24" ht="10.5" customHeight="1" x14ac:dyDescent="0.25">
      <c r="A42" s="37" t="s">
        <v>51</v>
      </c>
      <c r="B42" s="38">
        <v>116</v>
      </c>
      <c r="C42" s="38">
        <v>135</v>
      </c>
      <c r="D42" s="29" t="s">
        <v>46</v>
      </c>
      <c r="E42" s="36">
        <f t="shared" si="26"/>
        <v>18.220953131427279</v>
      </c>
      <c r="F42" s="36">
        <f t="shared" si="27"/>
        <v>21.205419592609335</v>
      </c>
      <c r="G42" s="29"/>
      <c r="H42" s="29"/>
      <c r="I42" s="29"/>
      <c r="J42" s="29"/>
      <c r="K42" s="29"/>
      <c r="L42" s="34"/>
      <c r="N42" s="71"/>
      <c r="O42" s="71"/>
      <c r="P42" s="71"/>
      <c r="Q42" s="71"/>
      <c r="R42" s="71"/>
      <c r="T42" s="71"/>
      <c r="U42" s="71"/>
      <c r="V42" s="71"/>
      <c r="W42" s="71"/>
      <c r="X42" s="71"/>
    </row>
    <row r="43" spans="1:24" ht="10.5" customHeight="1" x14ac:dyDescent="0.25">
      <c r="A43" s="37" t="s">
        <v>52</v>
      </c>
      <c r="B43" s="38">
        <v>76</v>
      </c>
      <c r="C43" s="38">
        <v>110</v>
      </c>
      <c r="D43" s="29" t="s">
        <v>37</v>
      </c>
      <c r="E43" s="36">
        <f t="shared" si="26"/>
        <v>11.937865844728217</v>
      </c>
      <c r="F43" s="36">
        <f t="shared" si="27"/>
        <v>17.278490038422419</v>
      </c>
      <c r="G43" s="29"/>
      <c r="H43" s="29"/>
      <c r="I43" s="29"/>
      <c r="J43" s="29"/>
      <c r="K43" s="29"/>
      <c r="L43" s="34"/>
    </row>
    <row r="44" spans="1:24" ht="10.5" customHeight="1" thickBot="1" x14ac:dyDescent="0.3">
      <c r="A44" s="39" t="s">
        <v>53</v>
      </c>
      <c r="B44" s="40">
        <v>106</v>
      </c>
      <c r="C44" s="40">
        <v>125</v>
      </c>
      <c r="D44" s="41" t="s">
        <v>37</v>
      </c>
      <c r="E44" s="42">
        <f t="shared" si="26"/>
        <v>16.650181309752512</v>
      </c>
      <c r="F44" s="42">
        <f t="shared" si="27"/>
        <v>19.634647770934567</v>
      </c>
      <c r="G44" s="41"/>
      <c r="H44" s="41"/>
      <c r="I44" s="41"/>
      <c r="J44" s="41"/>
      <c r="K44" s="41"/>
      <c r="L44" s="43"/>
    </row>
    <row r="45" spans="1:24" ht="10.5" customHeight="1" x14ac:dyDescent="0.25">
      <c r="A45" s="44" t="s">
        <v>0</v>
      </c>
      <c r="B45" s="25"/>
      <c r="C45" s="25"/>
      <c r="D45" s="25"/>
      <c r="E45" s="25"/>
      <c r="F45" s="25"/>
      <c r="G45" s="25"/>
      <c r="H45" s="25"/>
      <c r="I45" s="25"/>
      <c r="J45" s="85" t="s">
        <v>74</v>
      </c>
      <c r="K45" s="86"/>
      <c r="L45" s="87"/>
    </row>
    <row r="46" spans="1:24" ht="10.5" customHeight="1" thickBot="1" x14ac:dyDescent="0.3">
      <c r="A46" s="45"/>
      <c r="B46" s="46" t="s">
        <v>2</v>
      </c>
      <c r="C46" s="46"/>
      <c r="D46" s="46" t="s">
        <v>66</v>
      </c>
      <c r="E46" s="46"/>
      <c r="F46" s="29"/>
      <c r="G46" s="29"/>
      <c r="H46" s="29"/>
      <c r="I46" s="29"/>
      <c r="J46" s="88"/>
      <c r="K46" s="89"/>
      <c r="L46" s="90"/>
    </row>
    <row r="47" spans="1:24" ht="10.5" customHeight="1" x14ac:dyDescent="0.25">
      <c r="A47" s="45" t="s">
        <v>70</v>
      </c>
      <c r="B47" s="46">
        <v>25</v>
      </c>
      <c r="C47" s="47">
        <v>40</v>
      </c>
      <c r="D47" s="46">
        <v>18</v>
      </c>
      <c r="E47" s="46">
        <v>23</v>
      </c>
      <c r="F47" s="29"/>
      <c r="G47" s="29">
        <f t="shared" ref="G47:G49" si="35">+AVERAGE(D47:E47)</f>
        <v>20.5</v>
      </c>
      <c r="H47" s="29"/>
      <c r="I47" s="29"/>
      <c r="J47" s="29"/>
      <c r="K47" s="29"/>
      <c r="L47" s="34"/>
    </row>
    <row r="48" spans="1:24" ht="10.5" customHeight="1" x14ac:dyDescent="0.25">
      <c r="A48" s="45" t="s">
        <v>71</v>
      </c>
      <c r="B48" s="46">
        <v>25</v>
      </c>
      <c r="C48" s="47">
        <v>50</v>
      </c>
      <c r="D48" s="46">
        <v>16</v>
      </c>
      <c r="E48" s="46">
        <v>21</v>
      </c>
      <c r="F48" s="29"/>
      <c r="G48" s="29">
        <f t="shared" si="35"/>
        <v>18.5</v>
      </c>
      <c r="H48" s="29"/>
      <c r="I48" s="29"/>
      <c r="J48" s="29"/>
      <c r="K48" s="29"/>
      <c r="L48" s="34"/>
      <c r="N48" s="18"/>
      <c r="O48" s="11"/>
      <c r="T48" s="18"/>
      <c r="U48" s="11"/>
    </row>
    <row r="49" spans="1:12" ht="10.5" customHeight="1" x14ac:dyDescent="0.25">
      <c r="A49" s="45" t="s">
        <v>72</v>
      </c>
      <c r="B49" s="46">
        <v>35</v>
      </c>
      <c r="C49" s="47">
        <v>50</v>
      </c>
      <c r="D49" s="46">
        <v>16</v>
      </c>
      <c r="E49" s="46">
        <v>21</v>
      </c>
      <c r="F49" s="29"/>
      <c r="G49" s="29">
        <f t="shared" si="35"/>
        <v>18.5</v>
      </c>
      <c r="H49" s="29"/>
      <c r="I49" s="29"/>
      <c r="J49" s="29"/>
      <c r="K49" s="29"/>
      <c r="L49" s="34"/>
    </row>
    <row r="50" spans="1:12" ht="10.5" customHeight="1" x14ac:dyDescent="0.25">
      <c r="A50" s="45" t="s">
        <v>73</v>
      </c>
      <c r="B50" s="46">
        <v>30</v>
      </c>
      <c r="C50" s="47">
        <v>70</v>
      </c>
      <c r="D50" s="46">
        <v>14</v>
      </c>
      <c r="E50" s="46">
        <v>21</v>
      </c>
      <c r="F50" s="29"/>
      <c r="G50" s="29">
        <f>+AVERAGE(D50:E50)</f>
        <v>17.5</v>
      </c>
      <c r="H50" s="29"/>
      <c r="I50" s="29"/>
      <c r="J50" s="29"/>
      <c r="K50" s="29"/>
      <c r="L50" s="34"/>
    </row>
    <row r="51" spans="1:12" ht="10.5" customHeight="1" thickBot="1" x14ac:dyDescent="0.3">
      <c r="A51" s="48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3"/>
    </row>
    <row r="52" spans="1:12" ht="10.5" customHeight="1" x14ac:dyDescent="0.25">
      <c r="A52" s="49" t="s">
        <v>1</v>
      </c>
      <c r="B52" s="12"/>
      <c r="C52" s="12"/>
      <c r="D52" s="12"/>
      <c r="E52" s="12"/>
      <c r="F52" s="12"/>
      <c r="G52" s="12"/>
      <c r="H52" s="12"/>
      <c r="I52" s="12"/>
      <c r="J52" s="85" t="s">
        <v>8</v>
      </c>
      <c r="K52" s="86"/>
      <c r="L52" s="87"/>
    </row>
    <row r="53" spans="1:12" ht="10.5" customHeight="1" thickBot="1" x14ac:dyDescent="0.3">
      <c r="A53" s="93" t="s">
        <v>75</v>
      </c>
      <c r="B53" s="32" t="s">
        <v>77</v>
      </c>
      <c r="C53" s="32" t="s">
        <v>78</v>
      </c>
      <c r="D53" s="13"/>
      <c r="E53" s="13"/>
      <c r="F53" s="13"/>
      <c r="G53" s="13"/>
      <c r="H53" s="13"/>
      <c r="I53" s="13"/>
      <c r="J53" s="88"/>
      <c r="K53" s="89"/>
      <c r="L53" s="90"/>
    </row>
    <row r="54" spans="1:12" ht="10.5" customHeight="1" x14ac:dyDescent="0.25">
      <c r="A54" s="94"/>
      <c r="B54" s="95" t="s">
        <v>12</v>
      </c>
      <c r="C54" s="96"/>
      <c r="D54" s="13"/>
      <c r="E54" s="13"/>
      <c r="F54" s="13"/>
      <c r="G54" s="13"/>
      <c r="H54" s="13"/>
      <c r="I54" s="13"/>
      <c r="J54" s="13"/>
      <c r="K54" s="13"/>
      <c r="L54" s="14"/>
    </row>
    <row r="55" spans="1:12" ht="10.5" customHeight="1" x14ac:dyDescent="0.25">
      <c r="A55" s="32" t="s">
        <v>79</v>
      </c>
      <c r="B55" s="32">
        <v>35</v>
      </c>
      <c r="C55" s="32">
        <v>35</v>
      </c>
      <c r="D55" s="13"/>
      <c r="E55" s="13"/>
      <c r="F55" s="13"/>
      <c r="G55" s="13"/>
      <c r="H55" s="13"/>
      <c r="I55" s="13"/>
      <c r="J55" s="13"/>
      <c r="K55" s="13"/>
      <c r="L55" s="14"/>
    </row>
    <row r="56" spans="1:12" ht="10.5" customHeight="1" x14ac:dyDescent="0.25">
      <c r="A56" s="32" t="s">
        <v>80</v>
      </c>
      <c r="B56" s="32">
        <v>34</v>
      </c>
      <c r="C56" s="32">
        <v>35</v>
      </c>
      <c r="D56" s="13"/>
      <c r="E56" s="13"/>
      <c r="F56" s="13"/>
      <c r="G56" s="13"/>
      <c r="H56" s="13"/>
      <c r="I56" s="13"/>
      <c r="J56" s="13"/>
      <c r="K56" s="13"/>
      <c r="L56" s="14"/>
    </row>
    <row r="57" spans="1:12" ht="10.5" customHeight="1" x14ac:dyDescent="0.25">
      <c r="A57" s="32" t="s">
        <v>81</v>
      </c>
      <c r="B57" s="32">
        <v>35</v>
      </c>
      <c r="C57" s="32">
        <v>45</v>
      </c>
      <c r="D57" s="13"/>
      <c r="E57" s="13"/>
      <c r="F57" s="13"/>
      <c r="G57" s="13"/>
      <c r="H57" s="13"/>
      <c r="I57" s="13"/>
      <c r="J57" s="13"/>
      <c r="K57" s="13"/>
      <c r="L57" s="14"/>
    </row>
    <row r="58" spans="1:12" ht="10.5" customHeight="1" x14ac:dyDescent="0.25">
      <c r="A58" s="32" t="s">
        <v>82</v>
      </c>
      <c r="B58" s="32">
        <v>25</v>
      </c>
      <c r="C58" s="32">
        <v>35</v>
      </c>
      <c r="D58" s="13"/>
      <c r="E58" s="13"/>
      <c r="F58" s="13"/>
      <c r="G58" s="13"/>
      <c r="H58" s="13"/>
      <c r="I58" s="13"/>
      <c r="J58" s="13"/>
      <c r="K58" s="13"/>
      <c r="L58" s="14"/>
    </row>
    <row r="59" spans="1:12" ht="10.5" customHeight="1" x14ac:dyDescent="0.25">
      <c r="A59" s="32" t="s">
        <v>83</v>
      </c>
      <c r="B59" s="32">
        <v>22</v>
      </c>
      <c r="C59" s="32">
        <v>29</v>
      </c>
      <c r="D59" s="13"/>
      <c r="E59" s="13"/>
      <c r="F59" s="13"/>
      <c r="G59" s="13"/>
      <c r="H59" s="13"/>
      <c r="I59" s="13"/>
      <c r="J59" s="13"/>
      <c r="K59" s="13"/>
      <c r="L59" s="14"/>
    </row>
    <row r="60" spans="1:12" ht="10.5" customHeight="1" x14ac:dyDescent="0.25">
      <c r="A60" s="32" t="s">
        <v>84</v>
      </c>
      <c r="B60" s="32">
        <v>16</v>
      </c>
      <c r="C60" s="32">
        <v>22</v>
      </c>
      <c r="D60" s="13"/>
      <c r="E60" s="13"/>
      <c r="F60" s="13"/>
      <c r="G60" s="13"/>
      <c r="H60" s="13"/>
      <c r="I60" s="13"/>
      <c r="J60" s="13"/>
      <c r="K60" s="13"/>
      <c r="L60" s="14"/>
    </row>
    <row r="61" spans="1:12" ht="10.5" customHeight="1" x14ac:dyDescent="0.25">
      <c r="A61" s="32" t="s">
        <v>85</v>
      </c>
      <c r="B61" s="32">
        <v>0</v>
      </c>
      <c r="C61" s="32">
        <v>30</v>
      </c>
      <c r="D61" s="13"/>
      <c r="E61" s="13"/>
      <c r="F61" s="13"/>
      <c r="G61" s="13"/>
      <c r="H61" s="13"/>
      <c r="I61" s="13"/>
      <c r="J61" s="13"/>
      <c r="K61" s="13"/>
      <c r="L61" s="14"/>
    </row>
    <row r="62" spans="1:12" ht="10.5" customHeight="1" x14ac:dyDescent="0.25">
      <c r="A62" s="32" t="s">
        <v>86</v>
      </c>
      <c r="B62" s="32">
        <v>16</v>
      </c>
      <c r="C62" s="32">
        <v>28</v>
      </c>
      <c r="D62" s="13"/>
      <c r="E62" s="13"/>
      <c r="F62" s="13"/>
      <c r="G62" s="13"/>
      <c r="H62" s="13"/>
      <c r="I62" s="13"/>
      <c r="J62" s="13"/>
      <c r="K62" s="13"/>
      <c r="L62" s="14"/>
    </row>
    <row r="63" spans="1:12" ht="10.5" customHeight="1" x14ac:dyDescent="0.25">
      <c r="A63" s="32" t="s">
        <v>87</v>
      </c>
      <c r="B63" s="32">
        <v>20</v>
      </c>
      <c r="C63" s="32">
        <v>27</v>
      </c>
      <c r="D63" s="13"/>
      <c r="E63" s="13"/>
      <c r="F63" s="13"/>
      <c r="G63" s="13"/>
      <c r="H63" s="13"/>
      <c r="I63" s="13"/>
      <c r="J63" s="13"/>
      <c r="K63" s="13"/>
      <c r="L63" s="14"/>
    </row>
    <row r="64" spans="1:12" ht="10.5" customHeight="1" thickBot="1" x14ac:dyDescent="0.3">
      <c r="A64" s="1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7"/>
    </row>
    <row r="65" spans="1:12" ht="10.5" customHeight="1" x14ac:dyDescent="0.25">
      <c r="A65" s="49" t="s">
        <v>1</v>
      </c>
      <c r="B65" s="12"/>
      <c r="C65" s="12"/>
      <c r="D65" s="12"/>
      <c r="E65" s="12"/>
      <c r="F65" s="12"/>
      <c r="G65" s="12"/>
      <c r="H65" s="12"/>
      <c r="I65" s="12"/>
      <c r="J65" s="85" t="s">
        <v>9</v>
      </c>
      <c r="K65" s="86"/>
      <c r="L65" s="87"/>
    </row>
    <row r="66" spans="1:12" ht="10.5" customHeight="1" thickBot="1" x14ac:dyDescent="0.3">
      <c r="A66" s="32" t="s">
        <v>75</v>
      </c>
      <c r="B66" s="32" t="s">
        <v>76</v>
      </c>
      <c r="C66" s="32" t="s">
        <v>76</v>
      </c>
      <c r="D66" s="13"/>
      <c r="E66" s="13"/>
      <c r="F66" s="13"/>
      <c r="G66" s="13"/>
      <c r="H66" s="13"/>
      <c r="I66" s="13"/>
      <c r="J66" s="88"/>
      <c r="K66" s="89"/>
      <c r="L66" s="90"/>
    </row>
    <row r="67" spans="1:12" ht="10.5" customHeight="1" x14ac:dyDescent="0.25">
      <c r="A67" s="32"/>
      <c r="B67" s="32" t="s">
        <v>95</v>
      </c>
      <c r="C67" s="32" t="s">
        <v>96</v>
      </c>
      <c r="D67" s="13"/>
      <c r="E67" s="13"/>
      <c r="F67" s="13"/>
      <c r="G67" s="13"/>
      <c r="H67" s="13"/>
      <c r="I67" s="13"/>
      <c r="J67" s="13"/>
      <c r="K67" s="13"/>
      <c r="L67" s="14"/>
    </row>
    <row r="68" spans="1:12" ht="10.5" customHeight="1" x14ac:dyDescent="0.25">
      <c r="A68" s="32" t="s">
        <v>86</v>
      </c>
      <c r="B68" s="32">
        <v>0.2</v>
      </c>
      <c r="C68" s="32">
        <f>+B68*9.806/10^-4/1000</f>
        <v>19.611999999999995</v>
      </c>
      <c r="D68" s="13"/>
      <c r="E68" s="13"/>
      <c r="F68" s="13"/>
      <c r="G68" s="13"/>
      <c r="H68" s="13"/>
      <c r="I68" s="13"/>
      <c r="J68" s="13"/>
      <c r="K68" s="13"/>
      <c r="L68" s="14"/>
    </row>
    <row r="69" spans="1:12" ht="10.5" customHeight="1" x14ac:dyDescent="0.25">
      <c r="A69" s="32" t="s">
        <v>88</v>
      </c>
      <c r="B69" s="32">
        <v>0.1</v>
      </c>
      <c r="C69" s="32">
        <f t="shared" ref="C69:C74" si="36">+B69*9.806/10^-4/1000</f>
        <v>9.8059999999999974</v>
      </c>
      <c r="D69" s="13"/>
      <c r="E69" s="13"/>
      <c r="F69" s="13"/>
      <c r="G69" s="13"/>
      <c r="H69" s="13"/>
      <c r="I69" s="13"/>
      <c r="J69" s="13"/>
      <c r="K69" s="13"/>
      <c r="L69" s="14"/>
    </row>
    <row r="70" spans="1:12" ht="10.5" customHeight="1" x14ac:dyDescent="0.25">
      <c r="A70" s="32" t="s">
        <v>89</v>
      </c>
      <c r="B70" s="32">
        <v>0.25</v>
      </c>
      <c r="C70" s="32">
        <f t="shared" si="36"/>
        <v>24.514999999999997</v>
      </c>
      <c r="D70" s="13"/>
      <c r="E70" s="13"/>
      <c r="F70" s="13"/>
      <c r="G70" s="13"/>
      <c r="H70" s="13"/>
      <c r="I70" s="13"/>
      <c r="J70" s="13"/>
      <c r="K70" s="13"/>
      <c r="L70" s="14"/>
    </row>
    <row r="71" spans="1:12" ht="10.5" customHeight="1" x14ac:dyDescent="0.25">
      <c r="A71" s="32" t="s">
        <v>90</v>
      </c>
      <c r="B71" s="32">
        <v>0.5</v>
      </c>
      <c r="C71" s="32">
        <f t="shared" si="36"/>
        <v>49.029999999999994</v>
      </c>
      <c r="D71" s="13"/>
      <c r="E71" s="13"/>
      <c r="F71" s="13"/>
      <c r="G71" s="13"/>
      <c r="H71" s="13"/>
      <c r="I71" s="13"/>
      <c r="J71" s="13"/>
      <c r="K71" s="13"/>
      <c r="L71" s="14"/>
    </row>
    <row r="72" spans="1:12" ht="10.5" customHeight="1" x14ac:dyDescent="0.25">
      <c r="A72" s="32" t="s">
        <v>91</v>
      </c>
      <c r="B72" s="32">
        <v>1</v>
      </c>
      <c r="C72" s="32">
        <f t="shared" si="36"/>
        <v>98.059999999999988</v>
      </c>
      <c r="D72" s="13"/>
      <c r="E72" s="13"/>
      <c r="F72" s="13"/>
      <c r="G72" s="13"/>
      <c r="H72" s="13"/>
      <c r="I72" s="13"/>
      <c r="J72" s="13"/>
      <c r="K72" s="13"/>
      <c r="L72" s="14"/>
    </row>
    <row r="73" spans="1:12" ht="10.5" customHeight="1" x14ac:dyDescent="0.25">
      <c r="A73" s="32" t="s">
        <v>92</v>
      </c>
      <c r="B73" s="32" t="s">
        <v>93</v>
      </c>
      <c r="C73" s="32" t="s">
        <v>97</v>
      </c>
      <c r="D73" s="13"/>
      <c r="E73" s="32">
        <f>2*9.806/10^-4/1000</f>
        <v>196.11999999999998</v>
      </c>
      <c r="F73" s="32">
        <f>+E73/2*10</f>
        <v>980.59999999999991</v>
      </c>
      <c r="G73" s="13"/>
      <c r="H73" s="13"/>
      <c r="I73" s="13"/>
      <c r="J73" s="13"/>
      <c r="K73" s="13"/>
      <c r="L73" s="14"/>
    </row>
    <row r="74" spans="1:12" ht="10.5" customHeight="1" x14ac:dyDescent="0.25">
      <c r="A74" s="32" t="s">
        <v>94</v>
      </c>
      <c r="B74" s="32">
        <v>0.1</v>
      </c>
      <c r="C74" s="32">
        <f t="shared" si="36"/>
        <v>9.8059999999999974</v>
      </c>
      <c r="D74" s="13"/>
      <c r="E74" s="13"/>
      <c r="F74" s="13"/>
      <c r="G74" s="13"/>
      <c r="H74" s="13"/>
      <c r="I74" s="13"/>
      <c r="J74" s="13"/>
      <c r="K74" s="13"/>
      <c r="L74" s="14"/>
    </row>
    <row r="75" spans="1:12" ht="10.5" customHeight="1" thickBot="1" x14ac:dyDescent="0.3">
      <c r="A75" s="19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7"/>
    </row>
    <row r="76" spans="1:12" ht="10.5" customHeight="1" x14ac:dyDescent="0.25">
      <c r="A76" s="49" t="s">
        <v>33</v>
      </c>
      <c r="B76" s="12"/>
      <c r="C76" s="12"/>
      <c r="D76" s="12"/>
      <c r="E76" s="12"/>
      <c r="F76" s="12"/>
      <c r="G76" s="12"/>
      <c r="H76" s="12"/>
      <c r="I76" s="12"/>
      <c r="J76" s="85" t="s">
        <v>2</v>
      </c>
      <c r="K76" s="86"/>
      <c r="L76" s="87"/>
    </row>
    <row r="77" spans="1:12" ht="10.5" customHeight="1" thickBot="1" x14ac:dyDescent="0.3">
      <c r="A77" s="15"/>
      <c r="B77" s="13"/>
      <c r="C77" s="13"/>
      <c r="D77" s="13"/>
      <c r="E77" s="13"/>
      <c r="F77" s="13"/>
      <c r="G77" s="13"/>
      <c r="H77" s="13"/>
      <c r="I77" s="13"/>
      <c r="J77" s="88"/>
      <c r="K77" s="89"/>
      <c r="L77" s="90"/>
    </row>
    <row r="78" spans="1:12" ht="10.5" customHeight="1" x14ac:dyDescent="0.25">
      <c r="A78" s="50" t="s">
        <v>99</v>
      </c>
      <c r="B78" s="32">
        <v>39</v>
      </c>
      <c r="C78" s="13"/>
      <c r="D78" s="32" t="s">
        <v>46</v>
      </c>
      <c r="E78" s="32">
        <v>38</v>
      </c>
      <c r="F78" s="13"/>
      <c r="G78" s="13"/>
      <c r="H78" s="13"/>
      <c r="I78" s="13"/>
      <c r="J78" s="13"/>
      <c r="K78" s="13"/>
      <c r="L78" s="14"/>
    </row>
    <row r="79" spans="1:12" ht="10.5" customHeight="1" x14ac:dyDescent="0.25">
      <c r="A79" s="50" t="s">
        <v>101</v>
      </c>
      <c r="B79" s="32">
        <v>39</v>
      </c>
      <c r="C79" s="13"/>
      <c r="D79" s="32" t="s">
        <v>44</v>
      </c>
      <c r="E79" s="32">
        <v>43</v>
      </c>
      <c r="F79" s="13"/>
      <c r="G79" s="13"/>
      <c r="H79" s="13"/>
      <c r="I79" s="13"/>
      <c r="J79" s="13"/>
      <c r="K79" s="13"/>
      <c r="L79" s="14"/>
    </row>
    <row r="80" spans="1:12" ht="10.5" customHeight="1" x14ac:dyDescent="0.25">
      <c r="A80" s="50" t="s">
        <v>100</v>
      </c>
      <c r="B80" s="32">
        <v>43</v>
      </c>
      <c r="C80" s="13"/>
      <c r="D80" s="32" t="s">
        <v>43</v>
      </c>
      <c r="E80" s="32">
        <v>47</v>
      </c>
      <c r="F80" s="13"/>
      <c r="G80" s="13"/>
      <c r="H80" s="13"/>
      <c r="I80" s="13"/>
      <c r="J80" s="13"/>
      <c r="K80" s="13"/>
      <c r="L80" s="14"/>
    </row>
    <row r="81" spans="1:12" ht="10.5" customHeight="1" x14ac:dyDescent="0.25">
      <c r="A81" s="50" t="s">
        <v>40</v>
      </c>
      <c r="B81" s="32">
        <v>46</v>
      </c>
      <c r="C81" s="13"/>
      <c r="D81" s="32" t="s">
        <v>98</v>
      </c>
      <c r="E81" s="32">
        <v>48</v>
      </c>
      <c r="F81" s="13"/>
      <c r="G81" s="13"/>
      <c r="H81" s="13"/>
      <c r="I81" s="13"/>
      <c r="J81" s="13"/>
      <c r="K81" s="13"/>
      <c r="L81" s="14"/>
    </row>
    <row r="82" spans="1:12" ht="10.5" customHeight="1" x14ac:dyDescent="0.25">
      <c r="A82" s="50" t="s">
        <v>102</v>
      </c>
      <c r="B82" s="32"/>
      <c r="C82" s="13"/>
      <c r="D82" s="32" t="s">
        <v>39</v>
      </c>
      <c r="E82" s="32">
        <v>49</v>
      </c>
      <c r="F82" s="13"/>
      <c r="G82" s="13"/>
      <c r="H82" s="13"/>
      <c r="I82" s="13"/>
      <c r="J82" s="13"/>
      <c r="K82" s="13"/>
      <c r="L82" s="14"/>
    </row>
    <row r="83" spans="1:12" ht="10.5" customHeight="1" x14ac:dyDescent="0.25">
      <c r="C83" s="13"/>
      <c r="D83" s="32" t="s">
        <v>36</v>
      </c>
      <c r="E83" s="32">
        <v>51</v>
      </c>
      <c r="F83" s="13"/>
      <c r="G83" s="13"/>
      <c r="H83" s="13"/>
      <c r="I83" s="13"/>
      <c r="J83" s="13"/>
      <c r="K83" s="13"/>
      <c r="L83" s="14"/>
    </row>
    <row r="84" spans="1:12" ht="10.5" customHeight="1" x14ac:dyDescent="0.25">
      <c r="C84" s="13"/>
      <c r="D84" s="32" t="s">
        <v>37</v>
      </c>
      <c r="E84" s="32">
        <v>53</v>
      </c>
      <c r="F84" s="13"/>
      <c r="G84" s="13"/>
      <c r="H84" s="13"/>
      <c r="I84" s="13"/>
      <c r="J84" s="13"/>
      <c r="K84" s="13"/>
      <c r="L84" s="14"/>
    </row>
    <row r="85" spans="1:12" ht="10.5" customHeight="1" thickBot="1" x14ac:dyDescent="0.3">
      <c r="A85" s="51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7"/>
    </row>
    <row r="86" spans="1:12" ht="10.5" customHeight="1" x14ac:dyDescent="0.25">
      <c r="A86" s="52" t="s">
        <v>0</v>
      </c>
      <c r="B86" s="12"/>
      <c r="C86" s="12"/>
      <c r="D86" s="12"/>
      <c r="E86" s="12"/>
      <c r="F86" s="12"/>
      <c r="G86" s="12"/>
      <c r="H86" s="12"/>
      <c r="I86" s="12"/>
      <c r="J86" s="85" t="s">
        <v>2</v>
      </c>
      <c r="K86" s="86"/>
      <c r="L86" s="87"/>
    </row>
    <row r="87" spans="1:12" ht="10.5" customHeight="1" thickBot="1" x14ac:dyDescent="0.3">
      <c r="A87" s="15"/>
      <c r="B87" s="32" t="s">
        <v>4</v>
      </c>
      <c r="C87" s="32" t="s">
        <v>5</v>
      </c>
      <c r="D87" s="13"/>
      <c r="E87" s="13"/>
      <c r="F87" s="13"/>
      <c r="G87" s="13"/>
      <c r="H87" s="13"/>
      <c r="I87" s="13"/>
      <c r="J87" s="88"/>
      <c r="K87" s="89"/>
      <c r="L87" s="90"/>
    </row>
    <row r="88" spans="1:12" ht="10.5" customHeight="1" x14ac:dyDescent="0.25">
      <c r="A88" s="50" t="s">
        <v>103</v>
      </c>
      <c r="B88" s="32">
        <v>25</v>
      </c>
      <c r="C88" s="32">
        <v>50</v>
      </c>
      <c r="D88" s="13"/>
      <c r="E88" s="13"/>
      <c r="F88" s="13"/>
      <c r="G88" s="13"/>
      <c r="H88" s="13"/>
      <c r="I88" s="13"/>
      <c r="J88" s="13"/>
      <c r="K88" s="13"/>
      <c r="L88" s="14"/>
    </row>
    <row r="89" spans="1:12" ht="10.5" customHeight="1" x14ac:dyDescent="0.25">
      <c r="A89" s="50" t="s">
        <v>104</v>
      </c>
      <c r="B89" s="32">
        <v>35</v>
      </c>
      <c r="C89" s="32">
        <v>50</v>
      </c>
      <c r="D89" s="13"/>
      <c r="E89" s="13"/>
      <c r="F89" s="13"/>
      <c r="G89" s="13"/>
      <c r="H89" s="13"/>
      <c r="I89" s="13"/>
      <c r="J89" s="13"/>
      <c r="K89" s="13"/>
      <c r="L89" s="14"/>
    </row>
    <row r="90" spans="1:12" ht="10.5" customHeight="1" x14ac:dyDescent="0.25">
      <c r="A90" s="50" t="s">
        <v>102</v>
      </c>
      <c r="B90" s="32">
        <v>30</v>
      </c>
      <c r="C90" s="32">
        <v>70</v>
      </c>
      <c r="D90" s="13"/>
      <c r="E90" s="13"/>
      <c r="F90" s="13"/>
      <c r="G90" s="13"/>
      <c r="H90" s="13"/>
      <c r="I90" s="13"/>
      <c r="J90" s="13"/>
      <c r="K90" s="13"/>
      <c r="L90" s="14"/>
    </row>
    <row r="91" spans="1:12" ht="10.5" customHeight="1" thickBot="1" x14ac:dyDescent="0.3">
      <c r="A91" s="19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7"/>
    </row>
    <row r="92" spans="1:12" ht="10.5" customHeight="1" x14ac:dyDescent="0.25">
      <c r="A92" s="49" t="s">
        <v>33</v>
      </c>
      <c r="B92" s="12"/>
      <c r="C92" s="12"/>
      <c r="D92" s="12"/>
      <c r="E92" s="12"/>
      <c r="F92" s="12"/>
      <c r="G92" s="12"/>
      <c r="H92" s="12"/>
      <c r="I92" s="12"/>
      <c r="J92" s="85" t="s">
        <v>14</v>
      </c>
      <c r="K92" s="86"/>
      <c r="L92" s="87"/>
    </row>
    <row r="93" spans="1:12" ht="10.5" customHeight="1" thickBot="1" x14ac:dyDescent="0.3">
      <c r="A93" s="15"/>
      <c r="B93" s="32" t="s">
        <v>108</v>
      </c>
      <c r="C93" s="32" t="s">
        <v>15</v>
      </c>
      <c r="D93" s="13"/>
      <c r="E93" s="13"/>
      <c r="F93" s="13"/>
      <c r="G93" s="13"/>
      <c r="H93" s="13"/>
      <c r="I93" s="13"/>
      <c r="J93" s="88"/>
      <c r="K93" s="89"/>
      <c r="L93" s="90"/>
    </row>
    <row r="94" spans="1:12" ht="10.5" customHeight="1" x14ac:dyDescent="0.25">
      <c r="A94" s="50" t="s">
        <v>105</v>
      </c>
      <c r="B94" s="32">
        <f>+AVERAGE(210,61.1,25.9)</f>
        <v>99</v>
      </c>
      <c r="C94" s="53">
        <f>+B94/1000/3600</f>
        <v>2.7500000000000001E-5</v>
      </c>
      <c r="D94" s="54"/>
      <c r="E94" s="13"/>
      <c r="F94" s="13"/>
      <c r="G94" s="13"/>
      <c r="H94" s="13"/>
      <c r="I94" s="13"/>
      <c r="J94" s="13"/>
      <c r="K94" s="13"/>
      <c r="L94" s="14"/>
    </row>
    <row r="95" spans="1:12" ht="10.5" customHeight="1" x14ac:dyDescent="0.25">
      <c r="A95" s="50" t="s">
        <v>107</v>
      </c>
      <c r="B95" s="32">
        <v>13.2</v>
      </c>
      <c r="C95" s="53">
        <f t="shared" ref="C95:C96" si="37">+B95/1000/3600</f>
        <v>3.6666666666666666E-6</v>
      </c>
      <c r="D95" s="54"/>
      <c r="E95" s="13"/>
      <c r="F95" s="13"/>
      <c r="G95" s="13"/>
      <c r="H95" s="13"/>
      <c r="I95" s="13"/>
      <c r="J95" s="13"/>
      <c r="K95" s="13"/>
      <c r="L95" s="14"/>
    </row>
    <row r="96" spans="1:12" ht="10.5" customHeight="1" x14ac:dyDescent="0.25">
      <c r="A96" s="50" t="s">
        <v>106</v>
      </c>
      <c r="B96" s="32">
        <f>+AVERAGE(2.3,0.6)</f>
        <v>1.45</v>
      </c>
      <c r="C96" s="53">
        <f t="shared" si="37"/>
        <v>4.0277777777777773E-7</v>
      </c>
      <c r="D96" s="54"/>
      <c r="E96" s="13"/>
      <c r="F96" s="13"/>
      <c r="G96" s="13"/>
      <c r="H96" s="13"/>
      <c r="I96" s="13"/>
      <c r="J96" s="13"/>
      <c r="K96" s="13"/>
      <c r="L96" s="14"/>
    </row>
    <row r="97" spans="1:23" ht="10.5" customHeight="1" thickBot="1" x14ac:dyDescent="0.3">
      <c r="A97" s="19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7"/>
    </row>
    <row r="98" spans="1:23" ht="10.5" customHeight="1" x14ac:dyDescent="0.25">
      <c r="A98" s="49" t="s">
        <v>109</v>
      </c>
      <c r="B98" s="12"/>
      <c r="C98" s="12"/>
      <c r="D98" s="12"/>
      <c r="E98" s="12"/>
      <c r="F98" s="12"/>
      <c r="G98" s="12"/>
      <c r="H98" s="12"/>
      <c r="I98" s="12"/>
      <c r="J98" s="85" t="s">
        <v>14</v>
      </c>
      <c r="K98" s="86"/>
      <c r="L98" s="87"/>
    </row>
    <row r="99" spans="1:23" ht="10.5" customHeight="1" thickBot="1" x14ac:dyDescent="0.3">
      <c r="A99" s="15"/>
      <c r="B99" s="32" t="s">
        <v>108</v>
      </c>
      <c r="C99" s="32" t="s">
        <v>15</v>
      </c>
      <c r="D99" s="13"/>
      <c r="E99" s="13"/>
      <c r="F99" s="13"/>
      <c r="G99" s="13"/>
      <c r="H99" s="13"/>
      <c r="I99" s="13"/>
      <c r="J99" s="88"/>
      <c r="K99" s="89"/>
      <c r="L99" s="90"/>
    </row>
    <row r="100" spans="1:23" ht="10.5" customHeight="1" x14ac:dyDescent="0.25">
      <c r="A100" s="50" t="s">
        <v>46</v>
      </c>
      <c r="B100" s="32">
        <v>50</v>
      </c>
      <c r="C100" s="53">
        <f>+B100/1000/3600</f>
        <v>1.388888888888889E-5</v>
      </c>
      <c r="D100" s="13"/>
      <c r="E100" s="13"/>
      <c r="F100" s="13"/>
      <c r="G100" s="13"/>
      <c r="H100" s="13"/>
      <c r="I100" s="13"/>
      <c r="J100" s="13"/>
      <c r="K100" s="13"/>
      <c r="L100" s="14"/>
    </row>
    <row r="101" spans="1:23" ht="10.5" customHeight="1" x14ac:dyDescent="0.25">
      <c r="A101" s="50" t="s">
        <v>43</v>
      </c>
      <c r="B101" s="32">
        <v>13</v>
      </c>
      <c r="C101" s="53">
        <f t="shared" ref="C101:C102" si="38">+B101/1000/3600</f>
        <v>3.611111111111111E-6</v>
      </c>
      <c r="D101" s="13"/>
      <c r="E101" s="13"/>
      <c r="F101" s="13"/>
      <c r="G101" s="13"/>
      <c r="H101" s="13"/>
      <c r="I101" s="13"/>
      <c r="J101" s="13"/>
      <c r="K101" s="13"/>
      <c r="L101" s="14"/>
    </row>
    <row r="102" spans="1:23" ht="10.5" customHeight="1" x14ac:dyDescent="0.25">
      <c r="A102" s="50" t="s">
        <v>37</v>
      </c>
      <c r="B102" s="32">
        <v>0.5</v>
      </c>
      <c r="C102" s="53">
        <f t="shared" si="38"/>
        <v>1.3888888888888888E-7</v>
      </c>
      <c r="D102" s="13"/>
      <c r="E102" s="13"/>
      <c r="F102" s="13"/>
      <c r="G102" s="13"/>
      <c r="H102" s="13"/>
      <c r="I102" s="13"/>
      <c r="J102" s="13"/>
      <c r="K102" s="13"/>
      <c r="L102" s="14"/>
    </row>
    <row r="103" spans="1:23" ht="10.5" customHeight="1" thickBot="1" x14ac:dyDescent="0.3">
      <c r="A103" s="19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7"/>
      <c r="Q103" s="79" t="s">
        <v>121</v>
      </c>
      <c r="R103" s="79" t="s">
        <v>122</v>
      </c>
      <c r="S103" s="79" t="s">
        <v>123</v>
      </c>
      <c r="T103" s="79" t="s">
        <v>124</v>
      </c>
      <c r="U103" s="99" t="s">
        <v>140</v>
      </c>
      <c r="V103" s="99" t="s">
        <v>141</v>
      </c>
      <c r="W103" s="99" t="s">
        <v>142</v>
      </c>
    </row>
    <row r="104" spans="1:23" ht="10.5" customHeight="1" thickBot="1" x14ac:dyDescent="0.3">
      <c r="O104" s="78" t="s">
        <v>118</v>
      </c>
      <c r="P104" s="79" t="s">
        <v>108</v>
      </c>
      <c r="Q104" s="79">
        <v>250</v>
      </c>
      <c r="R104" s="79">
        <v>200</v>
      </c>
      <c r="S104" s="79">
        <v>125</v>
      </c>
      <c r="T104" s="79">
        <v>80</v>
      </c>
      <c r="U104" s="79">
        <v>125</v>
      </c>
      <c r="V104" s="79">
        <v>80</v>
      </c>
      <c r="W104" s="79">
        <v>80</v>
      </c>
    </row>
    <row r="105" spans="1:23" ht="10.5" customHeight="1" thickBot="1" x14ac:dyDescent="0.3">
      <c r="A105" s="8" t="s">
        <v>33</v>
      </c>
      <c r="B105" s="3"/>
      <c r="C105" s="3"/>
      <c r="D105" s="3"/>
      <c r="E105" s="3"/>
      <c r="O105" s="78" t="s">
        <v>25</v>
      </c>
      <c r="P105" s="79" t="s">
        <v>108</v>
      </c>
      <c r="Q105" s="79">
        <v>30</v>
      </c>
      <c r="R105" s="79">
        <v>15</v>
      </c>
      <c r="S105" s="79">
        <v>7.5</v>
      </c>
      <c r="T105" s="79">
        <v>3</v>
      </c>
      <c r="U105" s="79">
        <v>20</v>
      </c>
      <c r="V105" s="79">
        <v>15</v>
      </c>
      <c r="W105" s="79">
        <v>7.5</v>
      </c>
    </row>
    <row r="106" spans="1:23" ht="10.5" customHeight="1" x14ac:dyDescent="0.25">
      <c r="A106" s="12"/>
      <c r="B106" s="12"/>
      <c r="C106" s="78" t="s">
        <v>118</v>
      </c>
      <c r="D106" s="78" t="s">
        <v>25</v>
      </c>
      <c r="E106" s="78" t="s">
        <v>14</v>
      </c>
      <c r="F106" s="78" t="s">
        <v>118</v>
      </c>
      <c r="G106" s="78" t="s">
        <v>25</v>
      </c>
      <c r="H106" s="78" t="s">
        <v>14</v>
      </c>
      <c r="O106" s="78" t="s">
        <v>14</v>
      </c>
      <c r="P106" s="79" t="s">
        <v>119</v>
      </c>
      <c r="Q106" s="79">
        <v>1.5</v>
      </c>
      <c r="R106" s="79">
        <v>1.5</v>
      </c>
      <c r="S106" s="79">
        <v>1.5</v>
      </c>
      <c r="T106" s="79">
        <v>2</v>
      </c>
      <c r="U106" s="79">
        <v>5.5</v>
      </c>
      <c r="V106" s="79">
        <v>4.5</v>
      </c>
      <c r="W106" s="79">
        <v>4.5</v>
      </c>
    </row>
    <row r="107" spans="1:23" ht="10.5" customHeight="1" x14ac:dyDescent="0.25">
      <c r="A107"/>
      <c r="C107" s="79" t="s">
        <v>108</v>
      </c>
      <c r="D107" s="79" t="s">
        <v>108</v>
      </c>
      <c r="E107" s="79" t="s">
        <v>119</v>
      </c>
      <c r="F107" s="79" t="s">
        <v>108</v>
      </c>
      <c r="G107" s="79" t="s">
        <v>108</v>
      </c>
      <c r="H107" s="79" t="s">
        <v>119</v>
      </c>
    </row>
    <row r="108" spans="1:23" ht="10.5" customHeight="1" x14ac:dyDescent="0.25">
      <c r="A108" s="79" t="s">
        <v>120</v>
      </c>
      <c r="B108" s="79" t="s">
        <v>121</v>
      </c>
      <c r="C108" s="79">
        <v>250</v>
      </c>
      <c r="D108" s="79">
        <v>26</v>
      </c>
      <c r="E108" s="79">
        <v>1.5</v>
      </c>
      <c r="F108" s="79">
        <v>250</v>
      </c>
      <c r="G108" s="79">
        <v>25.4</v>
      </c>
      <c r="H108" s="79">
        <v>2</v>
      </c>
      <c r="P108">
        <v>1</v>
      </c>
      <c r="Q108">
        <f>+Q$105+(Q$104-Q$105)*EXP(-Q$106*$P108/60)</f>
        <v>244.56818064623317</v>
      </c>
      <c r="R108">
        <f t="shared" ref="R108:W123" si="39">+R$105+(R$104-R$105)*EXP(-R$106*$P108/60)</f>
        <v>195.43233372524153</v>
      </c>
      <c r="S108">
        <f t="shared" si="39"/>
        <v>122.09891466332908</v>
      </c>
      <c r="T108">
        <f t="shared" si="39"/>
        <v>77.475639737114449</v>
      </c>
      <c r="U108">
        <f t="shared" si="39"/>
        <v>115.80296970367317</v>
      </c>
      <c r="V108">
        <f t="shared" si="39"/>
        <v>75.303326611355942</v>
      </c>
      <c r="W108">
        <f t="shared" si="39"/>
        <v>74.761402758820083</v>
      </c>
    </row>
    <row r="109" spans="1:23" ht="10.5" customHeight="1" x14ac:dyDescent="0.25">
      <c r="A109" s="79" t="s">
        <v>120</v>
      </c>
      <c r="B109" s="79" t="s">
        <v>122</v>
      </c>
      <c r="C109" s="79">
        <v>200</v>
      </c>
      <c r="D109" s="79">
        <v>15</v>
      </c>
      <c r="E109" s="79">
        <v>1.5</v>
      </c>
      <c r="F109" s="79">
        <v>200</v>
      </c>
      <c r="G109" s="79">
        <v>12.7</v>
      </c>
      <c r="H109" s="79">
        <v>2</v>
      </c>
      <c r="P109">
        <v>2</v>
      </c>
      <c r="Q109">
        <f t="shared" ref="Q109:W140" si="40">+Q$105+(Q$104-Q$105)*EXP(-Q$106*$P109/60)</f>
        <v>239.27047339015709</v>
      </c>
      <c r="R109">
        <f t="shared" si="39"/>
        <v>190.97744353263209</v>
      </c>
      <c r="S109">
        <f t="shared" si="39"/>
        <v>119.26945737883389</v>
      </c>
      <c r="T109">
        <f t="shared" si="39"/>
        <v>75.034037847434575</v>
      </c>
      <c r="U109">
        <f t="shared" si="39"/>
        <v>107.41151432421829</v>
      </c>
      <c r="V109">
        <f t="shared" si="39"/>
        <v>70.946018467628761</v>
      </c>
      <c r="W109">
        <f t="shared" si="39"/>
        <v>69.901328290816693</v>
      </c>
    </row>
    <row r="110" spans="1:23" ht="10.5" customHeight="1" x14ac:dyDescent="0.25">
      <c r="A110" s="79" t="s">
        <v>120</v>
      </c>
      <c r="B110" s="79" t="s">
        <v>123</v>
      </c>
      <c r="C110" s="79">
        <v>125</v>
      </c>
      <c r="D110" s="79">
        <v>10</v>
      </c>
      <c r="E110" s="79">
        <v>1.5</v>
      </c>
      <c r="F110" s="79">
        <v>125</v>
      </c>
      <c r="G110" s="79">
        <v>6.3</v>
      </c>
      <c r="H110" s="79">
        <v>2</v>
      </c>
      <c r="P110">
        <v>3</v>
      </c>
      <c r="Q110">
        <f t="shared" si="40"/>
        <v>234.10356699228163</v>
      </c>
      <c r="R110">
        <f t="shared" si="39"/>
        <v>186.63254497078228</v>
      </c>
      <c r="S110">
        <f t="shared" si="39"/>
        <v>116.50985964360495</v>
      </c>
      <c r="T110">
        <f t="shared" si="39"/>
        <v>72.672481188768884</v>
      </c>
      <c r="U110">
        <f t="shared" si="39"/>
        <v>99.755072938621694</v>
      </c>
      <c r="V110">
        <f t="shared" si="39"/>
        <v>66.903554219359506</v>
      </c>
      <c r="W110">
        <f t="shared" si="39"/>
        <v>65.392425860054828</v>
      </c>
    </row>
    <row r="111" spans="1:23" ht="10.5" customHeight="1" x14ac:dyDescent="0.25">
      <c r="A111" s="79" t="s">
        <v>120</v>
      </c>
      <c r="B111" s="79" t="s">
        <v>124</v>
      </c>
      <c r="C111" s="79">
        <v>80</v>
      </c>
      <c r="D111" s="79">
        <v>5</v>
      </c>
      <c r="E111" s="79">
        <v>1.5</v>
      </c>
      <c r="F111" s="79">
        <v>76</v>
      </c>
      <c r="G111" s="79">
        <v>2.5</v>
      </c>
      <c r="H111" s="79">
        <v>2</v>
      </c>
      <c r="P111">
        <v>4</v>
      </c>
      <c r="Q111">
        <f t="shared" si="40"/>
        <v>229.0642319679111</v>
      </c>
      <c r="R111">
        <f t="shared" si="39"/>
        <v>182.39492233665251</v>
      </c>
      <c r="S111">
        <f t="shared" si="39"/>
        <v>113.81839661922524</v>
      </c>
      <c r="T111">
        <f t="shared" si="39"/>
        <v>70.388345566306953</v>
      </c>
      <c r="U111">
        <f t="shared" si="39"/>
        <v>92.769265109076358</v>
      </c>
      <c r="V111">
        <f t="shared" si="39"/>
        <v>63.153184344311661</v>
      </c>
      <c r="W111">
        <f t="shared" si="39"/>
        <v>61.209320999424548</v>
      </c>
    </row>
    <row r="112" spans="1:23" ht="10.5" customHeight="1" x14ac:dyDescent="0.25">
      <c r="P112">
        <v>5</v>
      </c>
      <c r="Q112">
        <f t="shared" si="40"/>
        <v>224.14931856861099</v>
      </c>
      <c r="R112">
        <f t="shared" si="39"/>
        <v>178.26192697815017</v>
      </c>
      <c r="S112">
        <f t="shared" si="39"/>
        <v>111.19338605368996</v>
      </c>
      <c r="T112">
        <f t="shared" si="39"/>
        <v>68.179092816577281</v>
      </c>
      <c r="U112">
        <f t="shared" si="39"/>
        <v>86.395349529556228</v>
      </c>
      <c r="V112">
        <f t="shared" si="39"/>
        <v>59.673803121413194</v>
      </c>
      <c r="W112">
        <f t="shared" si="39"/>
        <v>57.328472712345487</v>
      </c>
    </row>
    <row r="113" spans="1:23" ht="10.5" customHeight="1" x14ac:dyDescent="0.25">
      <c r="A113" s="98" t="s">
        <v>140</v>
      </c>
      <c r="B113" s="98"/>
      <c r="C113" s="79">
        <v>125</v>
      </c>
      <c r="D113" s="79">
        <v>20</v>
      </c>
      <c r="E113" s="79">
        <v>5.5</v>
      </c>
      <c r="F113" s="79">
        <v>117</v>
      </c>
      <c r="G113" s="79">
        <v>17</v>
      </c>
      <c r="H113" s="79">
        <v>5.34</v>
      </c>
      <c r="P113">
        <v>6</v>
      </c>
      <c r="Q113">
        <f t="shared" si="40"/>
        <v>219.3557548135127</v>
      </c>
      <c r="R113">
        <f t="shared" si="39"/>
        <v>174.2309756386357</v>
      </c>
      <c r="S113">
        <f t="shared" si="39"/>
        <v>108.6331872299443</v>
      </c>
      <c r="T113">
        <f t="shared" si="39"/>
        <v>66.042267987004607</v>
      </c>
      <c r="U113">
        <f t="shared" si="39"/>
        <v>80.579730089951099</v>
      </c>
      <c r="V113">
        <f t="shared" si="39"/>
        <v>56.445829855415269</v>
      </c>
      <c r="W113">
        <f t="shared" si="39"/>
        <v>53.728040992578563</v>
      </c>
    </row>
    <row r="114" spans="1:23" ht="10.5" customHeight="1" x14ac:dyDescent="0.25">
      <c r="A114" s="98" t="s">
        <v>141</v>
      </c>
      <c r="B114" s="98"/>
      <c r="C114" s="79">
        <v>80</v>
      </c>
      <c r="D114" s="79">
        <v>15</v>
      </c>
      <c r="E114" s="79">
        <v>4.5</v>
      </c>
      <c r="F114" s="79">
        <v>76</v>
      </c>
      <c r="G114" s="79">
        <v>13</v>
      </c>
      <c r="H114" s="79">
        <v>4.1399999999999997</v>
      </c>
      <c r="P114">
        <v>7</v>
      </c>
      <c r="Q114">
        <f t="shared" si="40"/>
        <v>214.68054456922562</v>
      </c>
      <c r="R114">
        <f t="shared" si="39"/>
        <v>170.29954884230335</v>
      </c>
      <c r="S114">
        <f t="shared" si="39"/>
        <v>106.13619994038187</v>
      </c>
      <c r="T114">
        <f t="shared" si="39"/>
        <v>63.975496607932186</v>
      </c>
      <c r="U114">
        <f t="shared" si="39"/>
        <v>75.273505204421753</v>
      </c>
      <c r="V114">
        <f t="shared" si="39"/>
        <v>53.451098683842979</v>
      </c>
      <c r="W114">
        <f t="shared" si="39"/>
        <v>50.387763916594096</v>
      </c>
    </row>
    <row r="115" spans="1:23" ht="10.5" customHeight="1" x14ac:dyDescent="0.25">
      <c r="A115" s="98" t="s">
        <v>142</v>
      </c>
      <c r="B115" s="98"/>
      <c r="C115" s="79">
        <v>80</v>
      </c>
      <c r="D115" s="79">
        <v>7.5</v>
      </c>
      <c r="E115" s="79">
        <v>4.5</v>
      </c>
      <c r="F115" s="79">
        <v>76</v>
      </c>
      <c r="G115" s="79">
        <v>6</v>
      </c>
      <c r="H115" s="79">
        <v>4.1399999999999997</v>
      </c>
      <c r="P115">
        <v>8</v>
      </c>
      <c r="Q115">
        <f t="shared" si="40"/>
        <v>210.12076567715599</v>
      </c>
      <c r="R115">
        <f t="shared" si="39"/>
        <v>166.46518931942663</v>
      </c>
      <c r="S115">
        <f t="shared" si="39"/>
        <v>103.70086348666287</v>
      </c>
      <c r="T115">
        <f t="shared" si="39"/>
        <v>61.976482054077948</v>
      </c>
      <c r="U115">
        <f t="shared" si="39"/>
        <v>70.432056614428944</v>
      </c>
      <c r="V115">
        <f t="shared" si="39"/>
        <v>50.672756346111719</v>
      </c>
      <c r="W115">
        <f t="shared" si="39"/>
        <v>47.288843616816912</v>
      </c>
    </row>
    <row r="116" spans="1:23" ht="10.5" customHeight="1" x14ac:dyDescent="0.25">
      <c r="P116">
        <v>9</v>
      </c>
      <c r="Q116">
        <f t="shared" si="40"/>
        <v>205.67356812706296</v>
      </c>
      <c r="R116">
        <f t="shared" si="39"/>
        <v>162.72550047048475</v>
      </c>
      <c r="S116">
        <f t="shared" si="39"/>
        <v>101.3256557042268</v>
      </c>
      <c r="T116">
        <f t="shared" si="39"/>
        <v>60.043002992492276</v>
      </c>
      <c r="U116">
        <f t="shared" si="39"/>
        <v>66.01467420881967</v>
      </c>
      <c r="V116">
        <f t="shared" si="39"/>
        <v>48.095167339490693</v>
      </c>
      <c r="W116">
        <f t="shared" si="39"/>
        <v>44.413840494047314</v>
      </c>
    </row>
    <row r="117" spans="1:23" ht="10.5" customHeight="1" x14ac:dyDescent="0.25">
      <c r="P117">
        <v>10</v>
      </c>
      <c r="Q117">
        <f t="shared" si="40"/>
        <v>201.33617227570906</v>
      </c>
      <c r="R117">
        <f t="shared" si="39"/>
        <v>159.0781448682099</v>
      </c>
      <c r="S117">
        <f t="shared" si="39"/>
        <v>99.009092010890072</v>
      </c>
      <c r="T117">
        <f t="shared" si="39"/>
        <v>58.172910914181777</v>
      </c>
      <c r="U117">
        <f t="shared" si="39"/>
        <v>61.984213706208976</v>
      </c>
      <c r="V117">
        <f t="shared" si="39"/>
        <v>45.703825928165955</v>
      </c>
      <c r="W117">
        <f t="shared" si="39"/>
        <v>41.746575073723562</v>
      </c>
    </row>
    <row r="118" spans="1:23" ht="10.5" customHeight="1" x14ac:dyDescent="0.25">
      <c r="P118">
        <v>11</v>
      </c>
      <c r="Q118">
        <f t="shared" si="40"/>
        <v>197.10586710949306</v>
      </c>
      <c r="R118">
        <f t="shared" si="39"/>
        <v>155.52084279661918</v>
      </c>
      <c r="S118">
        <f t="shared" si="39"/>
        <v>96.7497244789338</v>
      </c>
      <c r="T118">
        <f t="shared" si="39"/>
        <v>56.364127746655996</v>
      </c>
      <c r="U118">
        <f t="shared" si="39"/>
        <v>58.306784321223603</v>
      </c>
      <c r="V118">
        <f t="shared" si="39"/>
        <v>43.4852745102217</v>
      </c>
      <c r="W118">
        <f t="shared" si="39"/>
        <v>39.27203695370882</v>
      </c>
    </row>
    <row r="119" spans="1:23" ht="10.5" customHeight="1" x14ac:dyDescent="0.25">
      <c r="P119">
        <v>12</v>
      </c>
      <c r="Q119">
        <f t="shared" si="40"/>
        <v>192.98000854997792</v>
      </c>
      <c r="R119">
        <f t="shared" si="39"/>
        <v>152.05137082611782</v>
      </c>
      <c r="S119">
        <f t="shared" si="39"/>
        <v>94.546140930101856</v>
      </c>
      <c r="T119">
        <f t="shared" si="39"/>
        <v>54.614643544744226</v>
      </c>
      <c r="U119">
        <f t="shared" si="39"/>
        <v>54.951463788298355</v>
      </c>
      <c r="V119">
        <f t="shared" si="39"/>
        <v>41.42702788313894</v>
      </c>
      <c r="W119">
        <f t="shared" si="39"/>
        <v>36.976300331193436</v>
      </c>
    </row>
    <row r="120" spans="1:23" ht="10.5" customHeight="1" x14ac:dyDescent="0.25">
      <c r="P120">
        <v>13</v>
      </c>
      <c r="Q120">
        <f t="shared" si="40"/>
        <v>188.95601780125588</v>
      </c>
      <c r="R120">
        <f t="shared" si="39"/>
        <v>148.66756042378336</v>
      </c>
      <c r="S120">
        <f t="shared" si="39"/>
        <v>92.396964052943488</v>
      </c>
      <c r="T120">
        <f t="shared" si="39"/>
        <v>52.922514257116248</v>
      </c>
      <c r="U120">
        <f t="shared" si="39"/>
        <v>51.890038346755972</v>
      </c>
      <c r="V120">
        <f t="shared" si="39"/>
        <v>39.517502981605205</v>
      </c>
      <c r="W120">
        <f t="shared" si="39"/>
        <v>34.846445633328884</v>
      </c>
    </row>
    <row r="121" spans="1:23" ht="10.5" customHeight="1" x14ac:dyDescent="0.25">
      <c r="P121">
        <v>14</v>
      </c>
      <c r="Q121">
        <f t="shared" si="40"/>
        <v>185.03137973811695</v>
      </c>
      <c r="R121">
        <f t="shared" si="39"/>
        <v>145.367296597962</v>
      </c>
      <c r="S121">
        <f t="shared" si="39"/>
        <v>90.300850541948833</v>
      </c>
      <c r="T121">
        <f t="shared" si="39"/>
        <v>51.285859566025316</v>
      </c>
      <c r="U121">
        <f t="shared" si="39"/>
        <v>49.096765500792742</v>
      </c>
      <c r="V121">
        <f t="shared" si="39"/>
        <v>37.7459536922251</v>
      </c>
      <c r="W121">
        <f t="shared" si="39"/>
        <v>32.870486810558759</v>
      </c>
    </row>
    <row r="122" spans="1:23" ht="10.5" customHeight="1" x14ac:dyDescent="0.25">
      <c r="P122">
        <v>15</v>
      </c>
      <c r="Q122">
        <f t="shared" si="40"/>
        <v>181.20364133401389</v>
      </c>
      <c r="R122">
        <f t="shared" si="39"/>
        <v>142.14851657632988</v>
      </c>
      <c r="S122">
        <f t="shared" si="39"/>
        <v>88.256490257939234</v>
      </c>
      <c r="T122">
        <f t="shared" si="39"/>
        <v>49.702860797872773</v>
      </c>
      <c r="U122">
        <f t="shared" si="39"/>
        <v>46.548157559498378</v>
      </c>
      <c r="V122">
        <f t="shared" si="39"/>
        <v>36.102410378292731</v>
      </c>
      <c r="W122">
        <f t="shared" si="39"/>
        <v>31.037303883480355</v>
      </c>
    </row>
    <row r="123" spans="1:23" ht="10.5" customHeight="1" x14ac:dyDescent="0.25">
      <c r="P123">
        <v>16</v>
      </c>
      <c r="Q123">
        <f t="shared" si="40"/>
        <v>177.47041012784067</v>
      </c>
      <c r="R123">
        <f t="shared" si="39"/>
        <v>139.00920851659328</v>
      </c>
      <c r="S123">
        <f t="shared" si="39"/>
        <v>86.262605409187614</v>
      </c>
      <c r="T123">
        <f t="shared" si="39"/>
        <v>48.171758902272451</v>
      </c>
      <c r="U123">
        <f t="shared" si="39"/>
        <v>44.222784136771097</v>
      </c>
      <c r="V123">
        <f t="shared" si="39"/>
        <v>34.577623774293137</v>
      </c>
      <c r="W123">
        <f t="shared" si="39"/>
        <v>29.336580363634656</v>
      </c>
    </row>
    <row r="124" spans="1:23" ht="10.5" customHeight="1" x14ac:dyDescent="0.25">
      <c r="P124">
        <v>17</v>
      </c>
      <c r="Q124">
        <f t="shared" si="40"/>
        <v>173.82935272856639</v>
      </c>
      <c r="R124">
        <f t="shared" si="40"/>
        <v>135.94741024902174</v>
      </c>
      <c r="S124">
        <f t="shared" si="40"/>
        <v>84.317949752757059</v>
      </c>
      <c r="T124">
        <f t="shared" si="40"/>
        <v>46.690852497369292</v>
      </c>
      <c r="U124">
        <f t="shared" si="40"/>
        <v>42.101091950416155</v>
      </c>
      <c r="V124">
        <f t="shared" si="40"/>
        <v>33.163012934391475</v>
      </c>
      <c r="W124">
        <f t="shared" si="40"/>
        <v>27.758745196052033</v>
      </c>
    </row>
    <row r="125" spans="1:23" ht="10.5" customHeight="1" x14ac:dyDescent="0.25">
      <c r="P125">
        <v>18</v>
      </c>
      <c r="Q125">
        <f t="shared" si="40"/>
        <v>170.27819335679013</v>
      </c>
      <c r="R125">
        <f t="shared" si="40"/>
        <v>132.96120805002806</v>
      </c>
      <c r="S125">
        <f t="shared" si="40"/>
        <v>82.421307815558364</v>
      </c>
      <c r="T125">
        <f t="shared" si="40"/>
        <v>45.258495979240031</v>
      </c>
      <c r="U125">
        <f t="shared" si="40"/>
        <v>40.165240405179183</v>
      </c>
      <c r="V125">
        <f t="shared" si="40"/>
        <v>31.850616941982949</v>
      </c>
      <c r="W125">
        <f t="shared" si="40"/>
        <v>26.294918896827134</v>
      </c>
    </row>
    <row r="126" spans="1:23" ht="10.5" customHeight="1" x14ac:dyDescent="0.25">
      <c r="P126">
        <v>19</v>
      </c>
      <c r="Q126">
        <f t="shared" si="40"/>
        <v>166.81471242230444</v>
      </c>
      <c r="R126">
        <f t="shared" si="40"/>
        <v>130.04873544602873</v>
      </c>
      <c r="S126">
        <f t="shared" si="40"/>
        <v>80.571494134639863</v>
      </c>
      <c r="T126">
        <f t="shared" si="40"/>
        <v>43.873097693275078</v>
      </c>
      <c r="U126">
        <f t="shared" si="40"/>
        <v>38.398951577187304</v>
      </c>
      <c r="V126">
        <f t="shared" si="40"/>
        <v>30.633050108542239</v>
      </c>
      <c r="W126">
        <f t="shared" si="40"/>
        <v>24.936863582604804</v>
      </c>
    </row>
    <row r="127" spans="1:23" ht="10.5" customHeight="1" x14ac:dyDescent="0.25">
      <c r="P127">
        <v>20</v>
      </c>
      <c r="Q127">
        <f t="shared" si="40"/>
        <v>163.43674513677936</v>
      </c>
      <c r="R127">
        <f t="shared" si="40"/>
        <v>127.20817204683718</v>
      </c>
      <c r="S127">
        <f t="shared" si="40"/>
        <v>78.767352516234425</v>
      </c>
      <c r="T127">
        <f t="shared" si="40"/>
        <v>42.533118165509585</v>
      </c>
      <c r="U127">
        <f t="shared" si="40"/>
        <v>36.787373338367857</v>
      </c>
      <c r="V127">
        <f t="shared" si="40"/>
        <v>29.503460409647936</v>
      </c>
      <c r="W127">
        <f t="shared" si="40"/>
        <v>23.67693661076116</v>
      </c>
    </row>
    <row r="128" spans="1:23" ht="10.5" customHeight="1" x14ac:dyDescent="0.25">
      <c r="P128">
        <v>21</v>
      </c>
      <c r="Q128">
        <f t="shared" si="40"/>
        <v>160.14218016069933</v>
      </c>
      <c r="R128">
        <f t="shared" si="40"/>
        <v>124.4377424078608</v>
      </c>
      <c r="S128">
        <f t="shared" si="40"/>
        <v>77.007755313100773</v>
      </c>
      <c r="T128">
        <f t="shared" si="40"/>
        <v>41.237068391938536</v>
      </c>
      <c r="U128">
        <f t="shared" si="40"/>
        <v>35.316954469903877</v>
      </c>
      <c r="V128">
        <f t="shared" si="40"/>
        <v>28.455490924274923</v>
      </c>
      <c r="W128">
        <f t="shared" si="40"/>
        <v>22.508047569383567</v>
      </c>
    </row>
    <row r="129" spans="16:23" ht="10.5" customHeight="1" x14ac:dyDescent="0.25">
      <c r="P129">
        <v>22</v>
      </c>
      <c r="Q129">
        <f t="shared" si="40"/>
        <v>156.92895828370706</v>
      </c>
      <c r="R129">
        <f t="shared" si="40"/>
        <v>121.73571492039002</v>
      </c>
      <c r="S129">
        <f t="shared" si="40"/>
        <v>75.291602719707186</v>
      </c>
      <c r="T129">
        <f t="shared" si="40"/>
        <v>39.983508183914552</v>
      </c>
      <c r="U129">
        <f t="shared" si="40"/>
        <v>33.975330714597547</v>
      </c>
      <c r="V129">
        <f t="shared" si="40"/>
        <v>27.483244060349019</v>
      </c>
      <c r="W129">
        <f t="shared" si="40"/>
        <v>21.423618375004676</v>
      </c>
    </row>
    <row r="130" spans="16:23" ht="10.5" customHeight="1" x14ac:dyDescent="0.25">
      <c r="P130">
        <v>23</v>
      </c>
      <c r="Q130">
        <f t="shared" si="40"/>
        <v>153.79507113753027</v>
      </c>
      <c r="R130">
        <f t="shared" si="40"/>
        <v>119.1004007292868</v>
      </c>
      <c r="S130">
        <f t="shared" si="40"/>
        <v>73.617822084817291</v>
      </c>
      <c r="T130">
        <f t="shared" si="40"/>
        <v>38.771044567790184</v>
      </c>
      <c r="U130">
        <f t="shared" si="40"/>
        <v>32.751220809994301</v>
      </c>
      <c r="V130">
        <f t="shared" si="40"/>
        <v>26.581248365238395</v>
      </c>
      <c r="W130">
        <f t="shared" si="40"/>
        <v>20.417546253535136</v>
      </c>
    </row>
    <row r="131" spans="16:23" ht="10.5" customHeight="1" x14ac:dyDescent="0.25">
      <c r="P131">
        <v>24</v>
      </c>
      <c r="Q131">
        <f t="shared" si="40"/>
        <v>150.7385599406858</v>
      </c>
      <c r="R131">
        <f t="shared" si="40"/>
        <v>116.53015267739488</v>
      </c>
      <c r="S131">
        <f t="shared" si="40"/>
        <v>71.985367241048095</v>
      </c>
      <c r="T131">
        <f t="shared" si="40"/>
        <v>37.598330237026062</v>
      </c>
      <c r="U131">
        <f t="shared" si="40"/>
        <v>31.634331628045054</v>
      </c>
      <c r="V131">
        <f t="shared" si="40"/>
        <v>25.744427734403125</v>
      </c>
      <c r="W131">
        <f t="shared" si="40"/>
        <v>19.484169396065024</v>
      </c>
    </row>
    <row r="132" spans="16:23" ht="10.5" customHeight="1" x14ac:dyDescent="0.25">
      <c r="P132">
        <v>25</v>
      </c>
      <c r="Q132">
        <f t="shared" si="40"/>
        <v>147.75751427417788</v>
      </c>
      <c r="R132">
        <f t="shared" si="40"/>
        <v>114.0233642760132</v>
      </c>
      <c r="S132">
        <f t="shared" si="40"/>
        <v>70.393217850981358</v>
      </c>
      <c r="T132">
        <f t="shared" si="40"/>
        <v>36.464062055045019</v>
      </c>
      <c r="U132">
        <f t="shared" si="40"/>
        <v>30.615271623657975</v>
      </c>
      <c r="V132">
        <f t="shared" si="40"/>
        <v>24.96807284492035</v>
      </c>
      <c r="W132">
        <f t="shared" si="40"/>
        <v>18.618235096257315</v>
      </c>
    </row>
    <row r="133" spans="16:23" ht="10.5" customHeight="1" x14ac:dyDescent="0.25">
      <c r="P133">
        <v>26</v>
      </c>
      <c r="Q133">
        <f t="shared" si="40"/>
        <v>144.85007088742353</v>
      </c>
      <c r="R133">
        <f t="shared" si="40"/>
        <v>111.57846870078797</v>
      </c>
      <c r="S133">
        <f t="shared" si="40"/>
        <v>68.840378769419388</v>
      </c>
      <c r="T133">
        <f t="shared" si="40"/>
        <v>35.366979607168503</v>
      </c>
      <c r="U133">
        <f t="shared" si="40"/>
        <v>29.685471864357773</v>
      </c>
      <c r="V133">
        <f t="shared" si="40"/>
        <v>24.247814653123385</v>
      </c>
      <c r="W133">
        <f t="shared" si="40"/>
        <v>17.814870190022233</v>
      </c>
    </row>
    <row r="134" spans="16:23" ht="10.5" customHeight="1" x14ac:dyDescent="0.25">
      <c r="P134">
        <v>27</v>
      </c>
      <c r="Q134">
        <f t="shared" si="40"/>
        <v>142.01441253366082</v>
      </c>
      <c r="R134">
        <f t="shared" si="40"/>
        <v>109.1939378123966</v>
      </c>
      <c r="S134">
        <f t="shared" si="40"/>
        <v>67.325879421387029</v>
      </c>
      <c r="T134">
        <f t="shared" si="40"/>
        <v>34.305863800026131</v>
      </c>
      <c r="U134">
        <f t="shared" si="40"/>
        <v>28.837113977017587</v>
      </c>
      <c r="V134">
        <f t="shared" si="40"/>
        <v>23.579599807208965</v>
      </c>
      <c r="W134">
        <f t="shared" si="40"/>
        <v>17.069553631117692</v>
      </c>
    </row>
    <row r="135" spans="16:23" ht="10.5" customHeight="1" x14ac:dyDescent="0.25">
      <c r="P135">
        <v>28</v>
      </c>
      <c r="Q135">
        <f t="shared" si="40"/>
        <v>139.24876683411009</v>
      </c>
      <c r="R135">
        <f t="shared" si="40"/>
        <v>106.86828120141077</v>
      </c>
      <c r="S135">
        <f t="shared" si="40"/>
        <v>65.848773195490622</v>
      </c>
      <c r="T135">
        <f t="shared" si="40"/>
        <v>33.279535506882063</v>
      </c>
      <c r="U135">
        <f t="shared" si="40"/>
        <v>28.063064405791643</v>
      </c>
      <c r="V135">
        <f t="shared" si="40"/>
        <v>22.959667836443824</v>
      </c>
      <c r="W135">
        <f t="shared" si="40"/>
        <v>16.37809104834119</v>
      </c>
    </row>
    <row r="136" spans="16:23" ht="10.5" customHeight="1" x14ac:dyDescent="0.25">
      <c r="P136">
        <v>29</v>
      </c>
      <c r="Q136">
        <f t="shared" si="40"/>
        <v>136.55140517017975</v>
      </c>
      <c r="R136">
        <f t="shared" si="40"/>
        <v>104.60004525674205</v>
      </c>
      <c r="S136">
        <f t="shared" si="40"/>
        <v>64.408136852255097</v>
      </c>
      <c r="T136">
        <f t="shared" si="40"/>
        <v>32.286854257372909</v>
      </c>
      <c r="U136">
        <f t="shared" si="40"/>
        <v>27.356814428445929</v>
      </c>
      <c r="V136">
        <f t="shared" si="40"/>
        <v>22.384529988599645</v>
      </c>
      <c r="W136">
        <f t="shared" si="40"/>
        <v>15.736591141130374</v>
      </c>
    </row>
    <row r="137" spans="16:23" ht="10.5" customHeight="1" x14ac:dyDescent="0.25">
      <c r="P137">
        <v>30</v>
      </c>
      <c r="Q137">
        <f t="shared" si="40"/>
        <v>133.92064160302323</v>
      </c>
      <c r="R137">
        <f t="shared" si="40"/>
        <v>102.38781225708772</v>
      </c>
      <c r="S137">
        <f t="shared" si="40"/>
        <v>63.003069947069228</v>
      </c>
      <c r="T137">
        <f t="shared" si="40"/>
        <v>31.326716970201058</v>
      </c>
      <c r="U137">
        <f t="shared" si="40"/>
        <v>26.712425426704293</v>
      </c>
      <c r="V137">
        <f t="shared" si="40"/>
        <v>21.850949596521183</v>
      </c>
      <c r="W137">
        <f t="shared" si="40"/>
        <v>15.141443780735164</v>
      </c>
    </row>
    <row r="138" spans="16:23" ht="10.5" customHeight="1" x14ac:dyDescent="0.25">
      <c r="P138">
        <v>31</v>
      </c>
      <c r="Q138">
        <f t="shared" si="40"/>
        <v>131.35483181977247</v>
      </c>
      <c r="R138">
        <f t="shared" si="40"/>
        <v>100.23019948480868</v>
      </c>
      <c r="S138">
        <f t="shared" si="40"/>
        <v>61.632694267378483</v>
      </c>
      <c r="T138">
        <f t="shared" si="40"/>
        <v>30.398056727375323</v>
      </c>
      <c r="U138">
        <f t="shared" si="40"/>
        <v>26.124478950406829</v>
      </c>
      <c r="V138">
        <f t="shared" si="40"/>
        <v>21.355923863337754</v>
      </c>
      <c r="W138">
        <f t="shared" si="40"/>
        <v>14.589299693722879</v>
      </c>
    </row>
    <row r="139" spans="16:23" ht="10.5" customHeight="1" x14ac:dyDescent="0.25">
      <c r="P139">
        <v>32</v>
      </c>
      <c r="Q139">
        <f t="shared" si="40"/>
        <v>128.85237210578873</v>
      </c>
      <c r="R139">
        <f t="shared" si="40"/>
        <v>98.125858361685985</v>
      </c>
      <c r="S139">
        <f t="shared" si="40"/>
        <v>60.296153283773535</v>
      </c>
      <c r="T139">
        <f t="shared" si="40"/>
        <v>29.499841588636752</v>
      </c>
      <c r="U139">
        <f t="shared" si="40"/>
        <v>25.588031155586759</v>
      </c>
      <c r="V139">
        <f t="shared" si="40"/>
        <v>20.896666963811814</v>
      </c>
      <c r="W139">
        <f t="shared" si="40"/>
        <v>14.077051613482407</v>
      </c>
    </row>
    <row r="140" spans="16:23" ht="10.5" customHeight="1" x14ac:dyDescent="0.25">
      <c r="P140">
        <v>33</v>
      </c>
      <c r="Q140">
        <f t="shared" si="40"/>
        <v>126.41169834228883</v>
      </c>
      <c r="R140">
        <f t="shared" si="40"/>
        <v>96.073473606015611</v>
      </c>
      <c r="S140">
        <f t="shared" si="40"/>
        <v>58.992611614631535</v>
      </c>
      <c r="T140">
        <f t="shared" si="40"/>
        <v>28.631073444752126</v>
      </c>
      <c r="U140">
        <f t="shared" si="40"/>
        <v>25.098571233351048</v>
      </c>
      <c r="V140">
        <f t="shared" si="40"/>
        <v>20.470594366725173</v>
      </c>
      <c r="W140">
        <f t="shared" si="40"/>
        <v>13.601816793655001</v>
      </c>
    </row>
    <row r="141" spans="16:23" ht="10.5" customHeight="1" x14ac:dyDescent="0.25">
      <c r="P141">
        <v>34</v>
      </c>
      <c r="Q141">
        <f t="shared" ref="Q141:W172" si="41">+Q$105+(Q$104-Q$105)*EXP(-Q$106*$P141/60)</f>
        <v>124.03128502871988</v>
      </c>
      <c r="R141">
        <f t="shared" si="41"/>
        <v>94.071762410514438</v>
      </c>
      <c r="S141">
        <f t="shared" si="41"/>
        <v>57.721254503975388</v>
      </c>
      <c r="T141">
        <f t="shared" si="41"/>
        <v>27.790786908401046</v>
      </c>
      <c r="U141">
        <f t="shared" si="41"/>
        <v>24.651983480007139</v>
      </c>
      <c r="V141">
        <f t="shared" si="41"/>
        <v>20.075308290074958</v>
      </c>
      <c r="W141">
        <f t="shared" si="41"/>
        <v>13.160920785083604</v>
      </c>
    </row>
    <row r="142" spans="16:23" ht="10.5" customHeight="1" x14ac:dyDescent="0.25">
      <c r="P142">
        <v>35</v>
      </c>
      <c r="Q142">
        <f t="shared" si="41"/>
        <v>121.70964432927184</v>
      </c>
      <c r="R142">
        <f t="shared" si="41"/>
        <v>92.119473640524049</v>
      </c>
      <c r="S142">
        <f t="shared" si="41"/>
        <v>56.481287312224737</v>
      </c>
      <c r="T142">
        <f t="shared" si="41"/>
        <v>26.978048241424023</v>
      </c>
      <c r="U142">
        <f t="shared" si="41"/>
        <v>24.244512689496307</v>
      </c>
      <c r="V142">
        <f t="shared" si="41"/>
        <v>19.708584207226345</v>
      </c>
      <c r="W142">
        <f t="shared" si="41"/>
        <v>12.751882384983229</v>
      </c>
    </row>
    <row r="143" spans="16:23" ht="10.5" customHeight="1" x14ac:dyDescent="0.25">
      <c r="P143">
        <v>36</v>
      </c>
      <c r="Q143">
        <f t="shared" si="41"/>
        <v>119.44532514293181</v>
      </c>
      <c r="R143">
        <f t="shared" si="41"/>
        <v>90.21538705201084</v>
      </c>
      <c r="S143">
        <f t="shared" si="41"/>
        <v>55.271935019520399</v>
      </c>
      <c r="T143">
        <f t="shared" si="41"/>
        <v>26.191954317239563</v>
      </c>
      <c r="U143">
        <f t="shared" si="41"/>
        <v>23.872732577130201</v>
      </c>
      <c r="V143">
        <f t="shared" si="41"/>
        <v>19.368358328083733</v>
      </c>
      <c r="W143">
        <f t="shared" si="41"/>
        <v>12.372399673631858</v>
      </c>
    </row>
    <row r="144" spans="16:23" ht="10.5" customHeight="1" x14ac:dyDescent="0.25">
      <c r="P144">
        <v>37</v>
      </c>
      <c r="Q144">
        <f t="shared" si="41"/>
        <v>117.23691219649842</v>
      </c>
      <c r="R144">
        <f t="shared" si="41"/>
        <v>88.358312528873682</v>
      </c>
      <c r="S144">
        <f t="shared" si="41"/>
        <v>54.09244174131166</v>
      </c>
      <c r="T144">
        <f t="shared" si="41"/>
        <v>25.431631617277269</v>
      </c>
      <c r="U144">
        <f t="shared" si="41"/>
        <v>23.533516969116501</v>
      </c>
      <c r="V144">
        <f t="shared" si="41"/>
        <v>19.052715984828772</v>
      </c>
      <c r="W144">
        <f t="shared" si="41"/>
        <v>12.020337060001324</v>
      </c>
    </row>
    <row r="145" spans="16:23" ht="10.5" customHeight="1" x14ac:dyDescent="0.25">
      <c r="P145">
        <v>38</v>
      </c>
      <c r="Q145">
        <f t="shared" si="41"/>
        <v>115.08302515999027</v>
      </c>
      <c r="R145">
        <f t="shared" si="41"/>
        <v>86.547089339082731</v>
      </c>
      <c r="S145">
        <f t="shared" si="41"/>
        <v>52.942070255903893</v>
      </c>
      <c r="T145">
        <f t="shared" si="41"/>
        <v>24.696235260311795</v>
      </c>
      <c r="U145">
        <f t="shared" si="41"/>
        <v>23.224013515616033</v>
      </c>
      <c r="V145">
        <f t="shared" si="41"/>
        <v>18.759880856864498</v>
      </c>
      <c r="W145">
        <f t="shared" si="41"/>
        <v>11.693713263425789</v>
      </c>
    </row>
    <row r="146" spans="16:23" ht="10.5" customHeight="1" x14ac:dyDescent="0.25">
      <c r="P146">
        <v>39</v>
      </c>
      <c r="Q146">
        <f t="shared" si="41"/>
        <v>112.98231778389453</v>
      </c>
      <c r="R146">
        <f t="shared" si="41"/>
        <v>84.780585409184042</v>
      </c>
      <c r="S146">
        <f t="shared" si="41"/>
        <v>51.820101543670944</v>
      </c>
      <c r="T146">
        <f t="shared" si="41"/>
        <v>23.984948063618969</v>
      </c>
      <c r="U146">
        <f t="shared" si="41"/>
        <v>22.941619706293288</v>
      </c>
      <c r="V146">
        <f t="shared" si="41"/>
        <v>18.488204974327459</v>
      </c>
      <c r="W146">
        <f t="shared" si="41"/>
        <v>11.390690163672936</v>
      </c>
    </row>
    <row r="147" spans="16:23" ht="10.5" customHeight="1" x14ac:dyDescent="0.25">
      <c r="P147">
        <v>40</v>
      </c>
      <c r="Q147">
        <f t="shared" si="41"/>
        <v>110.93347705771731</v>
      </c>
      <c r="R147">
        <f t="shared" si="41"/>
        <v>83.057696616716825</v>
      </c>
      <c r="S147">
        <f t="shared" si="41"/>
        <v>50.725834337644471</v>
      </c>
      <c r="T147">
        <f t="shared" si="41"/>
        <v>23.296979634910961</v>
      </c>
      <c r="U147">
        <f t="shared" si="41"/>
        <v>22.683960986683278</v>
      </c>
      <c r="V147">
        <f t="shared" si="41"/>
        <v>18.236159443911156</v>
      </c>
      <c r="W147">
        <f t="shared" si="41"/>
        <v>11.109562456670137</v>
      </c>
    </row>
    <row r="148" spans="16:23" ht="10.5" customHeight="1" x14ac:dyDescent="0.25">
      <c r="P148">
        <v>41</v>
      </c>
      <c r="Q148">
        <f t="shared" si="41"/>
        <v>108.93522238930936</v>
      </c>
      <c r="R148">
        <f t="shared" si="41"/>
        <v>81.37734610010105</v>
      </c>
      <c r="S148">
        <f t="shared" si="41"/>
        <v>49.658584685199315</v>
      </c>
      <c r="T148">
        <f t="shared" si="41"/>
        <v>22.631565494041268</v>
      </c>
      <c r="U148">
        <f t="shared" si="41"/>
        <v>22.448870791362463</v>
      </c>
      <c r="V148">
        <f t="shared" si="41"/>
        <v>18.002325844809207</v>
      </c>
      <c r="W148">
        <f t="shared" si="41"/>
        <v>10.848748057671807</v>
      </c>
    </row>
    <row r="149" spans="16:23" ht="10.5" customHeight="1" x14ac:dyDescent="0.25">
      <c r="P149">
        <v>42</v>
      </c>
      <c r="Q149">
        <f t="shared" si="41"/>
        <v>106.98630480445418</v>
      </c>
      <c r="R149">
        <f t="shared" si="41"/>
        <v>79.738483585563742</v>
      </c>
      <c r="S149">
        <f t="shared" si="41"/>
        <v>48.617685520560748</v>
      </c>
      <c r="T149">
        <f t="shared" si="41"/>
        <v>21.987966223503701</v>
      </c>
      <c r="U149">
        <f t="shared" si="41"/>
        <v>22.234372326029604</v>
      </c>
      <c r="V149">
        <f t="shared" si="41"/>
        <v>17.785388246357613</v>
      </c>
      <c r="W149">
        <f t="shared" si="41"/>
        <v>10.606779197860414</v>
      </c>
    </row>
    <row r="150" spans="16:23" ht="10.5" customHeight="1" x14ac:dyDescent="0.25">
      <c r="P150">
        <v>43</v>
      </c>
      <c r="Q150">
        <f t="shared" si="41"/>
        <v>105.08550616621862</v>
      </c>
      <c r="R150">
        <f t="shared" si="41"/>
        <v>78.140084730683839</v>
      </c>
      <c r="S150">
        <f t="shared" si="41"/>
        <v>47.602486247866764</v>
      </c>
      <c r="T150">
        <f t="shared" si="41"/>
        <v>21.365466646781286</v>
      </c>
      <c r="U150">
        <f t="shared" si="41"/>
        <v>22.038661945307997</v>
      </c>
      <c r="V150">
        <f t="shared" si="41"/>
        <v>17.584125802454384</v>
      </c>
      <c r="W150">
        <f t="shared" si="41"/>
        <v>10.382294164276045</v>
      </c>
    </row>
    <row r="151" spans="16:23" ht="10.5" customHeight="1" x14ac:dyDescent="0.25">
      <c r="P151">
        <v>44</v>
      </c>
      <c r="Q151">
        <f t="shared" si="41"/>
        <v>103.2316384135775</v>
      </c>
      <c r="R151">
        <f t="shared" si="41"/>
        <v>76.581150484144715</v>
      </c>
      <c r="S151">
        <f t="shared" si="41"/>
        <v>46.612352334524346</v>
      </c>
      <c r="T151">
        <f t="shared" si="41"/>
        <v>20.763375033632141</v>
      </c>
      <c r="U151">
        <f t="shared" si="41"/>
        <v>21.860093986498796</v>
      </c>
      <c r="V151">
        <f t="shared" si="41"/>
        <v>17.397405881080601</v>
      </c>
      <c r="W151">
        <f t="shared" si="41"/>
        <v>10.174029636589902</v>
      </c>
    </row>
    <row r="152" spans="16:23" ht="10.5" customHeight="1" x14ac:dyDescent="0.25">
      <c r="P152">
        <v>45</v>
      </c>
      <c r="Q152">
        <f t="shared" si="41"/>
        <v>101.42354281883695</v>
      </c>
      <c r="R152">
        <f t="shared" si="41"/>
        <v>75.0607064612947</v>
      </c>
      <c r="S152">
        <f t="shared" si="41"/>
        <v>45.646664914606092</v>
      </c>
      <c r="T152">
        <f t="shared" si="41"/>
        <v>20.181022331429094</v>
      </c>
      <c r="U152">
        <f t="shared" si="41"/>
        <v>21.697166931757415</v>
      </c>
      <c r="V152">
        <f t="shared" si="41"/>
        <v>17.224177690258291</v>
      </c>
      <c r="W152">
        <f t="shared" si="41"/>
        <v>9.9808135775957876</v>
      </c>
    </row>
    <row r="153" spans="16:23" ht="10.5" customHeight="1" x14ac:dyDescent="0.25">
      <c r="P153">
        <v>46</v>
      </c>
      <c r="Q153">
        <f t="shared" si="41"/>
        <v>99.660089263391725</v>
      </c>
      <c r="R153">
        <f t="shared" si="41"/>
        <v>73.577802335124858</v>
      </c>
      <c r="S153">
        <f t="shared" si="41"/>
        <v>44.704820402038763</v>
      </c>
      <c r="T153">
        <f t="shared" si="41"/>
        <v>19.617761421699111</v>
      </c>
      <c r="U153">
        <f t="shared" si="41"/>
        <v>21.548510782335541</v>
      </c>
      <c r="V153">
        <f t="shared" si="41"/>
        <v>17.063466364574417</v>
      </c>
      <c r="W153">
        <f t="shared" si="41"/>
        <v>9.8015586374099257</v>
      </c>
    </row>
    <row r="154" spans="16:23" ht="10.5" customHeight="1" x14ac:dyDescent="0.25">
      <c r="P154">
        <v>47</v>
      </c>
      <c r="Q154">
        <f t="shared" si="41"/>
        <v>97.940175531364375</v>
      </c>
      <c r="R154">
        <f t="shared" si="41"/>
        <v>72.131511242283665</v>
      </c>
      <c r="S154">
        <f t="shared" si="41"/>
        <v>43.786230113342334</v>
      </c>
      <c r="T154">
        <f t="shared" si="41"/>
        <v>19.07296640103613</v>
      </c>
      <c r="U154">
        <f t="shared" si="41"/>
        <v>21.412875538722886</v>
      </c>
      <c r="V154">
        <f t="shared" si="41"/>
        <v>16.914367478991974</v>
      </c>
      <c r="W154">
        <f t="shared" si="41"/>
        <v>9.6352560342602782</v>
      </c>
    </row>
    <row r="155" spans="16:23" ht="10.5" customHeight="1" x14ac:dyDescent="0.25">
      <c r="P155">
        <v>48</v>
      </c>
      <c r="Q155">
        <f t="shared" si="41"/>
        <v>96.262726620684475</v>
      </c>
      <c r="R155">
        <f t="shared" si="41"/>
        <v>70.720929203757393</v>
      </c>
      <c r="S155">
        <f t="shared" si="41"/>
        <v>42.890319899683753</v>
      </c>
      <c r="T155">
        <f t="shared" si="41"/>
        <v>18.546031885588462</v>
      </c>
      <c r="U155">
        <f t="shared" si="41"/>
        <v>21.289120689822187</v>
      </c>
      <c r="V155">
        <f t="shared" si="41"/>
        <v>16.776041959074018</v>
      </c>
      <c r="W155">
        <f t="shared" si="41"/>
        <v>9.480969877428711</v>
      </c>
    </row>
    <row r="156" spans="16:23" ht="10.5" customHeight="1" x14ac:dyDescent="0.25">
      <c r="P156">
        <v>49</v>
      </c>
      <c r="Q156">
        <f t="shared" si="41"/>
        <v>94.626694071177212</v>
      </c>
      <c r="R156">
        <f t="shared" si="41"/>
        <v>69.345174559853561</v>
      </c>
      <c r="S156">
        <f t="shared" si="41"/>
        <v>42.016529788015099</v>
      </c>
      <c r="T156">
        <f t="shared" si="41"/>
        <v>18.036372338347803</v>
      </c>
      <c r="U156">
        <f t="shared" si="41"/>
        <v>21.176205622775363</v>
      </c>
      <c r="V156">
        <f t="shared" si="41"/>
        <v>16.647711358977123</v>
      </c>
      <c r="W156">
        <f t="shared" si="41"/>
        <v>9.3378319003975587</v>
      </c>
    </row>
    <row r="157" spans="16:23" ht="10.5" customHeight="1" x14ac:dyDescent="0.25">
      <c r="P157">
        <v>50</v>
      </c>
      <c r="Q157">
        <f t="shared" si="41"/>
        <v>93.031055309241822</v>
      </c>
      <c r="R157">
        <f t="shared" si="41"/>
        <v>68.003387419135166</v>
      </c>
      <c r="S157">
        <f t="shared" si="41"/>
        <v>41.164313631072339</v>
      </c>
      <c r="T157">
        <f t="shared" si="41"/>
        <v>17.543421418492262</v>
      </c>
      <c r="U157">
        <f t="shared" si="41"/>
        <v>21.073180872800364</v>
      </c>
      <c r="V157">
        <f t="shared" si="41"/>
        <v>16.528653480640592</v>
      </c>
      <c r="W157">
        <f t="shared" si="41"/>
        <v>9.2050365745606602</v>
      </c>
    </row>
    <row r="158" spans="16:23" ht="10.5" customHeight="1" x14ac:dyDescent="0.25">
      <c r="P158">
        <v>52</v>
      </c>
      <c r="Q158">
        <f t="shared" si="41"/>
        <v>89.956994467482772</v>
      </c>
      <c r="R158">
        <f t="shared" si="41"/>
        <v>65.418381711292326</v>
      </c>
      <c r="S158">
        <f t="shared" si="41"/>
        <v>39.522485681496477</v>
      </c>
      <c r="T158">
        <f t="shared" si="41"/>
        <v>16.605472323257949</v>
      </c>
      <c r="U158">
        <f t="shared" si="41"/>
        <v>20.893413002240628</v>
      </c>
      <c r="V158">
        <f t="shared" si="41"/>
        <v>16.315724243977286</v>
      </c>
      <c r="W158">
        <f t="shared" si="41"/>
        <v>8.9675385798208183</v>
      </c>
    </row>
    <row r="159" spans="16:23" ht="10.5" customHeight="1" x14ac:dyDescent="0.25">
      <c r="P159">
        <v>54</v>
      </c>
      <c r="Q159">
        <f t="shared" si="41"/>
        <v>87.032857342096122</v>
      </c>
      <c r="R159">
        <f t="shared" si="41"/>
        <v>62.959448219489929</v>
      </c>
      <c r="S159">
        <f t="shared" si="41"/>
        <v>37.960730625892253</v>
      </c>
      <c r="T159">
        <f t="shared" si="41"/>
        <v>15.728014393062162</v>
      </c>
      <c r="U159">
        <f t="shared" si="41"/>
        <v>20.743757937550473</v>
      </c>
      <c r="V159">
        <f t="shared" si="41"/>
        <v>16.132454351567077</v>
      </c>
      <c r="W159">
        <f t="shared" si="41"/>
        <v>8.7631221613632793</v>
      </c>
    </row>
    <row r="160" spans="16:23" ht="10.5" customHeight="1" x14ac:dyDescent="0.25">
      <c r="P160">
        <v>56</v>
      </c>
      <c r="Q160">
        <f t="shared" si="41"/>
        <v>84.251332067153427</v>
      </c>
      <c r="R160">
        <f t="shared" si="41"/>
        <v>60.620438329197199</v>
      </c>
      <c r="S160">
        <f t="shared" si="41"/>
        <v>36.475143263138762</v>
      </c>
      <c r="T160">
        <f t="shared" si="41"/>
        <v>14.907146370292621</v>
      </c>
      <c r="U160">
        <f t="shared" si="41"/>
        <v>20.619171501066134</v>
      </c>
      <c r="V160">
        <f t="shared" si="41"/>
        <v>15.974712493331051</v>
      </c>
      <c r="W160">
        <f t="shared" si="41"/>
        <v>8.5871793194846333</v>
      </c>
    </row>
    <row r="161" spans="16:23" ht="10.5" customHeight="1" x14ac:dyDescent="0.25">
      <c r="P161">
        <v>58</v>
      </c>
      <c r="Q161">
        <f t="shared" si="41"/>
        <v>81.605463380635484</v>
      </c>
      <c r="R161">
        <f t="shared" si="41"/>
        <v>58.395503297352569</v>
      </c>
      <c r="S161">
        <f t="shared" si="41"/>
        <v>35.062008851021226</v>
      </c>
      <c r="T161">
        <f t="shared" si="41"/>
        <v>14.13921860120262</v>
      </c>
      <c r="U161">
        <f t="shared" si="41"/>
        <v>20.515454462234192</v>
      </c>
      <c r="V161">
        <f t="shared" si="41"/>
        <v>15.838942817731192</v>
      </c>
      <c r="W161">
        <f t="shared" si="41"/>
        <v>8.4357439120847904</v>
      </c>
    </row>
    <row r="162" spans="16:23" ht="10.5" customHeight="1" x14ac:dyDescent="0.25">
      <c r="P162">
        <v>60</v>
      </c>
      <c r="Q162">
        <f t="shared" si="41"/>
        <v>79.088635232654553</v>
      </c>
      <c r="R162">
        <f t="shared" si="41"/>
        <v>56.279079627459517</v>
      </c>
      <c r="S162">
        <f t="shared" si="41"/>
        <v>33.717793817440509</v>
      </c>
      <c r="T162">
        <f t="shared" si="41"/>
        <v>13.420816809219177</v>
      </c>
      <c r="U162">
        <f t="shared" si="41"/>
        <v>20.429111001038727</v>
      </c>
      <c r="V162">
        <f t="shared" si="41"/>
        <v>15.722084774985749</v>
      </c>
      <c r="W162">
        <f t="shared" si="41"/>
        <v>8.305402249022567</v>
      </c>
    </row>
    <row r="163" spans="16:23" ht="10.5" customHeight="1" x14ac:dyDescent="0.25">
      <c r="P163">
        <v>62</v>
      </c>
      <c r="Q163">
        <f t="shared" si="41"/>
        <v>76.694554241883466</v>
      </c>
      <c r="R163">
        <f t="shared" si="41"/>
        <v>54.265875157947463</v>
      </c>
      <c r="S163">
        <f t="shared" si="41"/>
        <v>32.439136924642312</v>
      </c>
      <c r="T163">
        <f t="shared" si="41"/>
        <v>12.748746914759433</v>
      </c>
      <c r="U163">
        <f t="shared" si="41"/>
        <v>20.357230880133109</v>
      </c>
      <c r="V163">
        <f t="shared" si="41"/>
        <v>15.621504125485327</v>
      </c>
      <c r="W163">
        <f t="shared" si="41"/>
        <v>8.1932161399644041</v>
      </c>
    </row>
    <row r="164" spans="16:23" ht="10.5" customHeight="1" x14ac:dyDescent="0.25">
      <c r="P164">
        <v>64</v>
      </c>
      <c r="Q164">
        <f t="shared" si="41"/>
        <v>74.417233958824184</v>
      </c>
      <c r="R164">
        <f t="shared" si="41"/>
        <v>52.350855829011245</v>
      </c>
      <c r="S164">
        <f t="shared" si="41"/>
        <v>31.222840864372007</v>
      </c>
      <c r="T164">
        <f t="shared" si="41"/>
        <v>12.120020834062885</v>
      </c>
      <c r="U164">
        <f t="shared" si="41"/>
        <v>20.297391354245793</v>
      </c>
      <c r="V164">
        <f t="shared" si="41"/>
        <v>15.534933558186301</v>
      </c>
      <c r="W164">
        <f t="shared" si="41"/>
        <v>8.0966566610539523</v>
      </c>
    </row>
    <row r="165" spans="16:23" ht="10.5" customHeight="1" x14ac:dyDescent="0.25">
      <c r="P165">
        <v>66</v>
      </c>
      <c r="Q165">
        <f t="shared" si="41"/>
        <v>72.250979896565909</v>
      </c>
      <c r="R165">
        <f t="shared" si="41"/>
        <v>50.529233094839512</v>
      </c>
      <c r="S165">
        <f t="shared" si="41"/>
        <v>30.065864262938611</v>
      </c>
      <c r="T165">
        <f t="shared" si="41"/>
        <v>11.531843193899707</v>
      </c>
      <c r="U165">
        <f t="shared" si="41"/>
        <v>20.247575510681475</v>
      </c>
      <c r="V165">
        <f t="shared" si="41"/>
        <v>15.460421580388388</v>
      </c>
      <c r="W165">
        <f t="shared" si="41"/>
        <v>8.0135471473562792</v>
      </c>
    </row>
    <row r="166" spans="16:23" ht="10.5" customHeight="1" x14ac:dyDescent="0.25">
      <c r="P166">
        <v>68</v>
      </c>
      <c r="Q166">
        <f t="shared" si="41"/>
        <v>70.190375291601626</v>
      </c>
      <c r="R166">
        <f t="shared" si="41"/>
        <v>48.796451949755912</v>
      </c>
      <c r="S166">
        <f t="shared" si="41"/>
        <v>28.965314076196321</v>
      </c>
      <c r="T166">
        <f t="shared" si="41"/>
        <v>10.981598903087644</v>
      </c>
      <c r="U166">
        <f t="shared" si="41"/>
        <v>20.206104288554851</v>
      </c>
      <c r="V166">
        <f t="shared" si="41"/>
        <v>15.396288526758516</v>
      </c>
      <c r="W166">
        <f t="shared" si="41"/>
        <v>7.9420141259998838</v>
      </c>
    </row>
    <row r="167" spans="16:23" ht="10.5" customHeight="1" x14ac:dyDescent="0.25">
      <c r="P167">
        <v>70</v>
      </c>
      <c r="Q167">
        <f t="shared" si="41"/>
        <v>68.230267559097939</v>
      </c>
      <c r="R167">
        <f t="shared" si="41"/>
        <v>47.14817953833235</v>
      </c>
      <c r="S167">
        <f t="shared" si="41"/>
        <v>27.918438355427305</v>
      </c>
      <c r="T167">
        <f t="shared" si="41"/>
        <v>10.46684152555919</v>
      </c>
      <c r="U167">
        <f t="shared" si="41"/>
        <v>20.171579885440906</v>
      </c>
      <c r="V167">
        <f t="shared" si="41"/>
        <v>15.341088695946789</v>
      </c>
      <c r="W167">
        <f t="shared" si="41"/>
        <v>7.8804450839406508</v>
      </c>
    </row>
    <row r="168" spans="16:23" ht="10.5" customHeight="1" x14ac:dyDescent="0.25">
      <c r="P168">
        <v>72</v>
      </c>
      <c r="Q168">
        <f t="shared" si="41"/>
        <v>66.365755408749038</v>
      </c>
      <c r="R168">
        <f t="shared" si="41"/>
        <v>45.580294320993509</v>
      </c>
      <c r="S168">
        <f t="shared" si="41"/>
        <v>26.922619366036418</v>
      </c>
      <c r="T168">
        <f t="shared" si="41"/>
        <v>9.9852824032847636</v>
      </c>
      <c r="U168">
        <f t="shared" si="41"/>
        <v>20.142838643942529</v>
      </c>
      <c r="V168">
        <f t="shared" si="41"/>
        <v>15.293577761269823</v>
      </c>
      <c r="W168">
        <f t="shared" si="41"/>
        <v>7.8274521183394183</v>
      </c>
    </row>
    <row r="169" spans="16:23" ht="10.5" customHeight="1" x14ac:dyDescent="0.25">
      <c r="P169">
        <v>74</v>
      </c>
      <c r="Q169">
        <f t="shared" si="41"/>
        <v>64.592176588998072</v>
      </c>
      <c r="R169">
        <f t="shared" si="41"/>
        <v>44.088875768021111</v>
      </c>
      <c r="S169">
        <f t="shared" si="41"/>
        <v>25.975367041851243</v>
      </c>
      <c r="T169">
        <f t="shared" si="41"/>
        <v>9.5347804806913405</v>
      </c>
      <c r="U169">
        <f t="shared" si="41"/>
        <v>20.118911830200325</v>
      </c>
      <c r="V169">
        <f t="shared" si="41"/>
        <v>15.252684720825949</v>
      </c>
      <c r="W169">
        <f t="shared" si="41"/>
        <v>7.7818406501520192</v>
      </c>
    </row>
    <row r="170" spans="16:23" ht="10.5" customHeight="1" x14ac:dyDescent="0.25">
      <c r="P170">
        <v>76</v>
      </c>
      <c r="Q170">
        <f t="shared" si="41"/>
        <v>62.905096228979716</v>
      </c>
      <c r="R170">
        <f t="shared" si="41"/>
        <v>42.670194556187482</v>
      </c>
      <c r="S170">
        <f t="shared" si="41"/>
        <v>25.07431275865962</v>
      </c>
      <c r="T170">
        <f t="shared" si="41"/>
        <v>9.1133327853350234</v>
      </c>
      <c r="U170">
        <f t="shared" si="41"/>
        <v>20.098992982370238</v>
      </c>
      <c r="V170">
        <f t="shared" si="41"/>
        <v>15.217487754735632</v>
      </c>
      <c r="W170">
        <f t="shared" si="41"/>
        <v>7.7425824956666673</v>
      </c>
    </row>
    <row r="171" spans="16:23" ht="10.5" customHeight="1" x14ac:dyDescent="0.25">
      <c r="P171">
        <v>78</v>
      </c>
      <c r="Q171">
        <f t="shared" si="41"/>
        <v>61.30029574903299</v>
      </c>
      <c r="R171">
        <f t="shared" si="41"/>
        <v>41.320703243505015</v>
      </c>
      <c r="S171">
        <f t="shared" si="41"/>
        <v>24.217203411415348</v>
      </c>
      <c r="T171">
        <f t="shared" si="41"/>
        <v>8.7190655225037084</v>
      </c>
      <c r="U171">
        <f t="shared" si="41"/>
        <v>20.082410728537649</v>
      </c>
      <c r="V171">
        <f t="shared" si="41"/>
        <v>15.187193445275735</v>
      </c>
      <c r="W171">
        <f t="shared" si="41"/>
        <v>7.708792688961398</v>
      </c>
    </row>
    <row r="172" spans="16:23" ht="10.5" customHeight="1" x14ac:dyDescent="0.25">
      <c r="P172">
        <v>80</v>
      </c>
      <c r="Q172">
        <f t="shared" si="41"/>
        <v>59.773762312054799</v>
      </c>
      <c r="R172">
        <f t="shared" si="41"/>
        <v>40.037027398773347</v>
      </c>
      <c r="S172">
        <f t="shared" si="41"/>
        <v>23.401895780301992</v>
      </c>
      <c r="T172">
        <f t="shared" si="41"/>
        <v>8.3502257441557184</v>
      </c>
      <c r="U172">
        <f t="shared" si="41"/>
        <v>20.068606157886077</v>
      </c>
      <c r="V172">
        <f t="shared" si="41"/>
        <v>15.161118891483314</v>
      </c>
      <c r="W172">
        <f t="shared" si="41"/>
        <v>7.6797095328083111</v>
      </c>
    </row>
    <row r="173" spans="16:23" ht="10.5" customHeight="1" x14ac:dyDescent="0.25">
      <c r="P173">
        <v>82</v>
      </c>
      <c r="Q173">
        <f t="shared" ref="Q173:W204" si="42">+Q$105+(Q$104-Q$105)*EXP(-Q$106*$P173/60)</f>
        <v>58.321678789316934</v>
      </c>
      <c r="R173">
        <f t="shared" si="42"/>
        <v>38.815957163743782</v>
      </c>
      <c r="S173">
        <f t="shared" si="42"/>
        <v>22.626351171566995</v>
      </c>
      <c r="T173">
        <f t="shared" si="42"/>
        <v>8.0051735551536591</v>
      </c>
      <c r="U173">
        <f t="shared" si="42"/>
        <v>20.057113982407508</v>
      </c>
      <c r="V173">
        <f t="shared" si="42"/>
        <v>15.13867631505245</v>
      </c>
      <c r="W173">
        <f t="shared" si="42"/>
        <v>7.6546774283277337</v>
      </c>
    </row>
    <row r="174" spans="16:23" ht="10.5" customHeight="1" x14ac:dyDescent="0.25">
      <c r="P174">
        <v>84</v>
      </c>
      <c r="Q174">
        <f t="shared" si="42"/>
        <v>56.94041421565602</v>
      </c>
      <c r="R174">
        <f t="shared" si="42"/>
        <v>37.654439226801657</v>
      </c>
      <c r="S174">
        <f t="shared" si="42"/>
        <v>21.888630319725372</v>
      </c>
      <c r="T174">
        <f t="shared" si="42"/>
        <v>7.6823748221417842</v>
      </c>
      <c r="U174">
        <f t="shared" si="42"/>
        <v>20.047546854203112</v>
      </c>
      <c r="V174">
        <f t="shared" si="42"/>
        <v>15.119359810506879</v>
      </c>
      <c r="W174">
        <f t="shared" si="42"/>
        <v>7.6331320963345961</v>
      </c>
    </row>
    <row r="175" spans="16:23" ht="10.5" customHeight="1" x14ac:dyDescent="0.25">
      <c r="P175">
        <v>86</v>
      </c>
      <c r="Q175">
        <f t="shared" si="42"/>
        <v>55.626514710169332</v>
      </c>
      <c r="R175">
        <f t="shared" si="42"/>
        <v>36.549569188096939</v>
      </c>
      <c r="S175">
        <f t="shared" si="42"/>
        <v>21.186888538385894</v>
      </c>
      <c r="T175">
        <f t="shared" si="42"/>
        <v>7.3803943526498168</v>
      </c>
      <c r="U175">
        <f t="shared" si="42"/>
        <v>20.039582309783306</v>
      </c>
      <c r="V175">
        <f t="shared" si="42"/>
        <v>15.102733940967854</v>
      </c>
      <c r="W175">
        <f t="shared" si="42"/>
        <v>7.6145878572333761</v>
      </c>
    </row>
    <row r="176" spans="16:23" ht="10.5" customHeight="1" x14ac:dyDescent="0.25">
      <c r="P176">
        <v>88</v>
      </c>
      <c r="Q176">
        <f t="shared" si="42"/>
        <v>54.376694839713451</v>
      </c>
      <c r="R176">
        <f t="shared" si="42"/>
        <v>35.498584297031769</v>
      </c>
      <c r="S176">
        <f t="shared" si="42"/>
        <v>20.51937110757423</v>
      </c>
      <c r="T176">
        <f t="shared" si="42"/>
        <v>7.0978895140969565</v>
      </c>
      <c r="U176">
        <f t="shared" si="42"/>
        <v>20.032951901320086</v>
      </c>
      <c r="V176">
        <f t="shared" si="42"/>
        <v>15.088423922440613</v>
      </c>
      <c r="W176">
        <f t="shared" si="42"/>
        <v>7.5986266827222222</v>
      </c>
    </row>
    <row r="177" spans="16:23" ht="10.5" customHeight="1" x14ac:dyDescent="0.25">
      <c r="P177">
        <v>90</v>
      </c>
      <c r="Q177">
        <f t="shared" si="42"/>
        <v>53.187829403610152</v>
      </c>
      <c r="R177">
        <f t="shared" si="42"/>
        <v>34.498856543944896</v>
      </c>
      <c r="S177">
        <f t="shared" si="42"/>
        <v>19.88440888601906</v>
      </c>
      <c r="T177">
        <f t="shared" si="42"/>
        <v>6.8336042643255244</v>
      </c>
      <c r="U177">
        <f t="shared" si="42"/>
        <v>20.027432148516674</v>
      </c>
      <c r="V177">
        <f t="shared" si="42"/>
        <v>15.076107175351426</v>
      </c>
      <c r="W177">
        <f t="shared" si="42"/>
        <v>7.5848887725073597</v>
      </c>
    </row>
    <row r="178" spans="16:23" ht="10.5" customHeight="1" x14ac:dyDescent="0.25">
      <c r="P178">
        <v>92</v>
      </c>
      <c r="Q178">
        <f t="shared" si="42"/>
        <v>52.05694561901683</v>
      </c>
      <c r="R178">
        <f t="shared" si="42"/>
        <v>33.547886088718698</v>
      </c>
      <c r="S178">
        <f t="shared" si="42"/>
        <v>19.280414137429439</v>
      </c>
      <c r="T178">
        <f t="shared" si="42"/>
        <v>6.5863635671235228</v>
      </c>
      <c r="U178">
        <f t="shared" si="42"/>
        <v>20.0228370061239</v>
      </c>
      <c r="V178">
        <f t="shared" si="42"/>
        <v>15.065506052888153</v>
      </c>
      <c r="W178">
        <f t="shared" si="42"/>
        <v>7.5730644436060173</v>
      </c>
    </row>
    <row r="179" spans="16:23" ht="10.5" customHeight="1" x14ac:dyDescent="0.25">
      <c r="P179">
        <v>94</v>
      </c>
      <c r="Q179">
        <f t="shared" si="42"/>
        <v>50.981215687420914</v>
      </c>
      <c r="R179">
        <f t="shared" si="42"/>
        <v>32.643295009876681</v>
      </c>
      <c r="S179">
        <f t="shared" si="42"/>
        <v>18.705876560327077</v>
      </c>
      <c r="T179">
        <f t="shared" si="42"/>
        <v>6.3550681679069658</v>
      </c>
      <c r="U179">
        <f t="shared" si="42"/>
        <v>20.019011593218298</v>
      </c>
      <c r="V179">
        <f t="shared" si="42"/>
        <v>15.056381582224954</v>
      </c>
      <c r="W179">
        <f t="shared" si="42"/>
        <v>7.5628871494047578</v>
      </c>
    </row>
    <row r="180" spans="16:23" ht="10.5" customHeight="1" x14ac:dyDescent="0.25">
      <c r="P180">
        <v>96</v>
      </c>
      <c r="Q180">
        <f t="shared" si="42"/>
        <v>49.957949723670751</v>
      </c>
      <c r="R180">
        <f t="shared" si="42"/>
        <v>31.782821358541316</v>
      </c>
      <c r="S180">
        <f t="shared" si="42"/>
        <v>18.159359511505968</v>
      </c>
      <c r="T180">
        <f t="shared" si="42"/>
        <v>6.1386897063341976</v>
      </c>
      <c r="U180">
        <f t="shared" si="42"/>
        <v>20.015826972885026</v>
      </c>
      <c r="V180">
        <f t="shared" si="42"/>
        <v>15.048528077544484</v>
      </c>
      <c r="W180">
        <f t="shared" si="42"/>
        <v>7.554127471107309</v>
      </c>
    </row>
    <row r="181" spans="16:23" ht="10.5" customHeight="1" x14ac:dyDescent="0.25">
      <c r="P181">
        <v>98</v>
      </c>
      <c r="Q181">
        <f t="shared" si="42"/>
        <v>48.98458902986151</v>
      </c>
      <c r="R181">
        <f t="shared" si="42"/>
        <v>30.96431350238354</v>
      </c>
      <c r="S181">
        <f t="shared" si="42"/>
        <v>17.639496413676035</v>
      </c>
      <c r="T181">
        <f t="shared" si="42"/>
        <v>5.93626614412248</v>
      </c>
      <c r="U181">
        <f t="shared" si="42"/>
        <v>20.013175806352841</v>
      </c>
      <c r="V181">
        <f t="shared" si="42"/>
        <v>15.041768503423111</v>
      </c>
      <c r="W181">
        <f t="shared" si="42"/>
        <v>7.5465879461257783</v>
      </c>
    </row>
    <row r="182" spans="16:23" ht="10.5" customHeight="1" x14ac:dyDescent="0.25">
      <c r="P182">
        <v>100</v>
      </c>
      <c r="Q182">
        <f t="shared" si="42"/>
        <v>48.058699697257737</v>
      </c>
      <c r="R182">
        <f t="shared" si="42"/>
        <v>30.185724745421275</v>
      </c>
      <c r="S182">
        <f t="shared" si="42"/>
        <v>17.144987338308109</v>
      </c>
      <c r="T182">
        <f t="shared" si="42"/>
        <v>5.7468974877384342</v>
      </c>
      <c r="U182">
        <f t="shared" si="42"/>
        <v>20.010968735102328</v>
      </c>
      <c r="V182">
        <f t="shared" si="42"/>
        <v>15.03595048405961</v>
      </c>
      <c r="W182">
        <f t="shared" si="42"/>
        <v>7.540098616835718</v>
      </c>
    </row>
    <row r="183" spans="16:23" ht="10.5" customHeight="1" x14ac:dyDescent="0.25">
      <c r="P183">
        <v>105</v>
      </c>
      <c r="Q183">
        <f t="shared" si="42"/>
        <v>45.936746547535321</v>
      </c>
      <c r="R183">
        <f t="shared" si="42"/>
        <v>28.40135505133652</v>
      </c>
      <c r="S183">
        <f t="shared" si="42"/>
        <v>16.011671451524546</v>
      </c>
      <c r="T183">
        <f t="shared" si="42"/>
        <v>5.3251985235185249</v>
      </c>
      <c r="U183">
        <f t="shared" si="42"/>
        <v>20.006935933343012</v>
      </c>
      <c r="V183">
        <f t="shared" si="42"/>
        <v>15.024708382261515</v>
      </c>
      <c r="W183">
        <f t="shared" si="42"/>
        <v>7.5275593494455357</v>
      </c>
    </row>
    <row r="184" spans="16:23" ht="10.5" customHeight="1" x14ac:dyDescent="0.25">
      <c r="P184">
        <v>110</v>
      </c>
      <c r="Q184">
        <f t="shared" si="42"/>
        <v>44.064129465475666</v>
      </c>
      <c r="R184">
        <f t="shared" si="42"/>
        <v>26.826654323240902</v>
      </c>
      <c r="S184">
        <f t="shared" si="42"/>
        <v>15.011523691788138</v>
      </c>
      <c r="T184">
        <f t="shared" si="42"/>
        <v>4.96823805690107</v>
      </c>
      <c r="U184">
        <f t="shared" si="42"/>
        <v>20.004385844939268</v>
      </c>
      <c r="V184">
        <f t="shared" si="42"/>
        <v>15.016981806224608</v>
      </c>
      <c r="W184">
        <f t="shared" si="42"/>
        <v>7.5189412454043705</v>
      </c>
    </row>
    <row r="185" spans="16:23" ht="10.5" customHeight="1" x14ac:dyDescent="0.25">
      <c r="P185">
        <v>115</v>
      </c>
      <c r="Q185">
        <f t="shared" si="42"/>
        <v>42.411550690831021</v>
      </c>
      <c r="R185">
        <f t="shared" si="42"/>
        <v>25.436985808198809</v>
      </c>
      <c r="S185">
        <f t="shared" si="42"/>
        <v>14.128896391693839</v>
      </c>
      <c r="T185">
        <f t="shared" si="42"/>
        <v>4.6660775454009684</v>
      </c>
      <c r="U185">
        <f t="shared" si="42"/>
        <v>20.002773330549761</v>
      </c>
      <c r="V185">
        <f t="shared" si="42"/>
        <v>15.01167141335268</v>
      </c>
      <c r="W185">
        <f t="shared" si="42"/>
        <v>7.5130181148933728</v>
      </c>
    </row>
    <row r="186" spans="16:23" ht="10.5" customHeight="1" x14ac:dyDescent="0.25">
      <c r="P186">
        <v>120</v>
      </c>
      <c r="Q186">
        <f t="shared" si="42"/>
        <v>40.953155040930071</v>
      </c>
      <c r="R186">
        <f t="shared" si="42"/>
        <v>24.210607648054829</v>
      </c>
      <c r="S186">
        <f t="shared" si="42"/>
        <v>13.349980533224013</v>
      </c>
      <c r="T186">
        <f t="shared" si="42"/>
        <v>4.4103041944325323</v>
      </c>
      <c r="U186">
        <f t="shared" si="42"/>
        <v>20.001753678582975</v>
      </c>
      <c r="V186">
        <f t="shared" si="42"/>
        <v>15.008021637265633</v>
      </c>
      <c r="W186">
        <f t="shared" si="42"/>
        <v>7.5089472107962845</v>
      </c>
    </row>
    <row r="187" spans="16:23" ht="10.5" customHeight="1" x14ac:dyDescent="0.25">
      <c r="P187">
        <v>125</v>
      </c>
      <c r="Q187">
        <f t="shared" si="42"/>
        <v>39.666125397149635</v>
      </c>
      <c r="R187">
        <f t="shared" si="42"/>
        <v>23.128332720330373</v>
      </c>
      <c r="S187">
        <f t="shared" si="42"/>
        <v>12.662589700750372</v>
      </c>
      <c r="T187">
        <f t="shared" si="42"/>
        <v>4.1937967271237166</v>
      </c>
      <c r="U187">
        <f t="shared" si="42"/>
        <v>20.001108915261707</v>
      </c>
      <c r="V187">
        <f t="shared" si="42"/>
        <v>15.00551318529102</v>
      </c>
      <c r="W187">
        <f t="shared" si="42"/>
        <v>7.5061493220553688</v>
      </c>
    </row>
    <row r="188" spans="16:23" ht="10.5" customHeight="1" x14ac:dyDescent="0.25">
      <c r="P188">
        <v>130</v>
      </c>
      <c r="Q188">
        <f t="shared" si="42"/>
        <v>38.530325722978844</v>
      </c>
      <c r="R188">
        <f t="shared" si="42"/>
        <v>22.173228448868571</v>
      </c>
      <c r="S188">
        <f t="shared" si="42"/>
        <v>12.055969420227335</v>
      </c>
      <c r="T188">
        <f t="shared" si="42"/>
        <v>4.0105271127444544</v>
      </c>
      <c r="U188">
        <f t="shared" si="42"/>
        <v>20.000701207775236</v>
      </c>
      <c r="V188">
        <f t="shared" si="42"/>
        <v>15.003789153142506</v>
      </c>
      <c r="W188">
        <f t="shared" si="42"/>
        <v>7.5042263631204884</v>
      </c>
    </row>
    <row r="189" spans="16:23" ht="10.5" customHeight="1" x14ac:dyDescent="0.25">
      <c r="P189">
        <v>135</v>
      </c>
      <c r="Q189">
        <f t="shared" si="42"/>
        <v>37.527986028566531</v>
      </c>
      <c r="R189">
        <f t="shared" si="42"/>
        <v>21.330351887658217</v>
      </c>
      <c r="S189">
        <f t="shared" si="42"/>
        <v>11.520628901620759</v>
      </c>
      <c r="T189">
        <f t="shared" si="42"/>
        <v>3.8553927334446576</v>
      </c>
      <c r="U189">
        <f t="shared" si="42"/>
        <v>20.000443399384093</v>
      </c>
      <c r="V189">
        <f t="shared" si="42"/>
        <v>15.002604244330541</v>
      </c>
      <c r="W189">
        <f t="shared" si="42"/>
        <v>7.5029047340609889</v>
      </c>
    </row>
    <row r="190" spans="16:23" ht="10.5" customHeight="1" x14ac:dyDescent="0.25">
      <c r="P190">
        <v>140</v>
      </c>
      <c r="Q190">
        <f t="shared" si="42"/>
        <v>36.643424352910074</v>
      </c>
      <c r="R190">
        <f t="shared" si="42"/>
        <v>20.586515933128922</v>
      </c>
      <c r="S190">
        <f t="shared" si="42"/>
        <v>11.048192552122424</v>
      </c>
      <c r="T190">
        <f t="shared" si="42"/>
        <v>3.7240743164651309</v>
      </c>
      <c r="U190">
        <f t="shared" si="42"/>
        <v>20.000280377686551</v>
      </c>
      <c r="V190">
        <f t="shared" si="42"/>
        <v>15.001789869207734</v>
      </c>
      <c r="W190">
        <f t="shared" si="42"/>
        <v>7.5019963925778566</v>
      </c>
    </row>
    <row r="191" spans="16:23" ht="10.5" customHeight="1" x14ac:dyDescent="0.25">
      <c r="P191">
        <v>145</v>
      </c>
      <c r="Q191">
        <f t="shared" si="42"/>
        <v>35.862801413998206</v>
      </c>
      <c r="R191">
        <f t="shared" si="42"/>
        <v>19.930083007225765</v>
      </c>
      <c r="S191">
        <f t="shared" si="42"/>
        <v>10.631268937021769</v>
      </c>
      <c r="T191">
        <f t="shared" si="42"/>
        <v>3.6129156763503967</v>
      </c>
      <c r="U191">
        <f t="shared" si="42"/>
        <v>20.000177293090466</v>
      </c>
      <c r="V191">
        <f t="shared" si="42"/>
        <v>15.001230157916913</v>
      </c>
      <c r="W191">
        <f t="shared" si="42"/>
        <v>7.5013720992150184</v>
      </c>
    </row>
    <row r="192" spans="16:23" ht="10.5" customHeight="1" x14ac:dyDescent="0.25">
      <c r="P192">
        <v>150</v>
      </c>
      <c r="Q192">
        <f t="shared" si="42"/>
        <v>35.173904088322004</v>
      </c>
      <c r="R192">
        <f t="shared" si="42"/>
        <v>19.350782983361686</v>
      </c>
      <c r="S192">
        <f t="shared" si="42"/>
        <v>10.26333513808107</v>
      </c>
      <c r="T192">
        <f t="shared" si="42"/>
        <v>3.5188219189295808</v>
      </c>
      <c r="U192">
        <f t="shared" si="42"/>
        <v>20.000112108921055</v>
      </c>
      <c r="V192">
        <f t="shared" si="42"/>
        <v>15.000845474347514</v>
      </c>
      <c r="W192">
        <f t="shared" si="42"/>
        <v>7.5009430290799202</v>
      </c>
    </row>
    <row r="193" spans="16:23" ht="10.5" customHeight="1" x14ac:dyDescent="0.25">
      <c r="P193">
        <v>155</v>
      </c>
      <c r="Q193">
        <f t="shared" si="42"/>
        <v>34.565954332213941</v>
      </c>
      <c r="R193">
        <f t="shared" si="42"/>
        <v>18.839552506634451</v>
      </c>
      <c r="S193">
        <f t="shared" si="42"/>
        <v>9.9386347001597191</v>
      </c>
      <c r="T193">
        <f t="shared" si="42"/>
        <v>3.43917327284657</v>
      </c>
      <c r="U193">
        <f t="shared" si="42"/>
        <v>20.00007089058094</v>
      </c>
      <c r="V193">
        <f t="shared" si="42"/>
        <v>15.00058108545454</v>
      </c>
      <c r="W193">
        <f t="shared" si="42"/>
        <v>7.5006481337762168</v>
      </c>
    </row>
    <row r="194" spans="16:23" ht="10.5" customHeight="1" x14ac:dyDescent="0.25">
      <c r="P194">
        <v>160</v>
      </c>
      <c r="Q194">
        <f t="shared" si="42"/>
        <v>34.029440555521518</v>
      </c>
      <c r="R194">
        <f t="shared" si="42"/>
        <v>18.388393194415823</v>
      </c>
      <c r="S194">
        <f t="shared" si="42"/>
        <v>9.652087569426266</v>
      </c>
      <c r="T194">
        <f t="shared" si="42"/>
        <v>3.3717521495250211</v>
      </c>
      <c r="U194">
        <f t="shared" si="42"/>
        <v>20.000044826713332</v>
      </c>
      <c r="V194">
        <f t="shared" si="42"/>
        <v>15.000399373802967</v>
      </c>
      <c r="W194">
        <f t="shared" si="42"/>
        <v>7.5004454553956164</v>
      </c>
    </row>
    <row r="195" spans="16:23" ht="10.5" customHeight="1" x14ac:dyDescent="0.25">
      <c r="P195">
        <v>165</v>
      </c>
      <c r="Q195">
        <f t="shared" si="42"/>
        <v>33.555968809396489</v>
      </c>
      <c r="R195">
        <f t="shared" si="42"/>
        <v>17.990246498810688</v>
      </c>
      <c r="S195">
        <f t="shared" si="42"/>
        <v>9.3992106141094904</v>
      </c>
      <c r="T195">
        <f t="shared" si="42"/>
        <v>3.3146814007617333</v>
      </c>
      <c r="U195">
        <f t="shared" si="42"/>
        <v>20.000028345574286</v>
      </c>
      <c r="V195">
        <f t="shared" si="42"/>
        <v>15.000274485333009</v>
      </c>
      <c r="W195">
        <f t="shared" si="42"/>
        <v>7.5003061567175866</v>
      </c>
    </row>
    <row r="196" spans="16:23" ht="10.5" customHeight="1" x14ac:dyDescent="0.25">
      <c r="P196">
        <v>170</v>
      </c>
      <c r="Q196">
        <f t="shared" si="42"/>
        <v>33.138131459979839</v>
      </c>
      <c r="R196">
        <f t="shared" si="42"/>
        <v>17.638883273164861</v>
      </c>
      <c r="S196">
        <f t="shared" si="42"/>
        <v>9.1760474843074125</v>
      </c>
      <c r="T196">
        <f t="shared" si="42"/>
        <v>3.2663720549077864</v>
      </c>
      <c r="U196">
        <f t="shared" si="42"/>
        <v>20.00001792394583</v>
      </c>
      <c r="V196">
        <f t="shared" si="42"/>
        <v>15.000188650826562</v>
      </c>
      <c r="W196">
        <f t="shared" si="42"/>
        <v>7.500210418229627</v>
      </c>
    </row>
    <row r="197" spans="16:23" ht="10.5" customHeight="1" x14ac:dyDescent="0.25">
      <c r="P197">
        <v>175</v>
      </c>
      <c r="Q197">
        <f t="shared" si="42"/>
        <v>32.769391293335481</v>
      </c>
      <c r="R197">
        <f t="shared" si="42"/>
        <v>17.32880631485029</v>
      </c>
      <c r="S197">
        <f t="shared" si="42"/>
        <v>8.9791067134859954</v>
      </c>
      <c r="T197">
        <f t="shared" si="42"/>
        <v>3.2254790765010006</v>
      </c>
      <c r="U197">
        <f t="shared" si="42"/>
        <v>20.000011333968079</v>
      </c>
      <c r="V197">
        <f t="shared" si="42"/>
        <v>15.000129657690531</v>
      </c>
      <c r="W197">
        <f t="shared" si="42"/>
        <v>7.5001446181932847</v>
      </c>
    </row>
    <row r="198" spans="16:23" x14ac:dyDescent="0.25">
      <c r="P198">
        <v>180</v>
      </c>
      <c r="Q198">
        <f t="shared" si="42"/>
        <v>32.443979238413306</v>
      </c>
      <c r="R198">
        <f t="shared" si="42"/>
        <v>17.055164359574828</v>
      </c>
      <c r="S198">
        <f t="shared" si="42"/>
        <v>8.8053070932434707</v>
      </c>
      <c r="T198">
        <f t="shared" si="42"/>
        <v>3.1908639176033096</v>
      </c>
      <c r="U198">
        <f t="shared" si="42"/>
        <v>20.000007166883545</v>
      </c>
      <c r="V198">
        <f t="shared" si="42"/>
        <v>15.000089112340614</v>
      </c>
      <c r="W198">
        <f t="shared" si="42"/>
        <v>7.5000993945337626</v>
      </c>
    </row>
    <row r="199" spans="16:23" x14ac:dyDescent="0.25">
      <c r="P199">
        <v>185</v>
      </c>
      <c r="Q199">
        <f t="shared" si="42"/>
        <v>32.156804107880802</v>
      </c>
      <c r="R199">
        <f t="shared" si="42"/>
        <v>16.813676181627038</v>
      </c>
      <c r="S199">
        <f t="shared" si="42"/>
        <v>8.6519294667090652</v>
      </c>
      <c r="T199">
        <f t="shared" si="42"/>
        <v>3.1615628181922295</v>
      </c>
      <c r="U199">
        <f t="shared" si="42"/>
        <v>20.000004531883221</v>
      </c>
      <c r="V199">
        <f t="shared" si="42"/>
        <v>15.000061245956312</v>
      </c>
      <c r="W199">
        <f t="shared" si="42"/>
        <v>7.5000683127974259</v>
      </c>
    </row>
    <row r="200" spans="16:23" x14ac:dyDescent="0.25">
      <c r="P200">
        <v>190</v>
      </c>
      <c r="Q200">
        <f t="shared" si="42"/>
        <v>31.903372944686538</v>
      </c>
      <c r="R200">
        <f t="shared" si="42"/>
        <v>16.600563612577318</v>
      </c>
      <c r="S200">
        <f t="shared" si="42"/>
        <v>8.5165741863666753</v>
      </c>
      <c r="T200">
        <f t="shared" si="42"/>
        <v>3.1367599730215474</v>
      </c>
      <c r="U200">
        <f t="shared" si="42"/>
        <v>20.00000286567591</v>
      </c>
      <c r="V200">
        <f t="shared" si="42"/>
        <v>15.000042093689142</v>
      </c>
      <c r="W200">
        <f t="shared" si="42"/>
        <v>7.5000469506532745</v>
      </c>
    </row>
    <row r="201" spans="16:23" x14ac:dyDescent="0.25">
      <c r="P201">
        <v>195</v>
      </c>
      <c r="Q201">
        <f t="shared" si="42"/>
        <v>31.679720728149192</v>
      </c>
      <c r="R201">
        <f t="shared" si="42"/>
        <v>16.412492430489092</v>
      </c>
      <c r="S201">
        <f t="shared" si="42"/>
        <v>8.3971235707160456</v>
      </c>
      <c r="T201">
        <f t="shared" si="42"/>
        <v>3.1157648178592732</v>
      </c>
      <c r="U201">
        <f t="shared" si="42"/>
        <v>20.00000181207194</v>
      </c>
      <c r="V201">
        <f t="shared" si="42"/>
        <v>15.000028930541253</v>
      </c>
      <c r="W201">
        <f t="shared" si="42"/>
        <v>7.500032268680628</v>
      </c>
    </row>
    <row r="202" spans="16:23" x14ac:dyDescent="0.25">
      <c r="P202">
        <v>200</v>
      </c>
      <c r="Q202">
        <f t="shared" si="42"/>
        <v>31.482348339798804</v>
      </c>
      <c r="R202">
        <f t="shared" si="42"/>
        <v>16.246520194830811</v>
      </c>
      <c r="S202">
        <f t="shared" si="42"/>
        <v>8.2917087723925427</v>
      </c>
      <c r="T202">
        <f t="shared" si="42"/>
        <v>3.0979928027031653</v>
      </c>
      <c r="U202">
        <f t="shared" si="42"/>
        <v>20.000001145839523</v>
      </c>
      <c r="V202">
        <f t="shared" si="42"/>
        <v>15.000019883650832</v>
      </c>
      <c r="W202">
        <f t="shared" si="42"/>
        <v>7.5000221779182361</v>
      </c>
    </row>
    <row r="203" spans="16:23" x14ac:dyDescent="0.25">
      <c r="P203">
        <v>210</v>
      </c>
      <c r="Q203">
        <f t="shared" si="42"/>
        <v>31.154454047819904</v>
      </c>
      <c r="R203">
        <f t="shared" si="42"/>
        <v>15.970790903848556</v>
      </c>
      <c r="S203">
        <f t="shared" si="42"/>
        <v>8.1165834119038127</v>
      </c>
      <c r="T203">
        <f t="shared" si="42"/>
        <v>3.0702149113476978</v>
      </c>
      <c r="U203">
        <f t="shared" si="42"/>
        <v>20.000000458163537</v>
      </c>
      <c r="V203">
        <f t="shared" si="42"/>
        <v>15.0000093923716</v>
      </c>
      <c r="W203">
        <f t="shared" si="42"/>
        <v>7.5000104761067847</v>
      </c>
    </row>
    <row r="204" spans="16:23" x14ac:dyDescent="0.25">
      <c r="P204">
        <v>220</v>
      </c>
      <c r="Q204">
        <f t="shared" si="42"/>
        <v>30.899089716462093</v>
      </c>
      <c r="R204">
        <f t="shared" si="42"/>
        <v>15.756052716115853</v>
      </c>
      <c r="S204">
        <f t="shared" si="42"/>
        <v>7.9801956440195276</v>
      </c>
      <c r="T204">
        <f t="shared" si="42"/>
        <v>3.0503111824497884</v>
      </c>
      <c r="U204">
        <f t="shared" si="42"/>
        <v>20.000000183196533</v>
      </c>
      <c r="V204">
        <f t="shared" si="42"/>
        <v>15.000004436642195</v>
      </c>
      <c r="W204">
        <f t="shared" si="42"/>
        <v>7.5000049485624478</v>
      </c>
    </row>
    <row r="205" spans="16:23" x14ac:dyDescent="0.25">
      <c r="P205">
        <v>230</v>
      </c>
      <c r="Q205">
        <f t="shared" ref="Q205:W236" si="43">+Q$105+(Q$104-Q$105)*EXP(-Q$106*$P205/60)</f>
        <v>30.700211775232127</v>
      </c>
      <c r="R205">
        <f t="shared" si="43"/>
        <v>15.588814447354288</v>
      </c>
      <c r="S205">
        <f t="shared" si="43"/>
        <v>7.8739767435898855</v>
      </c>
      <c r="T205">
        <f t="shared" si="43"/>
        <v>3.0360495374972638</v>
      </c>
      <c r="U205">
        <f t="shared" si="43"/>
        <v>20.000000073251069</v>
      </c>
      <c r="V205">
        <f t="shared" si="43"/>
        <v>15.00000209572138</v>
      </c>
      <c r="W205">
        <f t="shared" si="43"/>
        <v>7.5000023375353848</v>
      </c>
    </row>
    <row r="206" spans="16:23" x14ac:dyDescent="0.25">
      <c r="P206">
        <v>240</v>
      </c>
      <c r="Q206">
        <f t="shared" si="43"/>
        <v>30.545325478866598</v>
      </c>
      <c r="R206">
        <f t="shared" si="43"/>
        <v>15.458569152683276</v>
      </c>
      <c r="S206">
        <f t="shared" si="43"/>
        <v>7.7912533807582971</v>
      </c>
      <c r="T206">
        <f t="shared" si="43"/>
        <v>3.0258306223484932</v>
      </c>
      <c r="U206">
        <f t="shared" si="43"/>
        <v>20.000000029289414</v>
      </c>
      <c r="V206">
        <f t="shared" si="43"/>
        <v>15.000000989948683</v>
      </c>
      <c r="W206">
        <f t="shared" si="43"/>
        <v>7.5000011041735313</v>
      </c>
    </row>
    <row r="207" spans="16:23" x14ac:dyDescent="0.25">
      <c r="P207">
        <v>250</v>
      </c>
      <c r="Q207">
        <f t="shared" si="43"/>
        <v>30.424699909970094</v>
      </c>
      <c r="R207">
        <f t="shared" si="43"/>
        <v>15.357134015202126</v>
      </c>
      <c r="S207">
        <f t="shared" si="43"/>
        <v>7.7268283610067563</v>
      </c>
      <c r="T207">
        <f t="shared" si="43"/>
        <v>3.0185084496843024</v>
      </c>
      <c r="U207">
        <f t="shared" si="43"/>
        <v>20.000000011711361</v>
      </c>
      <c r="V207">
        <f t="shared" si="43"/>
        <v>15.000000467618648</v>
      </c>
      <c r="W207">
        <f t="shared" si="43"/>
        <v>7.5000005215746448</v>
      </c>
    </row>
    <row r="208" spans="16:23" x14ac:dyDescent="0.25">
      <c r="P208">
        <v>260</v>
      </c>
      <c r="Q208">
        <f t="shared" si="43"/>
        <v>30.330756622455066</v>
      </c>
      <c r="R208">
        <f t="shared" si="43"/>
        <v>15.27813625070085</v>
      </c>
      <c r="S208">
        <f t="shared" si="43"/>
        <v>7.6766541051748645</v>
      </c>
      <c r="T208">
        <f t="shared" si="43"/>
        <v>3.0132618837089824</v>
      </c>
      <c r="U208">
        <f t="shared" si="43"/>
        <v>20.000000004682786</v>
      </c>
      <c r="V208">
        <f t="shared" si="43"/>
        <v>15.000000220887408</v>
      </c>
      <c r="W208">
        <f t="shared" si="43"/>
        <v>7.5000002463744169</v>
      </c>
    </row>
    <row r="209" spans="16:23" x14ac:dyDescent="0.25">
      <c r="P209">
        <v>270</v>
      </c>
      <c r="Q209">
        <f t="shared" si="43"/>
        <v>30.257593516574058</v>
      </c>
      <c r="R209">
        <f t="shared" si="43"/>
        <v>15.216612729846368</v>
      </c>
      <c r="S209">
        <f t="shared" si="43"/>
        <v>7.6375783554429626</v>
      </c>
      <c r="T209">
        <f t="shared" si="43"/>
        <v>3.0095025549146741</v>
      </c>
      <c r="U209">
        <f t="shared" si="43"/>
        <v>20.000000001872408</v>
      </c>
      <c r="V209">
        <f t="shared" si="43"/>
        <v>15.000000104339824</v>
      </c>
      <c r="W209">
        <f t="shared" si="43"/>
        <v>7.5000001163790344</v>
      </c>
    </row>
    <row r="210" spans="16:23" x14ac:dyDescent="0.25">
      <c r="P210">
        <v>280</v>
      </c>
      <c r="Q210">
        <f t="shared" si="43"/>
        <v>30.200614032421992</v>
      </c>
      <c r="R210">
        <f t="shared" si="43"/>
        <v>15.168698163627585</v>
      </c>
      <c r="S210">
        <f t="shared" si="43"/>
        <v>7.607146130952656</v>
      </c>
      <c r="T210">
        <f t="shared" si="43"/>
        <v>3.0068088781268112</v>
      </c>
      <c r="U210">
        <f t="shared" si="43"/>
        <v>20.000000000748681</v>
      </c>
      <c r="V210">
        <f t="shared" si="43"/>
        <v>15.000000049286642</v>
      </c>
      <c r="W210">
        <f t="shared" si="43"/>
        <v>7.5000000549735635</v>
      </c>
    </row>
    <row r="211" spans="16:23" x14ac:dyDescent="0.25">
      <c r="P211">
        <v>290</v>
      </c>
      <c r="Q211">
        <f t="shared" si="43"/>
        <v>30.156238365545359</v>
      </c>
      <c r="R211">
        <f t="shared" si="43"/>
        <v>15.131382261935872</v>
      </c>
      <c r="S211">
        <f t="shared" si="43"/>
        <v>7.5834454906889999</v>
      </c>
      <c r="T211">
        <f t="shared" si="43"/>
        <v>3.0048787743677412</v>
      </c>
      <c r="U211">
        <f t="shared" si="43"/>
        <v>20.000000000299359</v>
      </c>
      <c r="V211">
        <f t="shared" si="43"/>
        <v>15.000000023281361</v>
      </c>
      <c r="W211">
        <f t="shared" si="43"/>
        <v>7.5000000259676725</v>
      </c>
    </row>
    <row r="212" spans="16:23" x14ac:dyDescent="0.25">
      <c r="P212">
        <v>300</v>
      </c>
      <c r="Q212">
        <f t="shared" si="43"/>
        <v>30.121678561432525</v>
      </c>
      <c r="R212">
        <f t="shared" si="43"/>
        <v>15.102320608477349</v>
      </c>
      <c r="S212">
        <f t="shared" si="43"/>
        <v>7.5649874134923705</v>
      </c>
      <c r="T212">
        <f t="shared" si="43"/>
        <v>3.0034957945917111</v>
      </c>
      <c r="U212">
        <f t="shared" si="43"/>
        <v>20.000000000119698</v>
      </c>
      <c r="V212">
        <f t="shared" si="43"/>
        <v>15.000000010997336</v>
      </c>
      <c r="W212">
        <f t="shared" si="43"/>
        <v>7.50000001226626</v>
      </c>
    </row>
    <row r="213" spans="16:23" x14ac:dyDescent="0.25">
      <c r="P213">
        <v>320</v>
      </c>
      <c r="Q213">
        <f t="shared" si="43"/>
        <v>30.073801778138552</v>
      </c>
      <c r="R213">
        <f t="shared" si="43"/>
        <v>15.062060586161964</v>
      </c>
      <c r="S213">
        <f t="shared" si="43"/>
        <v>7.5394168587785453</v>
      </c>
      <c r="T213">
        <f t="shared" si="43"/>
        <v>3.001794800788006</v>
      </c>
      <c r="U213">
        <f t="shared" si="43"/>
        <v>20.000000000019138</v>
      </c>
      <c r="V213">
        <f t="shared" si="43"/>
        <v>15.000000002453838</v>
      </c>
      <c r="W213">
        <f t="shared" si="43"/>
        <v>7.5000000027369724</v>
      </c>
    </row>
    <row r="214" spans="16:23" x14ac:dyDescent="0.25">
      <c r="P214">
        <v>340</v>
      </c>
      <c r="Q214">
        <f t="shared" si="43"/>
        <v>30.044763041182343</v>
      </c>
      <c r="R214">
        <f t="shared" si="43"/>
        <v>15.03764164826697</v>
      </c>
      <c r="S214">
        <f t="shared" si="43"/>
        <v>7.5239075333587504</v>
      </c>
      <c r="T214">
        <f t="shared" si="43"/>
        <v>3.0009214814498155</v>
      </c>
      <c r="U214">
        <f t="shared" si="43"/>
        <v>20.000000000003059</v>
      </c>
      <c r="V214">
        <f t="shared" si="43"/>
        <v>15.000000000547525</v>
      </c>
      <c r="W214">
        <f t="shared" si="43"/>
        <v>7.5000000006107008</v>
      </c>
    </row>
    <row r="215" spans="16:23" x14ac:dyDescent="0.25">
      <c r="P215">
        <v>360</v>
      </c>
      <c r="Q215">
        <f t="shared" si="43"/>
        <v>30.027150156899069</v>
      </c>
      <c r="R215">
        <f t="shared" si="43"/>
        <v>15.022830813756036</v>
      </c>
      <c r="S215">
        <f t="shared" si="43"/>
        <v>7.5145006519801845</v>
      </c>
      <c r="T215">
        <f t="shared" si="43"/>
        <v>3.0004731043512063</v>
      </c>
      <c r="U215">
        <f t="shared" si="43"/>
        <v>20.00000000000049</v>
      </c>
      <c r="V215">
        <f t="shared" si="43"/>
        <v>15.000000000122169</v>
      </c>
      <c r="W215">
        <f t="shared" si="43"/>
        <v>7.5000000001362661</v>
      </c>
    </row>
    <row r="216" spans="16:23" x14ac:dyDescent="0.25">
      <c r="P216">
        <v>380</v>
      </c>
      <c r="Q216">
        <f t="shared" si="43"/>
        <v>30.016467402575294</v>
      </c>
      <c r="R216">
        <f t="shared" si="43"/>
        <v>15.013847588529224</v>
      </c>
      <c r="S216">
        <f t="shared" si="43"/>
        <v>7.5087950900118052</v>
      </c>
      <c r="T216">
        <f t="shared" si="43"/>
        <v>3.000242899872998</v>
      </c>
      <c r="U216">
        <f t="shared" si="43"/>
        <v>20.000000000000078</v>
      </c>
      <c r="V216">
        <f t="shared" si="43"/>
        <v>15.00000000002726</v>
      </c>
      <c r="W216">
        <f t="shared" si="43"/>
        <v>7.500000000030405</v>
      </c>
    </row>
    <row r="217" spans="16:23" x14ac:dyDescent="0.25">
      <c r="P217">
        <v>400</v>
      </c>
      <c r="Q217">
        <f t="shared" si="43"/>
        <v>30.009987984547745</v>
      </c>
      <c r="R217">
        <f t="shared" si="43"/>
        <v>15.008398987006061</v>
      </c>
      <c r="S217">
        <f t="shared" si="43"/>
        <v>7.5053344917470923</v>
      </c>
      <c r="T217">
        <f t="shared" si="43"/>
        <v>3.0001247089530079</v>
      </c>
      <c r="U217">
        <f t="shared" si="43"/>
        <v>20.000000000000014</v>
      </c>
      <c r="V217">
        <f t="shared" si="43"/>
        <v>15.000000000006082</v>
      </c>
      <c r="W217">
        <f t="shared" si="43"/>
        <v>7.5000000000067839</v>
      </c>
    </row>
    <row r="218" spans="16:23" x14ac:dyDescent="0.25">
      <c r="P218">
        <v>425</v>
      </c>
      <c r="Q218">
        <f t="shared" si="43"/>
        <v>30.005346182877052</v>
      </c>
      <c r="R218">
        <f t="shared" si="43"/>
        <v>15.004495653782977</v>
      </c>
      <c r="S218">
        <f t="shared" si="43"/>
        <v>7.5028553476729716</v>
      </c>
      <c r="T218">
        <f t="shared" si="43"/>
        <v>3.0000541982875619</v>
      </c>
      <c r="U218">
        <f t="shared" si="43"/>
        <v>20</v>
      </c>
      <c r="V218">
        <f t="shared" si="43"/>
        <v>15.000000000000933</v>
      </c>
      <c r="W218">
        <f t="shared" si="43"/>
        <v>7.5000000000010401</v>
      </c>
    </row>
    <row r="219" spans="16:23" x14ac:dyDescent="0.25">
      <c r="P219">
        <v>450</v>
      </c>
      <c r="Q219">
        <f t="shared" si="43"/>
        <v>30.002861605483893</v>
      </c>
      <c r="R219">
        <f t="shared" si="43"/>
        <v>15.002406350066002</v>
      </c>
      <c r="S219">
        <f t="shared" si="43"/>
        <v>7.5015283574743528</v>
      </c>
      <c r="T219">
        <f t="shared" si="43"/>
        <v>3.0000235544786786</v>
      </c>
      <c r="U219">
        <f t="shared" si="43"/>
        <v>20</v>
      </c>
      <c r="V219">
        <f t="shared" si="43"/>
        <v>15.000000000000144</v>
      </c>
      <c r="W219">
        <f t="shared" si="43"/>
        <v>7.5000000000001599</v>
      </c>
    </row>
    <row r="220" spans="16:23" x14ac:dyDescent="0.25">
      <c r="P220">
        <v>475</v>
      </c>
      <c r="Q220">
        <f t="shared" si="43"/>
        <v>30.001531707039167</v>
      </c>
      <c r="R220">
        <f t="shared" si="43"/>
        <v>15.001288026373846</v>
      </c>
      <c r="S220">
        <f t="shared" si="43"/>
        <v>7.5008180708050096</v>
      </c>
      <c r="T220">
        <f t="shared" si="43"/>
        <v>3.0000102367342358</v>
      </c>
      <c r="U220">
        <f t="shared" si="43"/>
        <v>20</v>
      </c>
      <c r="V220">
        <f t="shared" si="43"/>
        <v>15.000000000000021</v>
      </c>
      <c r="W220">
        <f t="shared" si="43"/>
        <v>7.5000000000000249</v>
      </c>
    </row>
    <row r="221" spans="16:23" x14ac:dyDescent="0.25">
      <c r="P221">
        <v>500</v>
      </c>
      <c r="Q221">
        <f t="shared" si="43"/>
        <v>30.000819863697856</v>
      </c>
      <c r="R221">
        <f t="shared" si="43"/>
        <v>15.000689430836834</v>
      </c>
      <c r="S221">
        <f t="shared" si="43"/>
        <v>7.5004378817477191</v>
      </c>
      <c r="T221">
        <f t="shared" si="43"/>
        <v>3.0000044488663598</v>
      </c>
      <c r="U221">
        <f t="shared" si="43"/>
        <v>20</v>
      </c>
      <c r="V221">
        <f t="shared" si="43"/>
        <v>15.000000000000004</v>
      </c>
      <c r="W221">
        <f t="shared" si="43"/>
        <v>7.5000000000000036</v>
      </c>
    </row>
    <row r="222" spans="16:23" x14ac:dyDescent="0.25">
      <c r="P222">
        <v>550</v>
      </c>
      <c r="Q222">
        <f t="shared" si="43"/>
        <v>30.000234894882208</v>
      </c>
      <c r="R222">
        <f t="shared" si="43"/>
        <v>15.000197525241857</v>
      </c>
      <c r="S222">
        <f t="shared" si="43"/>
        <v>7.5001254552211787</v>
      </c>
      <c r="T222">
        <f t="shared" si="43"/>
        <v>3.0000008402823157</v>
      </c>
      <c r="U222">
        <f t="shared" si="43"/>
        <v>20</v>
      </c>
      <c r="V222">
        <f t="shared" si="43"/>
        <v>15</v>
      </c>
      <c r="W222">
        <f t="shared" si="43"/>
        <v>7.5</v>
      </c>
    </row>
    <row r="223" spans="16:23" x14ac:dyDescent="0.25">
      <c r="P223">
        <v>600</v>
      </c>
      <c r="Q223">
        <f t="shared" si="43"/>
        <v>30.000067298510512</v>
      </c>
      <c r="R223">
        <f t="shared" si="43"/>
        <v>15.000056591929292</v>
      </c>
      <c r="S223">
        <f t="shared" si="43"/>
        <v>7.5000359435226587</v>
      </c>
      <c r="T223">
        <f t="shared" si="43"/>
        <v>3.0000001587088287</v>
      </c>
      <c r="U223">
        <f t="shared" si="43"/>
        <v>20</v>
      </c>
      <c r="V223">
        <f t="shared" si="43"/>
        <v>15</v>
      </c>
      <c r="W223">
        <f t="shared" si="43"/>
        <v>7.5</v>
      </c>
    </row>
    <row r="224" spans="16:23" x14ac:dyDescent="0.25">
      <c r="P224">
        <v>650</v>
      </c>
      <c r="Q224">
        <f t="shared" si="43"/>
        <v>30.000019281346084</v>
      </c>
      <c r="R224">
        <f t="shared" si="43"/>
        <v>15.000016213859206</v>
      </c>
      <c r="S224">
        <f t="shared" si="43"/>
        <v>7.5000102979916576</v>
      </c>
      <c r="T224">
        <f t="shared" si="43"/>
        <v>3.0000000299762259</v>
      </c>
      <c r="U224">
        <f t="shared" si="43"/>
        <v>20</v>
      </c>
      <c r="V224">
        <f t="shared" si="43"/>
        <v>15</v>
      </c>
      <c r="W224">
        <f t="shared" si="43"/>
        <v>7.5</v>
      </c>
    </row>
    <row r="225" spans="16:23" x14ac:dyDescent="0.25">
      <c r="P225">
        <v>700</v>
      </c>
      <c r="Q225">
        <f t="shared" si="43"/>
        <v>30.000005524198144</v>
      </c>
      <c r="R225">
        <f t="shared" si="43"/>
        <v>15.000004645348438</v>
      </c>
      <c r="S225">
        <f t="shared" si="43"/>
        <v>7.5000029504240082</v>
      </c>
      <c r="T225">
        <f t="shared" si="43"/>
        <v>3.0000000056617777</v>
      </c>
      <c r="U225">
        <f t="shared" si="43"/>
        <v>20</v>
      </c>
      <c r="V225">
        <f t="shared" si="43"/>
        <v>15</v>
      </c>
      <c r="W225">
        <f t="shared" si="43"/>
        <v>7.5</v>
      </c>
    </row>
    <row r="226" spans="16:23" x14ac:dyDescent="0.25">
      <c r="P226">
        <v>750</v>
      </c>
      <c r="Q226">
        <f t="shared" si="43"/>
        <v>30.000001582709267</v>
      </c>
      <c r="R226">
        <f t="shared" si="43"/>
        <v>15.000001330914611</v>
      </c>
      <c r="S226">
        <f t="shared" si="43"/>
        <v>7.5000008453106313</v>
      </c>
      <c r="T226">
        <f t="shared" si="43"/>
        <v>3.0000000010693717</v>
      </c>
      <c r="U226">
        <f t="shared" si="43"/>
        <v>20</v>
      </c>
      <c r="V226">
        <f t="shared" si="43"/>
        <v>15</v>
      </c>
      <c r="W226">
        <f t="shared" si="43"/>
        <v>7.5</v>
      </c>
    </row>
    <row r="227" spans="16:23" x14ac:dyDescent="0.25">
      <c r="P227">
        <v>800</v>
      </c>
      <c r="Q227">
        <f t="shared" si="43"/>
        <v>30.000000453453797</v>
      </c>
      <c r="R227">
        <f t="shared" si="43"/>
        <v>15.00000038131342</v>
      </c>
      <c r="S227">
        <f t="shared" si="43"/>
        <v>7.5000002421855507</v>
      </c>
      <c r="T227">
        <f t="shared" si="43"/>
        <v>3.0000000002019784</v>
      </c>
      <c r="U227">
        <f t="shared" si="43"/>
        <v>20</v>
      </c>
      <c r="V227">
        <f t="shared" si="43"/>
        <v>15</v>
      </c>
      <c r="W227">
        <f t="shared" si="43"/>
        <v>7.5</v>
      </c>
    </row>
    <row r="228" spans="16:23" x14ac:dyDescent="0.25">
      <c r="P228">
        <v>850</v>
      </c>
      <c r="Q228">
        <f t="shared" si="43"/>
        <v>30.000000129916689</v>
      </c>
      <c r="R228">
        <f t="shared" si="43"/>
        <v>15.000000109248123</v>
      </c>
      <c r="S228">
        <f t="shared" si="43"/>
        <v>7.5000000693873217</v>
      </c>
      <c r="T228">
        <f t="shared" si="43"/>
        <v>3.0000000000381486</v>
      </c>
      <c r="U228">
        <f t="shared" si="43"/>
        <v>20</v>
      </c>
      <c r="V228">
        <f t="shared" si="43"/>
        <v>15</v>
      </c>
      <c r="W228">
        <f t="shared" si="43"/>
        <v>7.5</v>
      </c>
    </row>
    <row r="229" spans="16:23" x14ac:dyDescent="0.25">
      <c r="P229">
        <v>900</v>
      </c>
      <c r="Q229">
        <f t="shared" si="43"/>
        <v>30.000000037221753</v>
      </c>
      <c r="R229">
        <f t="shared" si="43"/>
        <v>15.000000031300111</v>
      </c>
      <c r="S229">
        <f t="shared" si="43"/>
        <v>7.5000000198798009</v>
      </c>
      <c r="T229">
        <f t="shared" si="43"/>
        <v>3.0000000000072053</v>
      </c>
      <c r="U229">
        <f t="shared" si="43"/>
        <v>20</v>
      </c>
      <c r="V229">
        <f t="shared" si="43"/>
        <v>15</v>
      </c>
      <c r="W229">
        <f t="shared" si="43"/>
        <v>7.5</v>
      </c>
    </row>
    <row r="230" spans="16:23" x14ac:dyDescent="0.25">
      <c r="P230">
        <v>950</v>
      </c>
      <c r="Q230">
        <f t="shared" si="43"/>
        <v>30.000000010664213</v>
      </c>
      <c r="R230">
        <f t="shared" si="43"/>
        <v>15.000000008967632</v>
      </c>
      <c r="S230">
        <f t="shared" si="43"/>
        <v>7.5000000056956582</v>
      </c>
      <c r="T230">
        <f t="shared" si="43"/>
        <v>3.0000000000013611</v>
      </c>
      <c r="U230">
        <f t="shared" si="43"/>
        <v>20</v>
      </c>
      <c r="V230">
        <f t="shared" si="43"/>
        <v>15</v>
      </c>
      <c r="W230">
        <f t="shared" si="43"/>
        <v>7.5</v>
      </c>
    </row>
    <row r="231" spans="16:23" x14ac:dyDescent="0.25">
      <c r="P231">
        <v>1000</v>
      </c>
      <c r="Q231">
        <f t="shared" si="43"/>
        <v>30.000000003055348</v>
      </c>
      <c r="R231">
        <f t="shared" si="43"/>
        <v>15.000000002569269</v>
      </c>
      <c r="S231">
        <f t="shared" si="43"/>
        <v>7.5000000016318333</v>
      </c>
      <c r="T231">
        <f t="shared" si="43"/>
        <v>3.0000000000002571</v>
      </c>
      <c r="U231">
        <f t="shared" si="43"/>
        <v>20</v>
      </c>
      <c r="V231">
        <f t="shared" si="43"/>
        <v>15</v>
      </c>
      <c r="W231">
        <f t="shared" si="43"/>
        <v>7.5</v>
      </c>
    </row>
    <row r="232" spans="16:23" x14ac:dyDescent="0.25">
      <c r="P232">
        <v>1100</v>
      </c>
      <c r="Q232">
        <f t="shared" si="43"/>
        <v>30.000000000250797</v>
      </c>
      <c r="R232">
        <f t="shared" si="43"/>
        <v>15.000000000210898</v>
      </c>
      <c r="S232">
        <f t="shared" si="43"/>
        <v>7.5000000001339489</v>
      </c>
      <c r="T232">
        <f t="shared" si="43"/>
        <v>3.0000000000000093</v>
      </c>
      <c r="U232">
        <f t="shared" si="43"/>
        <v>20</v>
      </c>
      <c r="V232">
        <f t="shared" si="43"/>
        <v>15</v>
      </c>
      <c r="W232">
        <f t="shared" si="43"/>
        <v>7.5</v>
      </c>
    </row>
    <row r="233" spans="16:23" x14ac:dyDescent="0.25">
      <c r="P233">
        <v>1200</v>
      </c>
      <c r="Q233">
        <f t="shared" si="43"/>
        <v>30.000000000020588</v>
      </c>
      <c r="R233">
        <f t="shared" si="43"/>
        <v>15.000000000017312</v>
      </c>
      <c r="S233">
        <f t="shared" si="43"/>
        <v>7.5000000000109956</v>
      </c>
      <c r="T233">
        <f t="shared" si="43"/>
        <v>3.0000000000000004</v>
      </c>
      <c r="U233">
        <f t="shared" si="43"/>
        <v>20</v>
      </c>
      <c r="V233">
        <f t="shared" si="43"/>
        <v>15</v>
      </c>
      <c r="W233">
        <f t="shared" si="43"/>
        <v>7.5</v>
      </c>
    </row>
    <row r="234" spans="16:23" x14ac:dyDescent="0.25">
      <c r="P234">
        <v>1300</v>
      </c>
      <c r="Q234">
        <f t="shared" si="43"/>
        <v>30.000000000001691</v>
      </c>
      <c r="R234">
        <f t="shared" si="43"/>
        <v>15.000000000001421</v>
      </c>
      <c r="S234">
        <f t="shared" si="43"/>
        <v>7.5000000000009024</v>
      </c>
      <c r="T234">
        <f t="shared" si="43"/>
        <v>3</v>
      </c>
      <c r="U234">
        <f t="shared" si="43"/>
        <v>20</v>
      </c>
      <c r="V234">
        <f t="shared" si="43"/>
        <v>15</v>
      </c>
      <c r="W234">
        <f t="shared" si="43"/>
        <v>7.5</v>
      </c>
    </row>
    <row r="235" spans="16:23" x14ac:dyDescent="0.25">
      <c r="P235">
        <v>1400</v>
      </c>
      <c r="Q235">
        <f t="shared" si="43"/>
        <v>30.000000000000139</v>
      </c>
      <c r="R235">
        <f t="shared" si="43"/>
        <v>15.000000000000117</v>
      </c>
      <c r="S235">
        <f t="shared" si="43"/>
        <v>7.5000000000000737</v>
      </c>
      <c r="T235">
        <f t="shared" si="43"/>
        <v>3</v>
      </c>
      <c r="U235">
        <f t="shared" si="43"/>
        <v>20</v>
      </c>
      <c r="V235">
        <f t="shared" si="43"/>
        <v>15</v>
      </c>
      <c r="W235">
        <f t="shared" si="43"/>
        <v>7.5</v>
      </c>
    </row>
    <row r="236" spans="16:23" x14ac:dyDescent="0.25">
      <c r="P236">
        <v>1500</v>
      </c>
      <c r="Q236">
        <f t="shared" si="43"/>
        <v>30.000000000000011</v>
      </c>
      <c r="R236">
        <f t="shared" si="43"/>
        <v>15.000000000000009</v>
      </c>
      <c r="S236">
        <f t="shared" si="43"/>
        <v>7.5000000000000062</v>
      </c>
      <c r="T236">
        <f t="shared" si="43"/>
        <v>3</v>
      </c>
      <c r="U236">
        <f t="shared" si="43"/>
        <v>20</v>
      </c>
      <c r="V236">
        <f t="shared" si="43"/>
        <v>15</v>
      </c>
      <c r="W236">
        <f t="shared" si="43"/>
        <v>7.5</v>
      </c>
    </row>
  </sheetData>
  <mergeCells count="14">
    <mergeCell ref="A113:B113"/>
    <mergeCell ref="A114:B114"/>
    <mergeCell ref="A115:B115"/>
    <mergeCell ref="J76:L77"/>
    <mergeCell ref="J86:L87"/>
    <mergeCell ref="J92:L93"/>
    <mergeCell ref="J98:L99"/>
    <mergeCell ref="A1:A2"/>
    <mergeCell ref="J17:L18"/>
    <mergeCell ref="J45:L46"/>
    <mergeCell ref="A53:A54"/>
    <mergeCell ref="J52:L53"/>
    <mergeCell ref="J65:L66"/>
    <mergeCell ref="B54:C54"/>
  </mergeCells>
  <hyperlinks>
    <hyperlink ref="A17" r:id="rId1" xr:uid="{18455DFE-F09B-4609-A80E-FFB226F9D15D}"/>
    <hyperlink ref="A45" r:id="rId2" display="http://www00.unibg.it/dati/corsi/60037/60434-2.Classificazione lezione 2 GEO.pdf" xr:uid="{E2039D77-7233-4B72-B979-C43ACC8BE027}"/>
    <hyperlink ref="A52" r:id="rId3" xr:uid="{C75D4130-6C1F-498C-BFCC-45153B3605CA}"/>
    <hyperlink ref="A65" r:id="rId4" xr:uid="{A4B52CE6-E195-4077-8B9C-0392E5ED12F9}"/>
    <hyperlink ref="A76" r:id="rId5" xr:uid="{B7700873-3200-4684-91F6-983905A7E0E9}"/>
    <hyperlink ref="A86" r:id="rId6" display="http://www00.unibg.it/dati/corsi/60037/60434-2.Classificazione lezione 2 GEO.pdf" xr:uid="{58AEBA81-B6A0-45BD-AD27-83436A9C03D6}"/>
    <hyperlink ref="A92" r:id="rId7" xr:uid="{3CA1FB89-F509-450D-86EC-726FC761776B}"/>
    <hyperlink ref="A98" r:id="rId8" xr:uid="{FDF9E844-258A-48CE-A879-59A4105EB6A8}"/>
    <hyperlink ref="A105" r:id="rId9" xr:uid="{C32956C2-FE1A-4BEE-A2AE-8A6696505A63}"/>
  </hyperlinks>
  <pageMargins left="0.7" right="0.7" top="0.75" bottom="0.75" header="0.3" footer="0.3"/>
  <pageSetup paperSize="9"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E28" sqref="A22:E28"/>
    </sheetView>
  </sheetViews>
  <sheetFormatPr defaultRowHeight="15" x14ac:dyDescent="0.25"/>
  <cols>
    <col min="1" max="1" width="9.140625" style="3"/>
    <col min="2" max="2" width="7" style="3" bestFit="1" customWidth="1"/>
    <col min="3" max="19" width="9.140625" style="3"/>
    <col min="20" max="20" width="7.42578125" style="3" customWidth="1"/>
    <col min="21" max="21" width="9.140625" style="3" customWidth="1"/>
    <col min="22" max="26" width="9.140625" style="3"/>
    <col min="27" max="27" width="12" style="3" bestFit="1" customWidth="1"/>
    <col min="28" max="16384" width="9.140625" style="3"/>
  </cols>
  <sheetData>
    <row r="1" spans="1:5" x14ac:dyDescent="0.25">
      <c r="C1" s="97" t="s">
        <v>6</v>
      </c>
      <c r="D1" s="97"/>
    </row>
    <row r="2" spans="1:5" x14ac:dyDescent="0.25">
      <c r="C2" s="1" t="s">
        <v>4</v>
      </c>
      <c r="D2" s="1" t="s">
        <v>5</v>
      </c>
    </row>
    <row r="3" spans="1:5" x14ac:dyDescent="0.25">
      <c r="A3" s="1" t="s">
        <v>2</v>
      </c>
      <c r="B3" s="1" t="s">
        <v>10</v>
      </c>
      <c r="C3" s="1">
        <v>25</v>
      </c>
      <c r="D3" s="1">
        <v>70</v>
      </c>
      <c r="E3" s="2" t="s">
        <v>0</v>
      </c>
    </row>
    <row r="4" spans="1:5" x14ac:dyDescent="0.25">
      <c r="A4" s="1" t="s">
        <v>3</v>
      </c>
      <c r="B4" s="1" t="s">
        <v>11</v>
      </c>
      <c r="C4" s="1">
        <v>14</v>
      </c>
      <c r="D4" s="1">
        <v>26</v>
      </c>
      <c r="E4" s="2" t="s">
        <v>0</v>
      </c>
    </row>
    <row r="5" spans="1:5" x14ac:dyDescent="0.25">
      <c r="A5" s="1" t="s">
        <v>8</v>
      </c>
      <c r="B5" s="1" t="s">
        <v>12</v>
      </c>
      <c r="C5" s="1">
        <v>20</v>
      </c>
      <c r="D5" s="1">
        <v>35</v>
      </c>
      <c r="E5" s="2" t="s">
        <v>1</v>
      </c>
    </row>
    <row r="6" spans="1:5" x14ac:dyDescent="0.25">
      <c r="A6" s="1" t="s">
        <v>9</v>
      </c>
      <c r="B6" s="1" t="s">
        <v>13</v>
      </c>
      <c r="C6" s="1">
        <v>0</v>
      </c>
      <c r="D6" s="1">
        <v>500</v>
      </c>
      <c r="E6" s="2" t="s">
        <v>1</v>
      </c>
    </row>
    <row r="7" spans="1:5" x14ac:dyDescent="0.25">
      <c r="A7" s="1" t="s">
        <v>14</v>
      </c>
      <c r="B7" s="1" t="s">
        <v>15</v>
      </c>
      <c r="C7" s="1">
        <f>10^-11</f>
        <v>9.9999999999999994E-12</v>
      </c>
      <c r="D7" s="5">
        <f>10^-5</f>
        <v>1.0000000000000001E-5</v>
      </c>
      <c r="E7" s="8" t="s">
        <v>33</v>
      </c>
    </row>
    <row r="9" spans="1:5" x14ac:dyDescent="0.25">
      <c r="C9" s="97" t="s">
        <v>7</v>
      </c>
      <c r="D9" s="97"/>
    </row>
    <row r="10" spans="1:5" x14ac:dyDescent="0.25">
      <c r="C10" s="1" t="s">
        <v>4</v>
      </c>
      <c r="D10" s="1" t="s">
        <v>5</v>
      </c>
    </row>
    <row r="11" spans="1:5" x14ac:dyDescent="0.25">
      <c r="A11" s="1" t="s">
        <v>2</v>
      </c>
      <c r="B11" s="1" t="s">
        <v>10</v>
      </c>
      <c r="C11" s="1">
        <v>2</v>
      </c>
      <c r="D11" s="1">
        <v>30</v>
      </c>
      <c r="E11" s="2" t="s">
        <v>19</v>
      </c>
    </row>
    <row r="12" spans="1:5" x14ac:dyDescent="0.25">
      <c r="A12" s="1" t="s">
        <v>3</v>
      </c>
      <c r="B12" s="1" t="s">
        <v>11</v>
      </c>
      <c r="C12" s="1">
        <v>15</v>
      </c>
      <c r="D12" s="1">
        <v>35</v>
      </c>
      <c r="E12" s="2" t="s">
        <v>18</v>
      </c>
    </row>
    <row r="13" spans="1:5" x14ac:dyDescent="0.25">
      <c r="A13" s="1" t="s">
        <v>8</v>
      </c>
      <c r="B13" s="1" t="s">
        <v>12</v>
      </c>
      <c r="C13" s="1">
        <v>40</v>
      </c>
      <c r="D13" s="1">
        <v>45</v>
      </c>
      <c r="E13" s="2" t="s">
        <v>16</v>
      </c>
    </row>
    <row r="14" spans="1:5" x14ac:dyDescent="0.25">
      <c r="A14" s="1" t="s">
        <v>9</v>
      </c>
      <c r="B14" s="1" t="s">
        <v>13</v>
      </c>
      <c r="C14" s="1">
        <v>200</v>
      </c>
      <c r="D14" s="1">
        <v>300</v>
      </c>
      <c r="E14" s="2" t="s">
        <v>17</v>
      </c>
    </row>
    <row r="15" spans="1:5" x14ac:dyDescent="0.25">
      <c r="A15" s="1" t="s">
        <v>14</v>
      </c>
      <c r="B15" s="1" t="s">
        <v>15</v>
      </c>
      <c r="C15" s="1">
        <f>10^-11</f>
        <v>9.9999999999999994E-12</v>
      </c>
      <c r="D15" s="5">
        <f>10^-5</f>
        <v>1.0000000000000001E-5</v>
      </c>
      <c r="E15" s="2" t="s">
        <v>20</v>
      </c>
    </row>
    <row r="16" spans="1:5" x14ac:dyDescent="0.25">
      <c r="A16" s="1" t="s">
        <v>22</v>
      </c>
      <c r="B16" s="1" t="s">
        <v>23</v>
      </c>
      <c r="C16" s="1">
        <v>0.1</v>
      </c>
      <c r="D16" s="1">
        <v>0.55000000000000004</v>
      </c>
      <c r="E16" s="2" t="s">
        <v>21</v>
      </c>
    </row>
    <row r="17" spans="1:5" x14ac:dyDescent="0.25">
      <c r="A17" s="4" t="s">
        <v>25</v>
      </c>
      <c r="B17" s="4" t="s">
        <v>27</v>
      </c>
      <c r="C17" s="4">
        <v>25</v>
      </c>
      <c r="D17" s="4">
        <v>300</v>
      </c>
      <c r="E17" s="7" t="s">
        <v>26</v>
      </c>
    </row>
    <row r="18" spans="1:5" x14ac:dyDescent="0.25">
      <c r="A18" s="6" t="s">
        <v>29</v>
      </c>
      <c r="B18" s="6" t="s">
        <v>30</v>
      </c>
      <c r="C18" s="6">
        <v>5</v>
      </c>
      <c r="D18" s="6">
        <v>15</v>
      </c>
      <c r="E18" s="2" t="s">
        <v>28</v>
      </c>
    </row>
    <row r="19" spans="1:5" x14ac:dyDescent="0.25">
      <c r="A19" s="6" t="s">
        <v>24</v>
      </c>
      <c r="B19" s="6" t="s">
        <v>32</v>
      </c>
      <c r="C19" s="6">
        <v>0</v>
      </c>
      <c r="D19" s="6">
        <v>20</v>
      </c>
      <c r="E19" s="2" t="s">
        <v>31</v>
      </c>
    </row>
    <row r="20" spans="1:5" x14ac:dyDescent="0.25">
      <c r="A20" s="2" t="s">
        <v>34</v>
      </c>
    </row>
  </sheetData>
  <mergeCells count="2">
    <mergeCell ref="C1:D1"/>
    <mergeCell ref="C9:D9"/>
  </mergeCells>
  <hyperlinks>
    <hyperlink ref="E13" r:id="rId1" xr:uid="{00000000-0004-0000-0000-000000000000}"/>
    <hyperlink ref="E14" r:id="rId2" xr:uid="{00000000-0004-0000-0000-000001000000}"/>
    <hyperlink ref="E12" r:id="rId3" xr:uid="{00000000-0004-0000-0000-000002000000}"/>
    <hyperlink ref="E4" r:id="rId4" display="http://www00.unibg.it/dati/corsi/60037/60434-2.Classificazione lezione 2 GEO.pdf" xr:uid="{00000000-0004-0000-0000-000004000000}"/>
    <hyperlink ref="E3" r:id="rId5" display="http://www00.unibg.it/dati/corsi/60037/60434-2.Classificazione lezione 2 GEO.pdf" xr:uid="{00000000-0004-0000-0000-000005000000}"/>
    <hyperlink ref="E5" r:id="rId6" xr:uid="{00000000-0004-0000-0000-000006000000}"/>
    <hyperlink ref="E6" r:id="rId7" xr:uid="{00000000-0004-0000-0000-000007000000}"/>
    <hyperlink ref="E11" r:id="rId8" xr:uid="{00000000-0004-0000-0000-000008000000}"/>
    <hyperlink ref="E15" r:id="rId9" xr:uid="{00000000-0004-0000-0000-000009000000}"/>
    <hyperlink ref="E16" r:id="rId10" xr:uid="{00000000-0004-0000-0000-00000A000000}"/>
    <hyperlink ref="E17" r:id="rId11" xr:uid="{46726066-8194-472B-A772-FA0961026BE7}"/>
    <hyperlink ref="E18" r:id="rId12" xr:uid="{05F2B0DD-0964-4AC8-B1F1-41C12663E106}"/>
    <hyperlink ref="E19" r:id="rId13" xr:uid="{49BAB572-DCF1-4917-91DB-7E06D108B99B}"/>
    <hyperlink ref="E7" r:id="rId14" xr:uid="{27606A06-084E-461E-8F49-25B12483E3C0}"/>
    <hyperlink ref="A20" r:id="rId15" xr:uid="{3680DC3D-D3A1-4A72-A163-F4A2EF2C56B8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SOIL</vt:lpstr>
      <vt:lpstr>Reference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VALSECCHI</dc:creator>
  <cp:lastModifiedBy>Ruben VALSECCHI</cp:lastModifiedBy>
  <dcterms:created xsi:type="dcterms:W3CDTF">2020-04-16T10:05:52Z</dcterms:created>
  <dcterms:modified xsi:type="dcterms:W3CDTF">2020-06-16T10:22:30Z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175487-42af-4492-84fe-2b4054e011bd_Enabled">
    <vt:lpwstr>true</vt:lpwstr>
  </property>
  <property fmtid="{D5CDD505-2E9C-101B-9397-08002B2CF9AE}" pid="3" name="MSIP_Label_a6175487-42af-4492-84fe-2b4054e011bd_SetDate">
    <vt:lpwstr>2020-04-16T10:06:23Z</vt:lpwstr>
  </property>
  <property fmtid="{D5CDD505-2E9C-101B-9397-08002B2CF9AE}" pid="4" name="MSIP_Label_a6175487-42af-4492-84fe-2b4054e011bd_Method">
    <vt:lpwstr>Privileged</vt:lpwstr>
  </property>
  <property fmtid="{D5CDD505-2E9C-101B-9397-08002B2CF9AE}" pid="5" name="MSIP_Label_a6175487-42af-4492-84fe-2b4054e011bd_Name">
    <vt:lpwstr>Public</vt:lpwstr>
  </property>
  <property fmtid="{D5CDD505-2E9C-101B-9397-08002B2CF9AE}" pid="6" name="MSIP_Label_a6175487-42af-4492-84fe-2b4054e011bd_SiteId">
    <vt:lpwstr>76e3e3ff-fce0-45ec-a946-bc44d69a9b7e</vt:lpwstr>
  </property>
  <property fmtid="{D5CDD505-2E9C-101B-9397-08002B2CF9AE}" pid="7" name="MSIP_Label_a6175487-42af-4492-84fe-2b4054e011bd_ActionId">
    <vt:lpwstr>6b57e2d7-7ad1-485e-a061-00003f4e18b8</vt:lpwstr>
  </property>
  <property fmtid="{D5CDD505-2E9C-101B-9397-08002B2CF9AE}" pid="8" name="MSIP_Label_a6175487-42af-4492-84fe-2b4054e011bd_ContentBits">
    <vt:lpwstr>0</vt:lpwstr>
  </property>
</Properties>
</file>