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va04\Desktop\Induced_Hazard\0.PY\Rockfall\"/>
    </mc:Choice>
  </mc:AlternateContent>
  <xr:revisionPtr revIDLastSave="0" documentId="13_ncr:1_{90E921DC-A9FA-4EBD-B89C-07A23EA9E5E7}" xr6:coauthVersionLast="44" xr6:coauthVersionMax="44" xr10:uidLastSave="{00000000-0000-0000-0000-000000000000}"/>
  <bookViews>
    <workbookView xWindow="-120" yWindow="-120" windowWidth="29040" windowHeight="16440" xr2:uid="{00000000-000D-0000-FFFF-FFFF00000000}"/>
  </bookViews>
  <sheets>
    <sheet name="SOIL" sheetId="6" r:id="rId1"/>
    <sheet name="Acc_crit_perType" sheetId="8" r:id="rId2"/>
    <sheet name="Water_crit_perType" sheetId="12" r:id="rId3"/>
    <sheet name="Data ROCK" sheetId="7" r:id="rId4"/>
  </sheets>
  <definedNames>
    <definedName name="solver_adj" localSheetId="1" hidden="1">Acc_crit_perType!$S$59:$S$60</definedName>
    <definedName name="solver_adj" localSheetId="2" hidden="1">Water_crit_perType!$N$73:$N$75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Acc_crit_perType!$S$79</definedName>
    <definedName name="solver_opt" localSheetId="2" hidden="1">Water_crit_perType!$N$93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3</definedName>
    <definedName name="solver_typ" localSheetId="2" hidden="1">3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6" l="1"/>
  <c r="AC74" i="12" l="1"/>
  <c r="AC73" i="12"/>
  <c r="W76" i="12"/>
  <c r="W16" i="12"/>
  <c r="AB84" i="12"/>
  <c r="AC84" i="12" s="1"/>
  <c r="AB83" i="12"/>
  <c r="AC83" i="12" s="1"/>
  <c r="AB82" i="12"/>
  <c r="AC82" i="12" s="1"/>
  <c r="AB81" i="12"/>
  <c r="AC81" i="12" s="1"/>
  <c r="AB80" i="12"/>
  <c r="AC80" i="12" s="1"/>
  <c r="AB79" i="12"/>
  <c r="AC79" i="12" s="1"/>
  <c r="AB78" i="12"/>
  <c r="AC78" i="12" s="1"/>
  <c r="AB77" i="12"/>
  <c r="AC77" i="12" s="1"/>
  <c r="AB76" i="12"/>
  <c r="AC76" i="12" s="1"/>
  <c r="AB75" i="12"/>
  <c r="AC75" i="12" s="1"/>
  <c r="AB74" i="12"/>
  <c r="AB73" i="12"/>
  <c r="Y84" i="12"/>
  <c r="Z84" i="12" s="1"/>
  <c r="Y83" i="12"/>
  <c r="Z83" i="12" s="1"/>
  <c r="Y82" i="12"/>
  <c r="Z82" i="12" s="1"/>
  <c r="Y81" i="12"/>
  <c r="Z81" i="12" s="1"/>
  <c r="Y80" i="12"/>
  <c r="Z80" i="12" s="1"/>
  <c r="Y79" i="12"/>
  <c r="Z79" i="12" s="1"/>
  <c r="Y78" i="12"/>
  <c r="Z78" i="12" s="1"/>
  <c r="Y77" i="12"/>
  <c r="Z77" i="12" s="1"/>
  <c r="Y76" i="12"/>
  <c r="Z76" i="12" s="1"/>
  <c r="Y75" i="12"/>
  <c r="Z75" i="12" s="1"/>
  <c r="Y74" i="12"/>
  <c r="Z74" i="12" s="1"/>
  <c r="Y73" i="12"/>
  <c r="Z73" i="12" s="1"/>
  <c r="V74" i="12"/>
  <c r="W74" i="12" s="1"/>
  <c r="V75" i="12"/>
  <c r="W75" i="12" s="1"/>
  <c r="V76" i="12"/>
  <c r="V77" i="12"/>
  <c r="W77" i="12" s="1"/>
  <c r="V78" i="12"/>
  <c r="W78" i="12" s="1"/>
  <c r="V79" i="12"/>
  <c r="W79" i="12" s="1"/>
  <c r="V80" i="12"/>
  <c r="W80" i="12" s="1"/>
  <c r="V81" i="12"/>
  <c r="W81" i="12" s="1"/>
  <c r="V82" i="12"/>
  <c r="W82" i="12" s="1"/>
  <c r="V83" i="12"/>
  <c r="W83" i="12" s="1"/>
  <c r="V84" i="12"/>
  <c r="W84" i="12" s="1"/>
  <c r="V73" i="12"/>
  <c r="W73" i="12" s="1"/>
  <c r="AC16" i="8"/>
  <c r="K83" i="12"/>
  <c r="N88" i="12"/>
  <c r="N90" i="12"/>
  <c r="L83" i="12"/>
  <c r="M83" i="12"/>
  <c r="N83" i="12"/>
  <c r="O83" i="12"/>
  <c r="P83" i="12"/>
  <c r="Q83" i="12"/>
  <c r="R83" i="12"/>
  <c r="S83" i="12"/>
  <c r="T83" i="12"/>
  <c r="K84" i="12"/>
  <c r="L84" i="12"/>
  <c r="M84" i="12"/>
  <c r="N84" i="12"/>
  <c r="N89" i="12" s="1"/>
  <c r="O84" i="12"/>
  <c r="P84" i="12"/>
  <c r="Q84" i="12"/>
  <c r="R84" i="12"/>
  <c r="S84" i="12"/>
  <c r="T84" i="12"/>
  <c r="K85" i="12"/>
  <c r="K90" i="12" s="1"/>
  <c r="K93" i="12" s="1"/>
  <c r="L85" i="12"/>
  <c r="L90" i="12" s="1"/>
  <c r="M85" i="12"/>
  <c r="M90" i="12" s="1"/>
  <c r="N85" i="12"/>
  <c r="O85" i="12"/>
  <c r="P85" i="12"/>
  <c r="Q85" i="12"/>
  <c r="R85" i="12"/>
  <c r="S85" i="12"/>
  <c r="T85" i="12"/>
  <c r="J84" i="12"/>
  <c r="J85" i="12"/>
  <c r="J83" i="12"/>
  <c r="J79" i="12"/>
  <c r="K79" i="12"/>
  <c r="L79" i="12"/>
  <c r="M79" i="12"/>
  <c r="N79" i="12"/>
  <c r="O79" i="12"/>
  <c r="P79" i="12"/>
  <c r="Q79" i="12"/>
  <c r="R79" i="12"/>
  <c r="S79" i="12"/>
  <c r="T79" i="12"/>
  <c r="J80" i="12"/>
  <c r="K80" i="12"/>
  <c r="L80" i="12"/>
  <c r="M80" i="12"/>
  <c r="N80" i="12"/>
  <c r="O80" i="12"/>
  <c r="P80" i="12"/>
  <c r="Q80" i="12"/>
  <c r="R80" i="12"/>
  <c r="S80" i="12"/>
  <c r="T80" i="12"/>
  <c r="K78" i="12"/>
  <c r="L78" i="12"/>
  <c r="M78" i="12"/>
  <c r="N78" i="12"/>
  <c r="O78" i="12"/>
  <c r="P78" i="12"/>
  <c r="Q78" i="12"/>
  <c r="R78" i="12"/>
  <c r="S78" i="12"/>
  <c r="T78" i="12"/>
  <c r="J78" i="12"/>
  <c r="J73" i="12"/>
  <c r="K73" i="12"/>
  <c r="L73" i="12"/>
  <c r="M73" i="12"/>
  <c r="O73" i="12"/>
  <c r="P73" i="12"/>
  <c r="Q73" i="12"/>
  <c r="R73" i="12"/>
  <c r="S73" i="12"/>
  <c r="T73" i="12"/>
  <c r="J74" i="12"/>
  <c r="K74" i="12"/>
  <c r="L74" i="12"/>
  <c r="M74" i="12"/>
  <c r="O74" i="12"/>
  <c r="P74" i="12"/>
  <c r="Q74" i="12"/>
  <c r="R74" i="12"/>
  <c r="S74" i="12"/>
  <c r="T74" i="12"/>
  <c r="J75" i="12"/>
  <c r="K75" i="12"/>
  <c r="L75" i="12"/>
  <c r="M75" i="12"/>
  <c r="O75" i="12"/>
  <c r="P75" i="12"/>
  <c r="Q75" i="12"/>
  <c r="R75" i="12"/>
  <c r="S75" i="12"/>
  <c r="T75" i="12"/>
  <c r="AM19" i="12"/>
  <c r="AL19" i="12"/>
  <c r="D3" i="6"/>
  <c r="D4" i="6"/>
  <c r="D5" i="6"/>
  <c r="D6" i="6"/>
  <c r="D7" i="6"/>
  <c r="D8" i="6"/>
  <c r="D9" i="6"/>
  <c r="D10" i="6"/>
  <c r="D11" i="6"/>
  <c r="D12" i="6"/>
  <c r="D13" i="6"/>
  <c r="D14" i="6"/>
  <c r="D1" i="6"/>
  <c r="J91" i="8"/>
  <c r="K91" i="8"/>
  <c r="L91" i="8"/>
  <c r="M91" i="8"/>
  <c r="N91" i="8"/>
  <c r="O91" i="8"/>
  <c r="P91" i="8"/>
  <c r="Q91" i="8"/>
  <c r="R91" i="8"/>
  <c r="S91" i="8"/>
  <c r="J92" i="8"/>
  <c r="K92" i="8"/>
  <c r="L92" i="8"/>
  <c r="M92" i="8"/>
  <c r="N92" i="8"/>
  <c r="O92" i="8"/>
  <c r="P92" i="8"/>
  <c r="Q92" i="8"/>
  <c r="R92" i="8"/>
  <c r="S92" i="8"/>
  <c r="J93" i="8"/>
  <c r="K93" i="8"/>
  <c r="L93" i="8"/>
  <c r="M93" i="8"/>
  <c r="N93" i="8"/>
  <c r="O93" i="8"/>
  <c r="P93" i="8"/>
  <c r="Q93" i="8"/>
  <c r="R93" i="8"/>
  <c r="S93" i="8"/>
  <c r="J94" i="8"/>
  <c r="K94" i="8"/>
  <c r="L94" i="8"/>
  <c r="M94" i="8"/>
  <c r="N94" i="8"/>
  <c r="O94" i="8"/>
  <c r="P94" i="8"/>
  <c r="Q94" i="8"/>
  <c r="R94" i="8"/>
  <c r="S94" i="8"/>
  <c r="I92" i="8"/>
  <c r="I93" i="8"/>
  <c r="I94" i="8"/>
  <c r="I91" i="8"/>
  <c r="J81" i="8"/>
  <c r="K81" i="8"/>
  <c r="L81" i="8"/>
  <c r="M81" i="8"/>
  <c r="N81" i="8"/>
  <c r="O81" i="8"/>
  <c r="P81" i="8"/>
  <c r="Q81" i="8"/>
  <c r="R81" i="8"/>
  <c r="S81" i="8"/>
  <c r="I81" i="8"/>
  <c r="S62" i="8"/>
  <c r="R62" i="8"/>
  <c r="Q62" i="8"/>
  <c r="P62" i="8"/>
  <c r="O62" i="8"/>
  <c r="N62" i="8"/>
  <c r="M62" i="8"/>
  <c r="L62" i="8"/>
  <c r="K62" i="8"/>
  <c r="J62" i="8"/>
  <c r="I62" i="8"/>
  <c r="AI45" i="8"/>
  <c r="AI46" i="8"/>
  <c r="AI47" i="8"/>
  <c r="AI48" i="8"/>
  <c r="AI49" i="8"/>
  <c r="AI50" i="8"/>
  <c r="AI51" i="8"/>
  <c r="AI52" i="8"/>
  <c r="AI53" i="8"/>
  <c r="AI54" i="8"/>
  <c r="AI55" i="8"/>
  <c r="AI44" i="8"/>
  <c r="AB16" i="8"/>
  <c r="AL19" i="8"/>
  <c r="Y16" i="8" s="1"/>
  <c r="N30" i="8" s="1"/>
  <c r="V17" i="8"/>
  <c r="V18" i="8"/>
  <c r="V19" i="8"/>
  <c r="V20" i="8"/>
  <c r="V21" i="8"/>
  <c r="V22" i="8"/>
  <c r="V23" i="8"/>
  <c r="V24" i="8"/>
  <c r="V25" i="8"/>
  <c r="V26" i="8"/>
  <c r="V27" i="8"/>
  <c r="V16" i="8"/>
  <c r="AK21" i="8" s="1"/>
  <c r="AB17" i="8"/>
  <c r="AB18" i="8"/>
  <c r="AM23" i="8" s="1"/>
  <c r="AB19" i="8"/>
  <c r="AM24" i="8" s="1"/>
  <c r="AB20" i="8"/>
  <c r="AM25" i="8" s="1"/>
  <c r="AB21" i="8"/>
  <c r="AM26" i="8" s="1"/>
  <c r="AB22" i="8"/>
  <c r="AM27" i="8" s="1"/>
  <c r="AB23" i="8"/>
  <c r="AM28" i="8" s="1"/>
  <c r="AB24" i="8"/>
  <c r="AM29" i="8" s="1"/>
  <c r="AB25" i="8"/>
  <c r="AM30" i="8" s="1"/>
  <c r="AB26" i="8"/>
  <c r="AM31" i="8" s="1"/>
  <c r="AB27" i="8"/>
  <c r="AM32" i="8" s="1"/>
  <c r="AM19" i="8"/>
  <c r="AM22" i="8"/>
  <c r="AK32" i="8"/>
  <c r="AK24" i="8"/>
  <c r="AK25" i="8"/>
  <c r="AK26" i="8"/>
  <c r="AK27" i="8"/>
  <c r="AK28" i="8"/>
  <c r="Q38" i="8"/>
  <c r="K31" i="8"/>
  <c r="K38" i="8"/>
  <c r="K39" i="8"/>
  <c r="K51" i="8"/>
  <c r="N51" i="8"/>
  <c r="M51" i="8" s="1"/>
  <c r="P51" i="8"/>
  <c r="Q51" i="8"/>
  <c r="K52" i="8"/>
  <c r="N52" i="8"/>
  <c r="M52" i="8" s="1"/>
  <c r="P52" i="8"/>
  <c r="Q52" i="8"/>
  <c r="Q43" i="8"/>
  <c r="P43" i="8" s="1"/>
  <c r="T43" i="8"/>
  <c r="S43" i="8" s="1"/>
  <c r="N43" i="8"/>
  <c r="M43" i="8" s="1"/>
  <c r="K44" i="8"/>
  <c r="J44" i="8" s="1"/>
  <c r="K43" i="8"/>
  <c r="J43" i="8" s="1"/>
  <c r="T13" i="12"/>
  <c r="S13" i="12"/>
  <c r="R13" i="12"/>
  <c r="Q13" i="12"/>
  <c r="P13" i="12"/>
  <c r="O13" i="12"/>
  <c r="N13" i="12"/>
  <c r="M13" i="12"/>
  <c r="L13" i="12"/>
  <c r="K13" i="12"/>
  <c r="J13" i="12"/>
  <c r="I13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T11" i="12"/>
  <c r="S11" i="12"/>
  <c r="R11" i="12"/>
  <c r="P11" i="12"/>
  <c r="O11" i="12"/>
  <c r="M11" i="12"/>
  <c r="L11" i="12"/>
  <c r="J11" i="12"/>
  <c r="I11" i="12"/>
  <c r="T10" i="12"/>
  <c r="S10" i="12"/>
  <c r="R10" i="12"/>
  <c r="P10" i="12"/>
  <c r="O10" i="12"/>
  <c r="M10" i="12"/>
  <c r="L10" i="12"/>
  <c r="J10" i="12"/>
  <c r="I10" i="12"/>
  <c r="T9" i="12"/>
  <c r="S9" i="12"/>
  <c r="R9" i="12"/>
  <c r="Q9" i="12"/>
  <c r="P9" i="12"/>
  <c r="O9" i="12"/>
  <c r="N9" i="12"/>
  <c r="M9" i="12"/>
  <c r="L9" i="12"/>
  <c r="K9" i="12"/>
  <c r="J9" i="12"/>
  <c r="I9" i="12"/>
  <c r="T8" i="12"/>
  <c r="S8" i="12"/>
  <c r="R8" i="12"/>
  <c r="Q8" i="12"/>
  <c r="P8" i="12"/>
  <c r="O8" i="12"/>
  <c r="N8" i="12"/>
  <c r="M8" i="12"/>
  <c r="L8" i="12"/>
  <c r="K8" i="12"/>
  <c r="J8" i="12"/>
  <c r="I8" i="12"/>
  <c r="T7" i="12"/>
  <c r="S7" i="12"/>
  <c r="R7" i="12"/>
  <c r="Q7" i="12"/>
  <c r="P7" i="12"/>
  <c r="O7" i="12"/>
  <c r="N7" i="12"/>
  <c r="M7" i="12"/>
  <c r="L7" i="12"/>
  <c r="K7" i="12"/>
  <c r="J7" i="12"/>
  <c r="I7" i="12"/>
  <c r="T6" i="12"/>
  <c r="S6" i="12"/>
  <c r="R6" i="12"/>
  <c r="Q6" i="12"/>
  <c r="P6" i="12"/>
  <c r="O6" i="12"/>
  <c r="N6" i="12"/>
  <c r="M6" i="12"/>
  <c r="L6" i="12"/>
  <c r="K6" i="12"/>
  <c r="J6" i="12"/>
  <c r="I6" i="12"/>
  <c r="T5" i="12"/>
  <c r="S5" i="12"/>
  <c r="R5" i="12"/>
  <c r="Q5" i="12"/>
  <c r="P5" i="12"/>
  <c r="O5" i="12"/>
  <c r="N5" i="12"/>
  <c r="M5" i="12"/>
  <c r="L5" i="12"/>
  <c r="K5" i="12"/>
  <c r="J5" i="12"/>
  <c r="I5" i="12"/>
  <c r="T4" i="12"/>
  <c r="S4" i="12"/>
  <c r="R4" i="12"/>
  <c r="Q4" i="12"/>
  <c r="P4" i="12"/>
  <c r="O4" i="12"/>
  <c r="N4" i="12"/>
  <c r="M4" i="12"/>
  <c r="L4" i="12"/>
  <c r="K4" i="12"/>
  <c r="J4" i="12"/>
  <c r="I4" i="12"/>
  <c r="T3" i="12"/>
  <c r="S3" i="12"/>
  <c r="R3" i="12"/>
  <c r="Q3" i="12"/>
  <c r="P3" i="12"/>
  <c r="O3" i="12"/>
  <c r="N3" i="12"/>
  <c r="M3" i="12"/>
  <c r="L3" i="12"/>
  <c r="K3" i="12"/>
  <c r="J3" i="12"/>
  <c r="I3" i="12"/>
  <c r="R2" i="12"/>
  <c r="O2" i="12"/>
  <c r="L2" i="12"/>
  <c r="I2" i="12"/>
  <c r="AI15" i="12" s="1"/>
  <c r="T1" i="12"/>
  <c r="S1" i="12"/>
  <c r="R1" i="12"/>
  <c r="Q1" i="12"/>
  <c r="P1" i="12"/>
  <c r="O1" i="12"/>
  <c r="N1" i="12"/>
  <c r="M1" i="12"/>
  <c r="L1" i="12"/>
  <c r="K1" i="12"/>
  <c r="J1" i="12"/>
  <c r="I1" i="12"/>
  <c r="J3" i="8"/>
  <c r="K3" i="8"/>
  <c r="N93" i="12" l="1"/>
  <c r="T93" i="12"/>
  <c r="Q93" i="12"/>
  <c r="R93" i="12"/>
  <c r="O93" i="12"/>
  <c r="P93" i="12"/>
  <c r="J93" i="12"/>
  <c r="L93" i="12"/>
  <c r="S93" i="12"/>
  <c r="M93" i="12"/>
  <c r="Y27" i="8"/>
  <c r="AL32" i="8" s="1"/>
  <c r="Y23" i="8"/>
  <c r="AL28" i="8" s="1"/>
  <c r="Y22" i="8"/>
  <c r="AL27" i="8" s="1"/>
  <c r="Y25" i="8"/>
  <c r="Y17" i="8"/>
  <c r="AL22" i="8" s="1"/>
  <c r="Y21" i="8"/>
  <c r="AL26" i="8" s="1"/>
  <c r="Y24" i="8"/>
  <c r="AL29" i="8" s="1"/>
  <c r="Y18" i="8"/>
  <c r="AL23" i="8" s="1"/>
  <c r="Y20" i="8"/>
  <c r="AL25" i="8" s="1"/>
  <c r="Y26" i="8"/>
  <c r="AL31" i="8" s="1"/>
  <c r="Y19" i="8"/>
  <c r="AL24" i="8" s="1"/>
  <c r="N39" i="8"/>
  <c r="AL30" i="8"/>
  <c r="AK31" i="8"/>
  <c r="AK23" i="8"/>
  <c r="AK30" i="8"/>
  <c r="AK22" i="8"/>
  <c r="AK29" i="8"/>
  <c r="AL21" i="8"/>
  <c r="Q30" i="8"/>
  <c r="K30" i="8"/>
  <c r="Q39" i="8"/>
  <c r="AM21" i="8"/>
  <c r="J52" i="8"/>
  <c r="J51" i="8"/>
  <c r="BU89" i="8"/>
  <c r="BU87" i="8"/>
  <c r="BU88" i="8"/>
  <c r="BU65" i="8"/>
  <c r="BU66" i="8"/>
  <c r="BU67" i="8"/>
  <c r="BU68" i="8"/>
  <c r="BU69" i="8"/>
  <c r="BU70" i="8"/>
  <c r="BU71" i="8"/>
  <c r="BU72" i="8"/>
  <c r="BU73" i="8"/>
  <c r="BU74" i="8"/>
  <c r="BU75" i="8"/>
  <c r="BU76" i="8"/>
  <c r="BU77" i="8"/>
  <c r="BU78" i="8"/>
  <c r="BU79" i="8"/>
  <c r="BU80" i="8"/>
  <c r="BU81" i="8"/>
  <c r="BU82" i="8"/>
  <c r="BU83" i="8"/>
  <c r="BU84" i="8"/>
  <c r="BU85" i="8"/>
  <c r="BU86" i="8"/>
  <c r="BU64" i="8"/>
  <c r="N38" i="8" l="1"/>
  <c r="AG4" i="12"/>
  <c r="AG3" i="12"/>
  <c r="AF4" i="12"/>
  <c r="AF3" i="12"/>
  <c r="AE4" i="12"/>
  <c r="AE3" i="12"/>
  <c r="AD4" i="12"/>
  <c r="AD3" i="12"/>
  <c r="AG1" i="12"/>
  <c r="AF1" i="12"/>
  <c r="AE1" i="12"/>
  <c r="AD1" i="12"/>
  <c r="AG2" i="12"/>
  <c r="AF2" i="12"/>
  <c r="AE2" i="12"/>
  <c r="AD2" i="12"/>
  <c r="BA73" i="8"/>
  <c r="BA79" i="8"/>
  <c r="BA105" i="8"/>
  <c r="BA111" i="8"/>
  <c r="AY65" i="8"/>
  <c r="AY66" i="8"/>
  <c r="AY67" i="8"/>
  <c r="AY68" i="8"/>
  <c r="AY69" i="8"/>
  <c r="AY70" i="8"/>
  <c r="AY71" i="8"/>
  <c r="AY72" i="8"/>
  <c r="AY73" i="8"/>
  <c r="AY74" i="8"/>
  <c r="AY75" i="8"/>
  <c r="AY76" i="8"/>
  <c r="AY77" i="8"/>
  <c r="AY78" i="8"/>
  <c r="AY79" i="8"/>
  <c r="AY80" i="8"/>
  <c r="AY81" i="8"/>
  <c r="AY82" i="8"/>
  <c r="AY83" i="8"/>
  <c r="AY84" i="8"/>
  <c r="AY85" i="8"/>
  <c r="AY86" i="8"/>
  <c r="AY87" i="8"/>
  <c r="AY88" i="8"/>
  <c r="AY89" i="8"/>
  <c r="AY90" i="8"/>
  <c r="AY91" i="8"/>
  <c r="AY92" i="8"/>
  <c r="AY93" i="8"/>
  <c r="AY94" i="8"/>
  <c r="AY95" i="8"/>
  <c r="AY96" i="8"/>
  <c r="AY97" i="8"/>
  <c r="AY98" i="8"/>
  <c r="AY99" i="8"/>
  <c r="AY100" i="8"/>
  <c r="AY101" i="8"/>
  <c r="AY102" i="8"/>
  <c r="AY103" i="8"/>
  <c r="AY104" i="8"/>
  <c r="AY105" i="8"/>
  <c r="AY106" i="8"/>
  <c r="AY107" i="8"/>
  <c r="AY108" i="8"/>
  <c r="AY109" i="8"/>
  <c r="AY110" i="8"/>
  <c r="AY111" i="8"/>
  <c r="AY112" i="8"/>
  <c r="AY113" i="8"/>
  <c r="AY114" i="8"/>
  <c r="AY64" i="8"/>
  <c r="AX65" i="8"/>
  <c r="BA65" i="8" s="1"/>
  <c r="AX66" i="8"/>
  <c r="BA66" i="8" s="1"/>
  <c r="AX67" i="8"/>
  <c r="AX68" i="8"/>
  <c r="BA68" i="8" s="1"/>
  <c r="AX69" i="8"/>
  <c r="BA69" i="8" s="1"/>
  <c r="AX70" i="8"/>
  <c r="BA70" i="8" s="1"/>
  <c r="AX71" i="8"/>
  <c r="BA71" i="8" s="1"/>
  <c r="AX72" i="8"/>
  <c r="BA72" i="8" s="1"/>
  <c r="AX73" i="8"/>
  <c r="AX74" i="8"/>
  <c r="BA74" i="8" s="1"/>
  <c r="AX75" i="8"/>
  <c r="AX76" i="8"/>
  <c r="BA76" i="8" s="1"/>
  <c r="AX77" i="8"/>
  <c r="BA77" i="8" s="1"/>
  <c r="AX78" i="8"/>
  <c r="BA78" i="8" s="1"/>
  <c r="AX79" i="8"/>
  <c r="AX80" i="8"/>
  <c r="AX81" i="8"/>
  <c r="BA81" i="8" s="1"/>
  <c r="AX82" i="8"/>
  <c r="BA82" i="8" s="1"/>
  <c r="AX83" i="8"/>
  <c r="AX84" i="8"/>
  <c r="BA84" i="8" s="1"/>
  <c r="AX85" i="8"/>
  <c r="BA85" i="8" s="1"/>
  <c r="AX86" i="8"/>
  <c r="BA86" i="8" s="1"/>
  <c r="AX87" i="8"/>
  <c r="BA87" i="8" s="1"/>
  <c r="AX88" i="8"/>
  <c r="AX89" i="8"/>
  <c r="BA89" i="8" s="1"/>
  <c r="AX90" i="8"/>
  <c r="BA90" i="8" s="1"/>
  <c r="AX91" i="8"/>
  <c r="AX92" i="8"/>
  <c r="BA92" i="8" s="1"/>
  <c r="AX93" i="8"/>
  <c r="BA93" i="8" s="1"/>
  <c r="AX94" i="8"/>
  <c r="BA94" i="8" s="1"/>
  <c r="AX95" i="8"/>
  <c r="BA95" i="8" s="1"/>
  <c r="AX96" i="8"/>
  <c r="AX97" i="8"/>
  <c r="BA97" i="8" s="1"/>
  <c r="AX98" i="8"/>
  <c r="BA98" i="8" s="1"/>
  <c r="AX99" i="8"/>
  <c r="AX100" i="8"/>
  <c r="BA100" i="8" s="1"/>
  <c r="AX101" i="8"/>
  <c r="BA101" i="8" s="1"/>
  <c r="AX102" i="8"/>
  <c r="BA102" i="8" s="1"/>
  <c r="AX103" i="8"/>
  <c r="BA103" i="8" s="1"/>
  <c r="AX104" i="8"/>
  <c r="BA104" i="8" s="1"/>
  <c r="AX105" i="8"/>
  <c r="AX106" i="8"/>
  <c r="BA106" i="8" s="1"/>
  <c r="AX107" i="8"/>
  <c r="AX108" i="8"/>
  <c r="BA108" i="8" s="1"/>
  <c r="AX109" i="8"/>
  <c r="BA109" i="8" s="1"/>
  <c r="AX110" i="8"/>
  <c r="BA110" i="8" s="1"/>
  <c r="AX111" i="8"/>
  <c r="AX112" i="8"/>
  <c r="BA112" i="8" s="1"/>
  <c r="AX113" i="8"/>
  <c r="BA113" i="8" s="1"/>
  <c r="AX114" i="8"/>
  <c r="BA114" i="8" s="1"/>
  <c r="AX64" i="8"/>
  <c r="BL64" i="8" s="1"/>
  <c r="AJ67" i="8"/>
  <c r="AJ68" i="8" s="1"/>
  <c r="AJ69" i="8" s="1"/>
  <c r="AJ70" i="8" s="1"/>
  <c r="AJ71" i="8" s="1"/>
  <c r="AJ72" i="8" s="1"/>
  <c r="AJ73" i="8" s="1"/>
  <c r="AJ74" i="8" s="1"/>
  <c r="AJ75" i="8" s="1"/>
  <c r="AJ76" i="8" s="1"/>
  <c r="AJ77" i="8" s="1"/>
  <c r="AJ78" i="8" s="1"/>
  <c r="AJ79" i="8" s="1"/>
  <c r="AJ80" i="8" s="1"/>
  <c r="AJ81" i="8" s="1"/>
  <c r="AJ82" i="8" s="1"/>
  <c r="AJ83" i="8" s="1"/>
  <c r="AJ84" i="8" s="1"/>
  <c r="AJ85" i="8" s="1"/>
  <c r="AJ86" i="8" s="1"/>
  <c r="AJ87" i="8" s="1"/>
  <c r="AJ88" i="8" s="1"/>
  <c r="AJ89" i="8" s="1"/>
  <c r="AJ90" i="8" s="1"/>
  <c r="AJ91" i="8" s="1"/>
  <c r="AJ92" i="8" s="1"/>
  <c r="AJ93" i="8" s="1"/>
  <c r="AJ94" i="8" s="1"/>
  <c r="AJ95" i="8" s="1"/>
  <c r="AJ96" i="8" s="1"/>
  <c r="AJ97" i="8" s="1"/>
  <c r="AJ98" i="8" s="1"/>
  <c r="AJ99" i="8" s="1"/>
  <c r="AJ100" i="8" s="1"/>
  <c r="AJ101" i="8" s="1"/>
  <c r="AJ102" i="8" s="1"/>
  <c r="AJ103" i="8" s="1"/>
  <c r="AJ104" i="8" s="1"/>
  <c r="AJ105" i="8" s="1"/>
  <c r="AJ106" i="8" s="1"/>
  <c r="AJ107" i="8" s="1"/>
  <c r="AJ108" i="8" s="1"/>
  <c r="AJ109" i="8" s="1"/>
  <c r="AJ110" i="8" s="1"/>
  <c r="AJ111" i="8" s="1"/>
  <c r="AJ112" i="8" s="1"/>
  <c r="AJ113" i="8" s="1"/>
  <c r="AJ114" i="8" s="1"/>
  <c r="AJ115" i="8" s="1"/>
  <c r="AJ116" i="8" s="1"/>
  <c r="AJ117" i="8" s="1"/>
  <c r="AJ118" i="8" s="1"/>
  <c r="AJ119" i="8" s="1"/>
  <c r="AJ120" i="8" s="1"/>
  <c r="AJ121" i="8" s="1"/>
  <c r="AJ122" i="8" s="1"/>
  <c r="AJ123" i="8" s="1"/>
  <c r="AJ124" i="8" s="1"/>
  <c r="AJ125" i="8" s="1"/>
  <c r="AJ126" i="8" s="1"/>
  <c r="AJ127" i="8" s="1"/>
  <c r="AJ128" i="8" s="1"/>
  <c r="AJ129" i="8" s="1"/>
  <c r="AJ130" i="8" s="1"/>
  <c r="AJ131" i="8" s="1"/>
  <c r="AJ132" i="8" s="1"/>
  <c r="AJ133" i="8" s="1"/>
  <c r="AJ134" i="8" s="1"/>
  <c r="AJ135" i="8" s="1"/>
  <c r="AJ136" i="8" s="1"/>
  <c r="AJ137" i="8" s="1"/>
  <c r="AJ138" i="8" s="1"/>
  <c r="AJ139" i="8" s="1"/>
  <c r="AJ140" i="8" s="1"/>
  <c r="AJ141" i="8" s="1"/>
  <c r="AJ142" i="8" s="1"/>
  <c r="AJ143" i="8" s="1"/>
  <c r="AJ144" i="8" s="1"/>
  <c r="AJ145" i="8" s="1"/>
  <c r="AJ146" i="8" s="1"/>
  <c r="AJ147" i="8" s="1"/>
  <c r="AJ148" i="8" s="1"/>
  <c r="AJ149" i="8" s="1"/>
  <c r="AJ150" i="8" s="1"/>
  <c r="AJ151" i="8" s="1"/>
  <c r="AJ152" i="8" s="1"/>
  <c r="AJ153" i="8" s="1"/>
  <c r="AJ154" i="8" s="1"/>
  <c r="AJ155" i="8" s="1"/>
  <c r="AJ156" i="8" s="1"/>
  <c r="AJ157" i="8" s="1"/>
  <c r="AJ158" i="8" s="1"/>
  <c r="AJ159" i="8" s="1"/>
  <c r="AJ160" i="8" s="1"/>
  <c r="AJ161" i="8" s="1"/>
  <c r="AJ162" i="8" s="1"/>
  <c r="AJ163" i="8" s="1"/>
  <c r="AJ164" i="8" s="1"/>
  <c r="AJ165" i="8" s="1"/>
  <c r="AJ166" i="8" s="1"/>
  <c r="AJ167" i="8" s="1"/>
  <c r="AJ168" i="8" s="1"/>
  <c r="AJ169" i="8" s="1"/>
  <c r="AJ170" i="8" s="1"/>
  <c r="AJ171" i="8" s="1"/>
  <c r="AJ172" i="8" s="1"/>
  <c r="AJ173" i="8" s="1"/>
  <c r="AJ174" i="8" s="1"/>
  <c r="AJ175" i="8" s="1"/>
  <c r="AJ176" i="8" s="1"/>
  <c r="AJ177" i="8" s="1"/>
  <c r="AJ178" i="8" s="1"/>
  <c r="AJ179" i="8" s="1"/>
  <c r="AJ180" i="8" s="1"/>
  <c r="AJ181" i="8" s="1"/>
  <c r="AJ182" i="8" s="1"/>
  <c r="AJ183" i="8" s="1"/>
  <c r="AJ184" i="8" s="1"/>
  <c r="AJ185" i="8" s="1"/>
  <c r="AJ186" i="8" s="1"/>
  <c r="AJ187" i="8" s="1"/>
  <c r="AJ188" i="8" s="1"/>
  <c r="AJ189" i="8" s="1"/>
  <c r="AJ190" i="8" s="1"/>
  <c r="AJ191" i="8" s="1"/>
  <c r="AJ192" i="8" s="1"/>
  <c r="AJ193" i="8" s="1"/>
  <c r="AJ194" i="8" s="1"/>
  <c r="AJ195" i="8" s="1"/>
  <c r="AJ196" i="8" s="1"/>
  <c r="AJ197" i="8" s="1"/>
  <c r="AJ198" i="8" s="1"/>
  <c r="AJ199" i="8" s="1"/>
  <c r="AJ200" i="8" s="1"/>
  <c r="AJ201" i="8" s="1"/>
  <c r="AJ202" i="8" s="1"/>
  <c r="AJ203" i="8" s="1"/>
  <c r="AJ204" i="8" s="1"/>
  <c r="AJ205" i="8" s="1"/>
  <c r="AJ206" i="8" s="1"/>
  <c r="AJ207" i="8" s="1"/>
  <c r="AJ208" i="8" s="1"/>
  <c r="AJ209" i="8" s="1"/>
  <c r="AJ210" i="8" s="1"/>
  <c r="AJ211" i="8" s="1"/>
  <c r="AJ212" i="8" s="1"/>
  <c r="AJ213" i="8" s="1"/>
  <c r="AJ214" i="8" s="1"/>
  <c r="AJ215" i="8" s="1"/>
  <c r="AJ216" i="8" s="1"/>
  <c r="AJ217" i="8" s="1"/>
  <c r="AJ218" i="8" s="1"/>
  <c r="AJ219" i="8" s="1"/>
  <c r="AJ220" i="8" s="1"/>
  <c r="AJ221" i="8" s="1"/>
  <c r="AJ222" i="8" s="1"/>
  <c r="AJ223" i="8" s="1"/>
  <c r="AJ224" i="8" s="1"/>
  <c r="AJ225" i="8" s="1"/>
  <c r="AJ226" i="8" s="1"/>
  <c r="AJ227" i="8" s="1"/>
  <c r="AJ228" i="8" s="1"/>
  <c r="AJ229" i="8" s="1"/>
  <c r="AJ230" i="8" s="1"/>
  <c r="AJ231" i="8" s="1"/>
  <c r="AJ232" i="8" s="1"/>
  <c r="AJ233" i="8" s="1"/>
  <c r="AJ234" i="8" s="1"/>
  <c r="AJ235" i="8" s="1"/>
  <c r="AJ236" i="8" s="1"/>
  <c r="AJ237" i="8" s="1"/>
  <c r="AJ238" i="8" s="1"/>
  <c r="AJ239" i="8" s="1"/>
  <c r="AJ240" i="8" s="1"/>
  <c r="AJ241" i="8" s="1"/>
  <c r="AJ242" i="8" s="1"/>
  <c r="AJ243" i="8" s="1"/>
  <c r="AJ244" i="8" s="1"/>
  <c r="AJ245" i="8" s="1"/>
  <c r="AJ246" i="8" s="1"/>
  <c r="AJ247" i="8" s="1"/>
  <c r="AJ248" i="8" s="1"/>
  <c r="AJ249" i="8" s="1"/>
  <c r="AJ250" i="8" s="1"/>
  <c r="AJ251" i="8" s="1"/>
  <c r="AJ252" i="8" s="1"/>
  <c r="AJ253" i="8" s="1"/>
  <c r="AJ254" i="8" s="1"/>
  <c r="AJ255" i="8" s="1"/>
  <c r="AJ256" i="8" s="1"/>
  <c r="AJ257" i="8" s="1"/>
  <c r="AJ258" i="8" s="1"/>
  <c r="AJ259" i="8" s="1"/>
  <c r="AJ260" i="8" s="1"/>
  <c r="AJ261" i="8" s="1"/>
  <c r="AJ262" i="8" s="1"/>
  <c r="AJ263" i="8" s="1"/>
  <c r="AJ264" i="8" s="1"/>
  <c r="AJ66" i="8"/>
  <c r="BJ88" i="8" l="1"/>
  <c r="BK88" i="8" s="1"/>
  <c r="BL88" i="8"/>
  <c r="BM88" i="8" s="1"/>
  <c r="BM64" i="8"/>
  <c r="BJ64" i="8"/>
  <c r="BK64" i="8" s="1"/>
  <c r="BL83" i="8"/>
  <c r="BM83" i="8" s="1"/>
  <c r="BJ83" i="8"/>
  <c r="BK83" i="8" s="1"/>
  <c r="BL67" i="8"/>
  <c r="BM67" i="8" s="1"/>
  <c r="BJ67" i="8"/>
  <c r="BK67" i="8" s="1"/>
  <c r="BJ80" i="8"/>
  <c r="BK80" i="8" s="1"/>
  <c r="BL80" i="8"/>
  <c r="BM80" i="8" s="1"/>
  <c r="BL107" i="8"/>
  <c r="BM107" i="8" s="1"/>
  <c r="BJ107" i="8"/>
  <c r="BK107" i="8" s="1"/>
  <c r="BL91" i="8"/>
  <c r="BM91" i="8" s="1"/>
  <c r="BJ91" i="8"/>
  <c r="BK91" i="8" s="1"/>
  <c r="BJ114" i="8"/>
  <c r="BK114" i="8" s="1"/>
  <c r="BL114" i="8"/>
  <c r="BM114" i="8" s="1"/>
  <c r="BJ98" i="8"/>
  <c r="BK98" i="8" s="1"/>
  <c r="BL98" i="8"/>
  <c r="BM98" i="8" s="1"/>
  <c r="BJ82" i="8"/>
  <c r="BK82" i="8" s="1"/>
  <c r="BL82" i="8"/>
  <c r="BM82" i="8" s="1"/>
  <c r="BJ66" i="8"/>
  <c r="BK66" i="8" s="1"/>
  <c r="BL66" i="8"/>
  <c r="BM66" i="8" s="1"/>
  <c r="BJ96" i="8"/>
  <c r="BK96" i="8" s="1"/>
  <c r="BL96" i="8"/>
  <c r="BM96" i="8" s="1"/>
  <c r="BL99" i="8"/>
  <c r="BM99" i="8" s="1"/>
  <c r="BJ99" i="8"/>
  <c r="BK99" i="8" s="1"/>
  <c r="BL75" i="8"/>
  <c r="BM75" i="8" s="1"/>
  <c r="BJ75" i="8"/>
  <c r="BK75" i="8" s="1"/>
  <c r="BJ106" i="8"/>
  <c r="BK106" i="8" s="1"/>
  <c r="BL106" i="8"/>
  <c r="BM106" i="8" s="1"/>
  <c r="BJ90" i="8"/>
  <c r="BK90" i="8" s="1"/>
  <c r="BL90" i="8"/>
  <c r="BM90" i="8" s="1"/>
  <c r="BJ74" i="8"/>
  <c r="BK74" i="8" s="1"/>
  <c r="BL74" i="8"/>
  <c r="BM74" i="8" s="1"/>
  <c r="BL113" i="8"/>
  <c r="BM113" i="8" s="1"/>
  <c r="BJ113" i="8"/>
  <c r="BK113" i="8" s="1"/>
  <c r="BL105" i="8"/>
  <c r="BM105" i="8" s="1"/>
  <c r="BJ105" i="8"/>
  <c r="BK105" i="8" s="1"/>
  <c r="BJ97" i="8"/>
  <c r="BK97" i="8" s="1"/>
  <c r="BL97" i="8"/>
  <c r="BM97" i="8" s="1"/>
  <c r="BJ89" i="8"/>
  <c r="BK89" i="8" s="1"/>
  <c r="BL89" i="8"/>
  <c r="BM89" i="8" s="1"/>
  <c r="BJ81" i="8"/>
  <c r="BK81" i="8" s="1"/>
  <c r="BL81" i="8"/>
  <c r="BM81" i="8" s="1"/>
  <c r="BJ73" i="8"/>
  <c r="BK73" i="8" s="1"/>
  <c r="BL73" i="8"/>
  <c r="BM73" i="8" s="1"/>
  <c r="BJ65" i="8"/>
  <c r="BK65" i="8" s="1"/>
  <c r="BL65" i="8"/>
  <c r="BM65" i="8" s="1"/>
  <c r="BA96" i="8"/>
  <c r="BA88" i="8"/>
  <c r="BA80" i="8"/>
  <c r="BL112" i="8"/>
  <c r="BM112" i="8" s="1"/>
  <c r="BJ112" i="8"/>
  <c r="BK112" i="8" s="1"/>
  <c r="BL103" i="8"/>
  <c r="BM103" i="8" s="1"/>
  <c r="BJ103" i="8"/>
  <c r="BK103" i="8" s="1"/>
  <c r="BJ95" i="8"/>
  <c r="BK95" i="8" s="1"/>
  <c r="BL95" i="8"/>
  <c r="BM95" i="8" s="1"/>
  <c r="BL87" i="8"/>
  <c r="BM87" i="8" s="1"/>
  <c r="BJ87" i="8"/>
  <c r="BK87" i="8" s="1"/>
  <c r="BL79" i="8"/>
  <c r="BM79" i="8" s="1"/>
  <c r="BJ79" i="8"/>
  <c r="BK79" i="8" s="1"/>
  <c r="BL71" i="8"/>
  <c r="BM71" i="8" s="1"/>
  <c r="BJ71" i="8"/>
  <c r="BK71" i="8" s="1"/>
  <c r="BL102" i="8"/>
  <c r="BM102" i="8" s="1"/>
  <c r="BJ102" i="8"/>
  <c r="BK102" i="8" s="1"/>
  <c r="BL94" i="8"/>
  <c r="BM94" i="8" s="1"/>
  <c r="BJ94" i="8"/>
  <c r="BK94" i="8" s="1"/>
  <c r="BL86" i="8"/>
  <c r="BM86" i="8" s="1"/>
  <c r="BJ86" i="8"/>
  <c r="BK86" i="8" s="1"/>
  <c r="BL78" i="8"/>
  <c r="BM78" i="8" s="1"/>
  <c r="BJ78" i="8"/>
  <c r="BK78" i="8" s="1"/>
  <c r="BL70" i="8"/>
  <c r="BM70" i="8" s="1"/>
  <c r="BJ70" i="8"/>
  <c r="BK70" i="8" s="1"/>
  <c r="BL104" i="8"/>
  <c r="BM104" i="8" s="1"/>
  <c r="BJ104" i="8"/>
  <c r="BK104" i="8" s="1"/>
  <c r="BL111" i="8"/>
  <c r="BM111" i="8" s="1"/>
  <c r="BJ111" i="8"/>
  <c r="BK111" i="8" s="1"/>
  <c r="BJ110" i="8"/>
  <c r="BK110" i="8" s="1"/>
  <c r="BL110" i="8"/>
  <c r="BM110" i="8" s="1"/>
  <c r="BL109" i="8"/>
  <c r="BM109" i="8" s="1"/>
  <c r="BJ109" i="8"/>
  <c r="BK109" i="8" s="1"/>
  <c r="BL101" i="8"/>
  <c r="BM101" i="8" s="1"/>
  <c r="BJ101" i="8"/>
  <c r="BK101" i="8" s="1"/>
  <c r="BL93" i="8"/>
  <c r="BM93" i="8" s="1"/>
  <c r="BJ93" i="8"/>
  <c r="BK93" i="8" s="1"/>
  <c r="BL85" i="8"/>
  <c r="BM85" i="8" s="1"/>
  <c r="BJ85" i="8"/>
  <c r="BK85" i="8" s="1"/>
  <c r="BL77" i="8"/>
  <c r="BM77" i="8" s="1"/>
  <c r="BJ77" i="8"/>
  <c r="BK77" i="8" s="1"/>
  <c r="BL69" i="8"/>
  <c r="BM69" i="8" s="1"/>
  <c r="BJ69" i="8"/>
  <c r="BK69" i="8" s="1"/>
  <c r="BJ72" i="8"/>
  <c r="BK72" i="8" s="1"/>
  <c r="BL72" i="8"/>
  <c r="BM72" i="8" s="1"/>
  <c r="BL108" i="8"/>
  <c r="BM108" i="8" s="1"/>
  <c r="BJ108" i="8"/>
  <c r="BK108" i="8" s="1"/>
  <c r="BL100" i="8"/>
  <c r="BM100" i="8" s="1"/>
  <c r="BJ100" i="8"/>
  <c r="BK100" i="8" s="1"/>
  <c r="BL92" i="8"/>
  <c r="BM92" i="8" s="1"/>
  <c r="BJ92" i="8"/>
  <c r="BK92" i="8" s="1"/>
  <c r="BL84" i="8"/>
  <c r="BM84" i="8" s="1"/>
  <c r="BJ84" i="8"/>
  <c r="BK84" i="8" s="1"/>
  <c r="BL76" i="8"/>
  <c r="BM76" i="8" s="1"/>
  <c r="BJ76" i="8"/>
  <c r="BK76" i="8" s="1"/>
  <c r="BL68" i="8"/>
  <c r="BM68" i="8" s="1"/>
  <c r="BJ68" i="8"/>
  <c r="BK68" i="8" s="1"/>
  <c r="BA64" i="8"/>
  <c r="BA107" i="8"/>
  <c r="BA99" i="8"/>
  <c r="BA91" i="8"/>
  <c r="BA83" i="8"/>
  <c r="BA75" i="8"/>
  <c r="BA67" i="8"/>
  <c r="B57" i="8"/>
  <c r="B58" i="8" s="1"/>
  <c r="B56" i="8"/>
  <c r="BL60" i="8" l="1"/>
  <c r="BJ60" i="8"/>
  <c r="R26" i="12"/>
  <c r="S26" i="12" s="1"/>
  <c r="R25" i="12"/>
  <c r="S25" i="12" s="1"/>
  <c r="L24" i="12"/>
  <c r="M24" i="12" s="1"/>
  <c r="I23" i="12"/>
  <c r="J23" i="12" s="1"/>
  <c r="R17" i="12"/>
  <c r="L16" i="12"/>
  <c r="M16" i="12" s="1"/>
  <c r="D35" i="12"/>
  <c r="R27" i="12"/>
  <c r="S27" i="12" s="1"/>
  <c r="O27" i="12"/>
  <c r="P27" i="12" s="1"/>
  <c r="L27" i="12"/>
  <c r="M27" i="12" s="1"/>
  <c r="I27" i="12"/>
  <c r="J27" i="12" s="1"/>
  <c r="O26" i="12"/>
  <c r="P26" i="12" s="1"/>
  <c r="L26" i="12"/>
  <c r="M26" i="12" s="1"/>
  <c r="I26" i="12"/>
  <c r="O25" i="12"/>
  <c r="P25" i="12" s="1"/>
  <c r="L25" i="12"/>
  <c r="M25" i="12" s="1"/>
  <c r="I25" i="12"/>
  <c r="J25" i="12" s="1"/>
  <c r="R24" i="12"/>
  <c r="O24" i="12"/>
  <c r="P24" i="12" s="1"/>
  <c r="I24" i="12"/>
  <c r="R23" i="12"/>
  <c r="S23" i="12" s="1"/>
  <c r="O23" i="12"/>
  <c r="P23" i="12" s="1"/>
  <c r="L23" i="12"/>
  <c r="M23" i="12" s="1"/>
  <c r="R22" i="12"/>
  <c r="O22" i="12"/>
  <c r="P22" i="12" s="1"/>
  <c r="L22" i="12"/>
  <c r="M22" i="12" s="1"/>
  <c r="I22" i="12"/>
  <c r="R21" i="12"/>
  <c r="S21" i="12" s="1"/>
  <c r="O21" i="12"/>
  <c r="P21" i="12" s="1"/>
  <c r="L21" i="12"/>
  <c r="M21" i="12" s="1"/>
  <c r="I21" i="12"/>
  <c r="J21" i="12" s="1"/>
  <c r="R20" i="12"/>
  <c r="O20" i="12"/>
  <c r="P20" i="12" s="1"/>
  <c r="L20" i="12"/>
  <c r="M20" i="12" s="1"/>
  <c r="I20" i="12"/>
  <c r="J20" i="12" s="1"/>
  <c r="R19" i="12"/>
  <c r="S19" i="12" s="1"/>
  <c r="O19" i="12"/>
  <c r="P19" i="12" s="1"/>
  <c r="L19" i="12"/>
  <c r="M19" i="12" s="1"/>
  <c r="I19" i="12"/>
  <c r="J19" i="12" s="1"/>
  <c r="R18" i="12"/>
  <c r="O18" i="12"/>
  <c r="P18" i="12" s="1"/>
  <c r="L18" i="12"/>
  <c r="M18" i="12" s="1"/>
  <c r="I18" i="12"/>
  <c r="J18" i="12"/>
  <c r="S17" i="12"/>
  <c r="O17" i="12"/>
  <c r="P17" i="12" s="1"/>
  <c r="L17" i="12"/>
  <c r="M17" i="12" s="1"/>
  <c r="I17" i="12"/>
  <c r="J17" i="12" s="1"/>
  <c r="R16" i="12"/>
  <c r="O16" i="12"/>
  <c r="P16" i="12" s="1"/>
  <c r="I16" i="12"/>
  <c r="D41" i="12"/>
  <c r="C13" i="12"/>
  <c r="C27" i="12" s="1"/>
  <c r="B13" i="12"/>
  <c r="B27" i="12" s="1"/>
  <c r="A13" i="12"/>
  <c r="A27" i="12" s="1"/>
  <c r="D40" i="12"/>
  <c r="C12" i="12"/>
  <c r="C40" i="12" s="1"/>
  <c r="B12" i="12"/>
  <c r="B40" i="12" s="1"/>
  <c r="A12" i="12"/>
  <c r="A40" i="12" s="1"/>
  <c r="D39" i="12"/>
  <c r="C11" i="12"/>
  <c r="C39" i="12" s="1"/>
  <c r="B11" i="12"/>
  <c r="B39" i="12" s="1"/>
  <c r="A11" i="12"/>
  <c r="A25" i="12" s="1"/>
  <c r="D38" i="12"/>
  <c r="C10" i="12"/>
  <c r="C38" i="12" s="1"/>
  <c r="B10" i="12"/>
  <c r="B38" i="12" s="1"/>
  <c r="A10" i="12"/>
  <c r="A38" i="12" s="1"/>
  <c r="D37" i="12"/>
  <c r="C9" i="12"/>
  <c r="C23" i="12" s="1"/>
  <c r="B9" i="12"/>
  <c r="B37" i="12" s="1"/>
  <c r="A9" i="12"/>
  <c r="A23" i="12" s="1"/>
  <c r="D36" i="12"/>
  <c r="C8" i="12"/>
  <c r="C22" i="12" s="1"/>
  <c r="B8" i="12"/>
  <c r="B22" i="12" s="1"/>
  <c r="A8" i="12"/>
  <c r="A36" i="12" s="1"/>
  <c r="C7" i="12"/>
  <c r="C35" i="12" s="1"/>
  <c r="B7" i="12"/>
  <c r="B35" i="12" s="1"/>
  <c r="A7" i="12"/>
  <c r="A35" i="12" s="1"/>
  <c r="D34" i="12"/>
  <c r="C6" i="12"/>
  <c r="C20" i="12" s="1"/>
  <c r="B6" i="12"/>
  <c r="B20" i="12" s="1"/>
  <c r="A6" i="12"/>
  <c r="A20" i="12" s="1"/>
  <c r="D33" i="12"/>
  <c r="C5" i="12"/>
  <c r="C19" i="12" s="1"/>
  <c r="B5" i="12"/>
  <c r="B33" i="12" s="1"/>
  <c r="A5" i="12"/>
  <c r="A19" i="12" s="1"/>
  <c r="D32" i="12"/>
  <c r="C4" i="12"/>
  <c r="C32" i="12" s="1"/>
  <c r="B4" i="12"/>
  <c r="B32" i="12" s="1"/>
  <c r="A4" i="12"/>
  <c r="A32" i="12" s="1"/>
  <c r="D31" i="12"/>
  <c r="C3" i="12"/>
  <c r="C17" i="12" s="1"/>
  <c r="B3" i="12"/>
  <c r="B17" i="12" s="1"/>
  <c r="A3" i="12"/>
  <c r="A31" i="12" s="1"/>
  <c r="D30" i="12"/>
  <c r="C2" i="12"/>
  <c r="C30" i="12" s="1"/>
  <c r="B2" i="12"/>
  <c r="B30" i="12" s="1"/>
  <c r="A2" i="12"/>
  <c r="A16" i="12" s="1"/>
  <c r="D1" i="12"/>
  <c r="D29" i="12" s="1"/>
  <c r="C1" i="12"/>
  <c r="C15" i="12" s="1"/>
  <c r="B1" i="12"/>
  <c r="B15" i="12" s="1"/>
  <c r="A1" i="12"/>
  <c r="A29" i="12" s="1"/>
  <c r="R18" i="8"/>
  <c r="S18" i="8" s="1"/>
  <c r="O27" i="8"/>
  <c r="O24" i="8"/>
  <c r="O16" i="8"/>
  <c r="L19" i="8"/>
  <c r="A18" i="8"/>
  <c r="A15" i="8"/>
  <c r="A36" i="8"/>
  <c r="B36" i="8"/>
  <c r="B38" i="8"/>
  <c r="D40" i="8"/>
  <c r="T1" i="8"/>
  <c r="T3" i="8"/>
  <c r="T4" i="8"/>
  <c r="T5" i="8"/>
  <c r="T6" i="8"/>
  <c r="T7" i="8"/>
  <c r="T8" i="8"/>
  <c r="T9" i="8"/>
  <c r="T10" i="8"/>
  <c r="T11" i="8"/>
  <c r="T12" i="8"/>
  <c r="T13" i="8"/>
  <c r="P1" i="8"/>
  <c r="Q1" i="8"/>
  <c r="R1" i="8"/>
  <c r="S1" i="8"/>
  <c r="R2" i="8"/>
  <c r="R16" i="8"/>
  <c r="P3" i="8"/>
  <c r="O17" i="8" s="1"/>
  <c r="P17" i="8" s="1"/>
  <c r="Q17" i="8" s="1"/>
  <c r="Q3" i="8"/>
  <c r="R3" i="8"/>
  <c r="S3" i="8"/>
  <c r="R17" i="8" s="1"/>
  <c r="P4" i="8"/>
  <c r="O18" i="8" s="1"/>
  <c r="Q4" i="8"/>
  <c r="R4" i="8"/>
  <c r="S4" i="8"/>
  <c r="P5" i="8"/>
  <c r="O19" i="8" s="1"/>
  <c r="Q5" i="8"/>
  <c r="R5" i="8"/>
  <c r="S5" i="8"/>
  <c r="R19" i="8" s="1"/>
  <c r="P6" i="8"/>
  <c r="O20" i="8" s="1"/>
  <c r="Q6" i="8"/>
  <c r="R6" i="8"/>
  <c r="S6" i="8"/>
  <c r="R20" i="8" s="1"/>
  <c r="P7" i="8"/>
  <c r="O21" i="8" s="1"/>
  <c r="Q7" i="8"/>
  <c r="R7" i="8"/>
  <c r="S7" i="8"/>
  <c r="R21" i="8" s="1"/>
  <c r="P8" i="8"/>
  <c r="O22" i="8" s="1"/>
  <c r="Q8" i="8"/>
  <c r="R8" i="8"/>
  <c r="S8" i="8"/>
  <c r="R22" i="8" s="1"/>
  <c r="S22" i="8" s="1"/>
  <c r="P9" i="8"/>
  <c r="O23" i="8" s="1"/>
  <c r="Q9" i="8"/>
  <c r="R9" i="8"/>
  <c r="S9" i="8"/>
  <c r="R23" i="8" s="1"/>
  <c r="P10" i="8"/>
  <c r="R10" i="8"/>
  <c r="S10" i="8"/>
  <c r="R24" i="8" s="1"/>
  <c r="P11" i="8"/>
  <c r="O25" i="8" s="1"/>
  <c r="R11" i="8"/>
  <c r="S25" i="8" s="1"/>
  <c r="S11" i="8"/>
  <c r="R25" i="8" s="1"/>
  <c r="P12" i="8"/>
  <c r="O26" i="8" s="1"/>
  <c r="Q12" i="8"/>
  <c r="R12" i="8"/>
  <c r="S12" i="8"/>
  <c r="R26" i="8" s="1"/>
  <c r="P13" i="8"/>
  <c r="Q13" i="8"/>
  <c r="R13" i="8"/>
  <c r="S13" i="8"/>
  <c r="R27" i="8" s="1"/>
  <c r="A2" i="8"/>
  <c r="A16" i="8" s="1"/>
  <c r="B2" i="8"/>
  <c r="B30" i="8" s="1"/>
  <c r="C2" i="8"/>
  <c r="C30" i="8" s="1"/>
  <c r="D30" i="8"/>
  <c r="E2" i="8"/>
  <c r="F2" i="8"/>
  <c r="G2" i="8"/>
  <c r="H2" i="8"/>
  <c r="I2" i="8"/>
  <c r="I16" i="8"/>
  <c r="L2" i="8"/>
  <c r="L16" i="8"/>
  <c r="O2" i="8"/>
  <c r="A3" i="8"/>
  <c r="B3" i="8"/>
  <c r="B31" i="8" s="1"/>
  <c r="C3" i="8"/>
  <c r="C31" i="8" s="1"/>
  <c r="E3" i="8"/>
  <c r="F3" i="8"/>
  <c r="G3" i="8"/>
  <c r="H3" i="8"/>
  <c r="I3" i="8"/>
  <c r="I17" i="8"/>
  <c r="L3" i="8"/>
  <c r="M3" i="8"/>
  <c r="L17" i="8" s="1"/>
  <c r="N3" i="8"/>
  <c r="O3" i="8"/>
  <c r="A4" i="8"/>
  <c r="A32" i="8" s="1"/>
  <c r="B4" i="8"/>
  <c r="C4" i="8"/>
  <c r="C32" i="8" s="1"/>
  <c r="D32" i="8"/>
  <c r="E4" i="8"/>
  <c r="F4" i="8"/>
  <c r="G4" i="8"/>
  <c r="H4" i="8"/>
  <c r="I4" i="8"/>
  <c r="J4" i="8"/>
  <c r="I18" i="8" s="1"/>
  <c r="K4" i="8"/>
  <c r="L4" i="8"/>
  <c r="M4" i="8"/>
  <c r="L18" i="8" s="1"/>
  <c r="N4" i="8"/>
  <c r="O4" i="8"/>
  <c r="A5" i="8"/>
  <c r="A33" i="8" s="1"/>
  <c r="B5" i="8"/>
  <c r="C5" i="8"/>
  <c r="E5" i="8"/>
  <c r="F5" i="8"/>
  <c r="G5" i="8"/>
  <c r="H5" i="8"/>
  <c r="I5" i="8"/>
  <c r="J5" i="8"/>
  <c r="I19" i="8" s="1"/>
  <c r="K5" i="8"/>
  <c r="L5" i="8"/>
  <c r="M5" i="8"/>
  <c r="N5" i="8"/>
  <c r="O5" i="8"/>
  <c r="A6" i="8"/>
  <c r="A34" i="8" s="1"/>
  <c r="B6" i="8"/>
  <c r="B34" i="8" s="1"/>
  <c r="C6" i="8"/>
  <c r="C34" i="8" s="1"/>
  <c r="D34" i="8"/>
  <c r="E6" i="8"/>
  <c r="F6" i="8"/>
  <c r="G6" i="8"/>
  <c r="H6" i="8"/>
  <c r="I6" i="8"/>
  <c r="J20" i="8" s="1"/>
  <c r="J6" i="8"/>
  <c r="I20" i="8" s="1"/>
  <c r="K6" i="8"/>
  <c r="L6" i="8"/>
  <c r="M6" i="8"/>
  <c r="L20" i="8" s="1"/>
  <c r="N6" i="8"/>
  <c r="O6" i="8"/>
  <c r="A7" i="8"/>
  <c r="A35" i="8" s="1"/>
  <c r="B7" i="8"/>
  <c r="B35" i="8" s="1"/>
  <c r="C7" i="8"/>
  <c r="C35" i="8" s="1"/>
  <c r="E7" i="8"/>
  <c r="F7" i="8"/>
  <c r="G7" i="8"/>
  <c r="H7" i="8"/>
  <c r="I7" i="8"/>
  <c r="J7" i="8"/>
  <c r="I21" i="8" s="1"/>
  <c r="K7" i="8"/>
  <c r="L7" i="8"/>
  <c r="M7" i="8"/>
  <c r="L21" i="8" s="1"/>
  <c r="N7" i="8"/>
  <c r="O7" i="8"/>
  <c r="A8" i="8"/>
  <c r="A22" i="8" s="1"/>
  <c r="B8" i="8"/>
  <c r="B22" i="8" s="1"/>
  <c r="C8" i="8"/>
  <c r="C36" i="8" s="1"/>
  <c r="D36" i="8"/>
  <c r="E8" i="8"/>
  <c r="F8" i="8"/>
  <c r="G8" i="8"/>
  <c r="H8" i="8"/>
  <c r="I8" i="8"/>
  <c r="J8" i="8"/>
  <c r="I22" i="8" s="1"/>
  <c r="K8" i="8"/>
  <c r="L8" i="8"/>
  <c r="M8" i="8"/>
  <c r="L22" i="8" s="1"/>
  <c r="M22" i="8" s="1"/>
  <c r="N8" i="8"/>
  <c r="O8" i="8"/>
  <c r="A9" i="8"/>
  <c r="A37" i="8" s="1"/>
  <c r="B9" i="8"/>
  <c r="B37" i="8" s="1"/>
  <c r="C9" i="8"/>
  <c r="C37" i="8" s="1"/>
  <c r="E9" i="8"/>
  <c r="F9" i="8"/>
  <c r="G9" i="8"/>
  <c r="H9" i="8"/>
  <c r="I9" i="8"/>
  <c r="J9" i="8"/>
  <c r="I23" i="8" s="1"/>
  <c r="K9" i="8"/>
  <c r="L9" i="8"/>
  <c r="M9" i="8"/>
  <c r="L23" i="8" s="1"/>
  <c r="M23" i="8" s="1"/>
  <c r="N9" i="8"/>
  <c r="O9" i="8"/>
  <c r="A10" i="8"/>
  <c r="A24" i="8" s="1"/>
  <c r="B10" i="8"/>
  <c r="B24" i="8" s="1"/>
  <c r="C10" i="8"/>
  <c r="C38" i="8" s="1"/>
  <c r="D38" i="8"/>
  <c r="E10" i="8"/>
  <c r="F10" i="8"/>
  <c r="G10" i="8"/>
  <c r="H10" i="8"/>
  <c r="I10" i="8"/>
  <c r="J10" i="8"/>
  <c r="I24" i="8" s="1"/>
  <c r="L10" i="8"/>
  <c r="M10" i="8"/>
  <c r="L24" i="8" s="1"/>
  <c r="O10" i="8"/>
  <c r="A11" i="8"/>
  <c r="B11" i="8"/>
  <c r="B39" i="8" s="1"/>
  <c r="C11" i="8"/>
  <c r="C39" i="8" s="1"/>
  <c r="E11" i="8"/>
  <c r="F11" i="8"/>
  <c r="G11" i="8"/>
  <c r="H11" i="8"/>
  <c r="I11" i="8"/>
  <c r="J11" i="8"/>
  <c r="I25" i="8" s="1"/>
  <c r="J25" i="8" s="1"/>
  <c r="L11" i="8"/>
  <c r="M11" i="8"/>
  <c r="L25" i="8" s="1"/>
  <c r="O11" i="8"/>
  <c r="A12" i="8"/>
  <c r="A40" i="8" s="1"/>
  <c r="B12" i="8"/>
  <c r="C12" i="8"/>
  <c r="C40" i="8" s="1"/>
  <c r="E12" i="8"/>
  <c r="F12" i="8"/>
  <c r="G12" i="8"/>
  <c r="H12" i="8"/>
  <c r="I12" i="8"/>
  <c r="J12" i="8"/>
  <c r="I26" i="8" s="1"/>
  <c r="K12" i="8"/>
  <c r="L12" i="8"/>
  <c r="M12" i="8"/>
  <c r="L26" i="8" s="1"/>
  <c r="M26" i="8" s="1"/>
  <c r="N12" i="8"/>
  <c r="O12" i="8"/>
  <c r="A13" i="8"/>
  <c r="A41" i="8" s="1"/>
  <c r="B13" i="8"/>
  <c r="C13" i="8"/>
  <c r="E13" i="8"/>
  <c r="F13" i="8"/>
  <c r="G13" i="8"/>
  <c r="H13" i="8"/>
  <c r="I13" i="8"/>
  <c r="J13" i="8"/>
  <c r="I27" i="8" s="1"/>
  <c r="K13" i="8"/>
  <c r="L13" i="8"/>
  <c r="M13" i="8"/>
  <c r="L27" i="8" s="1"/>
  <c r="N13" i="8"/>
  <c r="O13" i="8"/>
  <c r="B1" i="8"/>
  <c r="B29" i="8" s="1"/>
  <c r="C1" i="8"/>
  <c r="C15" i="8" s="1"/>
  <c r="D1" i="8"/>
  <c r="D29" i="8" s="1"/>
  <c r="E1" i="8"/>
  <c r="F1" i="8"/>
  <c r="G1" i="8"/>
  <c r="H1" i="8"/>
  <c r="I1" i="8"/>
  <c r="J1" i="8"/>
  <c r="K1" i="8"/>
  <c r="L1" i="8"/>
  <c r="M1" i="8"/>
  <c r="N1" i="8"/>
  <c r="O1" i="8"/>
  <c r="A1" i="8"/>
  <c r="A29" i="8" s="1"/>
  <c r="L8" i="7"/>
  <c r="O8" i="7"/>
  <c r="R8" i="7"/>
  <c r="R11" i="7"/>
  <c r="O11" i="7"/>
  <c r="L11" i="7"/>
  <c r="L3" i="7"/>
  <c r="L4" i="7"/>
  <c r="L5" i="7"/>
  <c r="L6" i="7"/>
  <c r="L7" i="7"/>
  <c r="L9" i="7"/>
  <c r="L10" i="7"/>
  <c r="L12" i="7"/>
  <c r="L13" i="7"/>
  <c r="L2" i="7"/>
  <c r="R3" i="7"/>
  <c r="R4" i="7"/>
  <c r="R5" i="7"/>
  <c r="R6" i="7"/>
  <c r="R7" i="7"/>
  <c r="R9" i="7"/>
  <c r="R10" i="7"/>
  <c r="R12" i="7"/>
  <c r="R13" i="7"/>
  <c r="R2" i="7"/>
  <c r="O3" i="7"/>
  <c r="O4" i="7"/>
  <c r="O5" i="7"/>
  <c r="O6" i="7"/>
  <c r="O7" i="7"/>
  <c r="O9" i="7"/>
  <c r="O10" i="7"/>
  <c r="O12" i="7"/>
  <c r="O13" i="7"/>
  <c r="O2" i="7"/>
  <c r="C4" i="6"/>
  <c r="C5" i="6"/>
  <c r="C6" i="6"/>
  <c r="C7" i="6"/>
  <c r="C8" i="6"/>
  <c r="C9" i="6"/>
  <c r="C10" i="6"/>
  <c r="C11" i="6"/>
  <c r="C12" i="6"/>
  <c r="C13" i="6"/>
  <c r="C14" i="6"/>
  <c r="C3" i="6"/>
  <c r="C29" i="12" l="1"/>
  <c r="AC55" i="8"/>
  <c r="AB55" i="8" s="1"/>
  <c r="J21" i="8"/>
  <c r="W49" i="8" s="1"/>
  <c r="N53" i="8"/>
  <c r="N40" i="8"/>
  <c r="P21" i="8"/>
  <c r="AC49" i="8" s="1"/>
  <c r="I39" i="8"/>
  <c r="L37" i="8"/>
  <c r="N33" i="8"/>
  <c r="N46" i="8"/>
  <c r="M46" i="8" s="1"/>
  <c r="T39" i="8"/>
  <c r="T52" i="8"/>
  <c r="S52" i="8" s="1"/>
  <c r="T44" i="8"/>
  <c r="S44" i="8" s="1"/>
  <c r="N41" i="8"/>
  <c r="N54" i="8"/>
  <c r="L40" i="8"/>
  <c r="M24" i="8"/>
  <c r="Z52" i="8" s="1"/>
  <c r="K37" i="8"/>
  <c r="K50" i="8"/>
  <c r="J50" i="8" s="1"/>
  <c r="N34" i="8"/>
  <c r="N47" i="8"/>
  <c r="K32" i="8"/>
  <c r="K45" i="8"/>
  <c r="J45" i="8" s="1"/>
  <c r="I31" i="8"/>
  <c r="O30" i="8"/>
  <c r="T51" i="8"/>
  <c r="S51" i="8" s="1"/>
  <c r="C25" i="8"/>
  <c r="Q49" i="8"/>
  <c r="P49" i="8" s="1"/>
  <c r="Q36" i="8"/>
  <c r="Q47" i="8"/>
  <c r="P47" i="8" s="1"/>
  <c r="Q34" i="8"/>
  <c r="Q45" i="8"/>
  <c r="Q32" i="8"/>
  <c r="T50" i="8"/>
  <c r="S50" i="8" s="1"/>
  <c r="C29" i="8"/>
  <c r="C23" i="8"/>
  <c r="J24" i="8"/>
  <c r="W52" i="8" s="1"/>
  <c r="I37" i="8"/>
  <c r="N35" i="8"/>
  <c r="N48" i="8"/>
  <c r="K33" i="8"/>
  <c r="K46" i="8"/>
  <c r="J46" i="8" s="1"/>
  <c r="P18" i="8"/>
  <c r="T49" i="8"/>
  <c r="S49" i="8" s="1"/>
  <c r="B23" i="8"/>
  <c r="K40" i="8"/>
  <c r="K53" i="8"/>
  <c r="L38" i="8"/>
  <c r="O35" i="8"/>
  <c r="M27" i="8"/>
  <c r="N27" i="8" s="1"/>
  <c r="L41" i="8"/>
  <c r="K54" i="8"/>
  <c r="J54" i="8" s="1"/>
  <c r="K41" i="8"/>
  <c r="I40" i="8"/>
  <c r="O39" i="8"/>
  <c r="I38" i="8"/>
  <c r="N36" i="8"/>
  <c r="N49" i="8"/>
  <c r="K34" i="8"/>
  <c r="K47" i="8"/>
  <c r="J47" i="8" s="1"/>
  <c r="O31" i="8"/>
  <c r="Q53" i="8"/>
  <c r="Q40" i="8"/>
  <c r="T48" i="8"/>
  <c r="A23" i="8"/>
  <c r="I33" i="8"/>
  <c r="O32" i="8"/>
  <c r="N31" i="8"/>
  <c r="N44" i="8"/>
  <c r="M44" i="8" s="1"/>
  <c r="I30" i="8"/>
  <c r="W44" i="8"/>
  <c r="I64" i="8" s="1"/>
  <c r="I86" i="8" s="1"/>
  <c r="P26" i="8"/>
  <c r="T47" i="8"/>
  <c r="A21" i="8"/>
  <c r="O40" i="8"/>
  <c r="L36" i="8"/>
  <c r="K35" i="8"/>
  <c r="K48" i="8"/>
  <c r="J48" i="8" s="1"/>
  <c r="I34" i="8"/>
  <c r="N32" i="8"/>
  <c r="N45" i="8"/>
  <c r="M45" i="8" s="1"/>
  <c r="Q37" i="8"/>
  <c r="Q50" i="8"/>
  <c r="P50" i="8" s="1"/>
  <c r="Q35" i="8"/>
  <c r="Q48" i="8"/>
  <c r="Q33" i="8"/>
  <c r="Q46" i="8"/>
  <c r="Q44" i="8"/>
  <c r="P44" i="8" s="1"/>
  <c r="Q31" i="8"/>
  <c r="T54" i="8"/>
  <c r="T46" i="8"/>
  <c r="S46" i="8" s="1"/>
  <c r="M19" i="8"/>
  <c r="Z47" i="8" s="1"/>
  <c r="P27" i="8"/>
  <c r="K36" i="8"/>
  <c r="K49" i="8"/>
  <c r="J49" i="8" s="1"/>
  <c r="T53" i="8"/>
  <c r="T45" i="8"/>
  <c r="S45" i="8" s="1"/>
  <c r="T32" i="8"/>
  <c r="A30" i="8"/>
  <c r="C17" i="8"/>
  <c r="I41" i="8"/>
  <c r="N37" i="8"/>
  <c r="N50" i="8"/>
  <c r="M50" i="8" s="1"/>
  <c r="P19" i="8"/>
  <c r="O33" i="8"/>
  <c r="L31" i="8"/>
  <c r="O41" i="8"/>
  <c r="I35" i="8"/>
  <c r="Q54" i="8"/>
  <c r="Q41" i="8"/>
  <c r="R37" i="12"/>
  <c r="AF65" i="12"/>
  <c r="AE65" i="12" s="1"/>
  <c r="Z62" i="12"/>
  <c r="Y62" i="12" s="1"/>
  <c r="L34" i="12"/>
  <c r="T26" i="12"/>
  <c r="T54" i="12" s="1"/>
  <c r="R40" i="12"/>
  <c r="AF68" i="12"/>
  <c r="AE68" i="12" s="1"/>
  <c r="O31" i="12"/>
  <c r="AC59" i="12"/>
  <c r="AB59" i="12" s="1"/>
  <c r="O34" i="12"/>
  <c r="AC62" i="12"/>
  <c r="AB62" i="12" s="1"/>
  <c r="R31" i="12"/>
  <c r="AF59" i="12"/>
  <c r="AE59" i="12" s="1"/>
  <c r="Z61" i="12"/>
  <c r="Y61" i="12" s="1"/>
  <c r="L33" i="12"/>
  <c r="L38" i="12"/>
  <c r="Z66" i="12"/>
  <c r="Y66" i="12" s="1"/>
  <c r="L40" i="12"/>
  <c r="Z68" i="12"/>
  <c r="Y68" i="12" s="1"/>
  <c r="I32" i="12"/>
  <c r="W60" i="12"/>
  <c r="V60" i="12" s="1"/>
  <c r="O33" i="12"/>
  <c r="AC61" i="12"/>
  <c r="AB61" i="12" s="1"/>
  <c r="I35" i="12"/>
  <c r="W63" i="12"/>
  <c r="V63" i="12" s="1"/>
  <c r="O36" i="12"/>
  <c r="AC64" i="12"/>
  <c r="AB64" i="12" s="1"/>
  <c r="O38" i="12"/>
  <c r="AC66" i="12"/>
  <c r="AB66" i="12" s="1"/>
  <c r="Z58" i="12"/>
  <c r="Y58" i="12" s="1"/>
  <c r="L30" i="12"/>
  <c r="R33" i="12"/>
  <c r="AF61" i="12"/>
  <c r="AE61" i="12" s="1"/>
  <c r="Z63" i="12"/>
  <c r="Y63" i="12" s="1"/>
  <c r="L35" i="12"/>
  <c r="O40" i="12"/>
  <c r="AC68" i="12"/>
  <c r="AB68" i="12" s="1"/>
  <c r="K19" i="12"/>
  <c r="K47" i="12" s="1"/>
  <c r="I33" i="12"/>
  <c r="W61" i="12"/>
  <c r="V61" i="12" s="1"/>
  <c r="AF69" i="12"/>
  <c r="AE69" i="12" s="1"/>
  <c r="R41" i="12"/>
  <c r="Z60" i="12"/>
  <c r="Y60" i="12" s="1"/>
  <c r="L32" i="12"/>
  <c r="O35" i="12"/>
  <c r="AC63" i="12"/>
  <c r="AB63" i="12" s="1"/>
  <c r="I39" i="12"/>
  <c r="W67" i="12"/>
  <c r="V67" i="12" s="1"/>
  <c r="R35" i="12"/>
  <c r="AF63" i="12"/>
  <c r="AE63" i="12" s="1"/>
  <c r="L39" i="12"/>
  <c r="Z67" i="12"/>
  <c r="Y67" i="12" s="1"/>
  <c r="W65" i="12"/>
  <c r="V65" i="12" s="1"/>
  <c r="I37" i="12"/>
  <c r="I31" i="12"/>
  <c r="W59" i="12"/>
  <c r="V59" i="12" s="1"/>
  <c r="O32" i="12"/>
  <c r="AC60" i="12"/>
  <c r="AB60" i="12" s="1"/>
  <c r="O39" i="12"/>
  <c r="AC67" i="12"/>
  <c r="AB67" i="12" s="1"/>
  <c r="L41" i="12"/>
  <c r="Z69" i="12"/>
  <c r="Y69" i="12" s="1"/>
  <c r="L36" i="12"/>
  <c r="Z64" i="12"/>
  <c r="Y64" i="12" s="1"/>
  <c r="O30" i="12"/>
  <c r="AC58" i="12"/>
  <c r="AB58" i="12" s="1"/>
  <c r="I34" i="12"/>
  <c r="W62" i="12"/>
  <c r="V62" i="12" s="1"/>
  <c r="L37" i="12"/>
  <c r="Z65" i="12"/>
  <c r="Y65" i="12" s="1"/>
  <c r="Q23" i="12"/>
  <c r="Q51" i="12" s="1"/>
  <c r="O37" i="12"/>
  <c r="AC65" i="12"/>
  <c r="AB65" i="12" s="1"/>
  <c r="I41" i="12"/>
  <c r="W69" i="12"/>
  <c r="V69" i="12" s="1"/>
  <c r="L31" i="12"/>
  <c r="Z59" i="12"/>
  <c r="Y59" i="12" s="1"/>
  <c r="R39" i="12"/>
  <c r="AF67" i="12"/>
  <c r="AE67" i="12" s="1"/>
  <c r="O41" i="12"/>
  <c r="AC69" i="12"/>
  <c r="AB69" i="12" s="1"/>
  <c r="AC46" i="8"/>
  <c r="B41" i="8"/>
  <c r="B27" i="8"/>
  <c r="W54" i="8"/>
  <c r="J26" i="8"/>
  <c r="B33" i="8"/>
  <c r="B19" i="8"/>
  <c r="J18" i="8"/>
  <c r="I32" i="8" s="1"/>
  <c r="P16" i="8"/>
  <c r="S27" i="8"/>
  <c r="AF55" i="8" s="1"/>
  <c r="AE55" i="8" s="1"/>
  <c r="AF53" i="8"/>
  <c r="R39" i="8"/>
  <c r="R37" i="8"/>
  <c r="AF23" i="8"/>
  <c r="AG23" i="8" s="1"/>
  <c r="T37" i="8" s="1"/>
  <c r="S23" i="8"/>
  <c r="AF51" i="8"/>
  <c r="S21" i="8"/>
  <c r="S19" i="8"/>
  <c r="R33" i="8" s="1"/>
  <c r="S17" i="8"/>
  <c r="N64" i="8"/>
  <c r="N86" i="8" s="1"/>
  <c r="V49" i="8"/>
  <c r="W27" i="8"/>
  <c r="X27" i="8" s="1"/>
  <c r="P25" i="8"/>
  <c r="N23" i="8"/>
  <c r="Z51" i="8"/>
  <c r="Z50" i="8"/>
  <c r="AC54" i="8"/>
  <c r="Q65" i="8"/>
  <c r="Q87" i="8" s="1"/>
  <c r="Y52" i="8"/>
  <c r="AC47" i="8"/>
  <c r="R36" i="8"/>
  <c r="AF50" i="8"/>
  <c r="R32" i="8"/>
  <c r="Z26" i="8"/>
  <c r="AA26" i="8" s="1"/>
  <c r="Q64" i="8"/>
  <c r="Q86" i="8" s="1"/>
  <c r="V52" i="8"/>
  <c r="C20" i="8"/>
  <c r="C41" i="8"/>
  <c r="C27" i="8"/>
  <c r="B40" i="8"/>
  <c r="B26" i="8"/>
  <c r="W53" i="8"/>
  <c r="W25" i="8"/>
  <c r="X25" i="8" s="1"/>
  <c r="A39" i="8"/>
  <c r="A25" i="8"/>
  <c r="P23" i="8"/>
  <c r="Q23" i="8" s="1"/>
  <c r="M21" i="8"/>
  <c r="L35" i="8" s="1"/>
  <c r="M20" i="8"/>
  <c r="L34" i="8" s="1"/>
  <c r="C33" i="8"/>
  <c r="C19" i="8"/>
  <c r="B18" i="8"/>
  <c r="B32" i="8"/>
  <c r="J17" i="8"/>
  <c r="K17" i="8" s="1"/>
  <c r="A31" i="8"/>
  <c r="A17" i="8"/>
  <c r="A26" i="8"/>
  <c r="J19" i="8"/>
  <c r="W47" i="8" s="1"/>
  <c r="M17" i="8"/>
  <c r="N17" i="8" s="1"/>
  <c r="S16" i="8"/>
  <c r="R30" i="8" s="1"/>
  <c r="M18" i="8"/>
  <c r="L32" i="8" s="1"/>
  <c r="P20" i="8"/>
  <c r="O34" i="8" s="1"/>
  <c r="Z27" i="8"/>
  <c r="AA27" i="8" s="1"/>
  <c r="Z46" i="8"/>
  <c r="Z54" i="8"/>
  <c r="AF46" i="8"/>
  <c r="Z55" i="8"/>
  <c r="Y55" i="8" s="1"/>
  <c r="A38" i="8"/>
  <c r="A27" i="8"/>
  <c r="C21" i="8"/>
  <c r="A19" i="8"/>
  <c r="B16" i="8"/>
  <c r="M25" i="8"/>
  <c r="L39" i="8" s="1"/>
  <c r="Z23" i="8"/>
  <c r="AA23" i="8" s="1"/>
  <c r="AC17" i="8"/>
  <c r="AD17" i="8" s="1"/>
  <c r="AC25" i="8"/>
  <c r="AD25" i="8" s="1"/>
  <c r="W48" i="8"/>
  <c r="C24" i="8"/>
  <c r="C16" i="8"/>
  <c r="C26" i="8"/>
  <c r="B21" i="8"/>
  <c r="C18" i="8"/>
  <c r="S20" i="8"/>
  <c r="J22" i="8"/>
  <c r="I36" i="8" s="1"/>
  <c r="AI15" i="8"/>
  <c r="AC45" i="8"/>
  <c r="AC53" i="8"/>
  <c r="J27" i="8"/>
  <c r="K27" i="8" s="1"/>
  <c r="S24" i="8"/>
  <c r="R38" i="8" s="1"/>
  <c r="S26" i="8"/>
  <c r="P24" i="8"/>
  <c r="O38" i="8" s="1"/>
  <c r="AC48" i="8"/>
  <c r="B20" i="8"/>
  <c r="B15" i="8"/>
  <c r="B25" i="8"/>
  <c r="C22" i="8"/>
  <c r="A20" i="8"/>
  <c r="B17" i="8"/>
  <c r="M16" i="8"/>
  <c r="Z44" i="8" s="1"/>
  <c r="P22" i="8"/>
  <c r="O36" i="8" s="1"/>
  <c r="J23" i="8"/>
  <c r="W51" i="8" s="1"/>
  <c r="Q27" i="12"/>
  <c r="Q55" i="12" s="1"/>
  <c r="Q21" i="12"/>
  <c r="Q49" i="12" s="1"/>
  <c r="K18" i="12"/>
  <c r="K46" i="12" s="1"/>
  <c r="K20" i="12"/>
  <c r="K48" i="12" s="1"/>
  <c r="J22" i="12"/>
  <c r="J24" i="12"/>
  <c r="J26" i="12"/>
  <c r="S16" i="12"/>
  <c r="S18" i="12"/>
  <c r="S20" i="12"/>
  <c r="S22" i="12"/>
  <c r="S24" i="12"/>
  <c r="A17" i="12"/>
  <c r="B29" i="12"/>
  <c r="J16" i="12"/>
  <c r="A21" i="12"/>
  <c r="A39" i="12"/>
  <c r="B19" i="12"/>
  <c r="B21" i="12"/>
  <c r="B23" i="12"/>
  <c r="A41" i="12"/>
  <c r="A24" i="12"/>
  <c r="B31" i="12"/>
  <c r="B41" i="12"/>
  <c r="A33" i="12"/>
  <c r="A26" i="12"/>
  <c r="Q16" i="12"/>
  <c r="Q44" i="12" s="1"/>
  <c r="N19" i="12"/>
  <c r="N47" i="12" s="1"/>
  <c r="Q17" i="12"/>
  <c r="Q45" i="12" s="1"/>
  <c r="T21" i="12"/>
  <c r="T49" i="12" s="1"/>
  <c r="N22" i="12"/>
  <c r="N50" i="12" s="1"/>
  <c r="K23" i="12"/>
  <c r="K51" i="12" s="1"/>
  <c r="Q25" i="12"/>
  <c r="Q53" i="12" s="1"/>
  <c r="N17" i="12"/>
  <c r="N45" i="12" s="1"/>
  <c r="T20" i="12"/>
  <c r="T48" i="12" s="1"/>
  <c r="N25" i="12"/>
  <c r="N53" i="12" s="1"/>
  <c r="Q19" i="12"/>
  <c r="Q47" i="12" s="1"/>
  <c r="Q22" i="12"/>
  <c r="Q50" i="12" s="1"/>
  <c r="N23" i="12"/>
  <c r="N51" i="12" s="1"/>
  <c r="K27" i="12"/>
  <c r="K55" i="12" s="1"/>
  <c r="Q24" i="12"/>
  <c r="Q52" i="12" s="1"/>
  <c r="N27" i="12"/>
  <c r="N55" i="12" s="1"/>
  <c r="Q18" i="12"/>
  <c r="Q46" i="12" s="1"/>
  <c r="T25" i="12"/>
  <c r="T53" i="12" s="1"/>
  <c r="N26" i="12"/>
  <c r="N54" i="12" s="1"/>
  <c r="N16" i="12"/>
  <c r="N44" i="12" s="1"/>
  <c r="T17" i="12"/>
  <c r="T45" i="12" s="1"/>
  <c r="T19" i="12"/>
  <c r="T47" i="12" s="1"/>
  <c r="N20" i="12"/>
  <c r="N48" i="12" s="1"/>
  <c r="K21" i="12"/>
  <c r="K49" i="12" s="1"/>
  <c r="T22" i="12"/>
  <c r="T50" i="12" s="1"/>
  <c r="Q26" i="12"/>
  <c r="Q54" i="12" s="1"/>
  <c r="T27" i="12"/>
  <c r="T55" i="12" s="1"/>
  <c r="N18" i="12"/>
  <c r="N46" i="12" s="1"/>
  <c r="Q20" i="12"/>
  <c r="Q48" i="12" s="1"/>
  <c r="N21" i="12"/>
  <c r="N49" i="12" s="1"/>
  <c r="K17" i="12"/>
  <c r="K45" i="12" s="1"/>
  <c r="T23" i="12"/>
  <c r="T51" i="12" s="1"/>
  <c r="N24" i="12"/>
  <c r="N52" i="12" s="1"/>
  <c r="K25" i="12"/>
  <c r="K53" i="12" s="1"/>
  <c r="B16" i="12"/>
  <c r="B24" i="12"/>
  <c r="B26" i="12"/>
  <c r="C31" i="12"/>
  <c r="A18" i="12"/>
  <c r="C21" i="12"/>
  <c r="C24" i="12"/>
  <c r="C26" i="12"/>
  <c r="A30" i="12"/>
  <c r="C33" i="12"/>
  <c r="C41" i="12"/>
  <c r="A15" i="12"/>
  <c r="B18" i="12"/>
  <c r="A22" i="12"/>
  <c r="A37" i="12"/>
  <c r="B36" i="12"/>
  <c r="C16" i="12"/>
  <c r="C36" i="12"/>
  <c r="C18" i="12"/>
  <c r="A34" i="12"/>
  <c r="B34" i="12"/>
  <c r="C37" i="12"/>
  <c r="B25" i="12"/>
  <c r="C34" i="12"/>
  <c r="C25" i="12"/>
  <c r="N19" i="8"/>
  <c r="Z19" i="8" s="1"/>
  <c r="AA19" i="8" s="1"/>
  <c r="J16" i="8"/>
  <c r="Q25" i="8"/>
  <c r="T23" i="8"/>
  <c r="T22" i="8"/>
  <c r="AF22" i="8" s="1"/>
  <c r="AG22" i="8" s="1"/>
  <c r="T36" i="8" s="1"/>
  <c r="T16" i="8"/>
  <c r="T24" i="8"/>
  <c r="T25" i="8"/>
  <c r="AF25" i="8" s="1"/>
  <c r="AG25" i="8" s="1"/>
  <c r="T18" i="8"/>
  <c r="AF18" i="8" s="1"/>
  <c r="AG18" i="8" s="1"/>
  <c r="T19" i="8"/>
  <c r="Q26" i="8"/>
  <c r="AC26" i="8" s="1"/>
  <c r="AD26" i="8" s="1"/>
  <c r="Q19" i="8"/>
  <c r="AC19" i="8" s="1"/>
  <c r="AD19" i="8" s="1"/>
  <c r="Q27" i="8"/>
  <c r="AC27" i="8" s="1"/>
  <c r="AD27" i="8" s="1"/>
  <c r="Q18" i="8"/>
  <c r="AC18" i="8" s="1"/>
  <c r="AD18" i="8" s="1"/>
  <c r="Q21" i="8"/>
  <c r="AC21" i="8" s="1"/>
  <c r="AD21" i="8" s="1"/>
  <c r="N18" i="8"/>
  <c r="N26" i="8"/>
  <c r="N22" i="8"/>
  <c r="Z22" i="8" s="1"/>
  <c r="AA22" i="8" s="1"/>
  <c r="N24" i="8"/>
  <c r="Z24" i="8" s="1"/>
  <c r="AA24" i="8" s="1"/>
  <c r="N25" i="8"/>
  <c r="K26" i="8"/>
  <c r="W26" i="8" s="1"/>
  <c r="X26" i="8" s="1"/>
  <c r="K20" i="8"/>
  <c r="W20" i="8" s="1"/>
  <c r="X20" i="8" s="1"/>
  <c r="K25" i="8"/>
  <c r="K21" i="8"/>
  <c r="W21" i="8" s="1"/>
  <c r="X21" i="8" s="1"/>
  <c r="D41" i="8"/>
  <c r="D39" i="8"/>
  <c r="D37" i="8"/>
  <c r="D35" i="8"/>
  <c r="D33" i="8"/>
  <c r="D31" i="8"/>
  <c r="AC20" i="12" l="1"/>
  <c r="AD20" i="12" s="1"/>
  <c r="AF17" i="12"/>
  <c r="AG17" i="12" s="1"/>
  <c r="T31" i="12" s="1"/>
  <c r="W23" i="12"/>
  <c r="X23" i="12" s="1"/>
  <c r="V23" i="12" s="1"/>
  <c r="W19" i="12"/>
  <c r="X19" i="12" s="1"/>
  <c r="V19" i="12" s="1"/>
  <c r="Z17" i="12"/>
  <c r="AA17" i="12" s="1"/>
  <c r="AF25" i="12"/>
  <c r="AG25" i="12" s="1"/>
  <c r="T39" i="12" s="1"/>
  <c r="Z27" i="12"/>
  <c r="AA27" i="12" s="1"/>
  <c r="W27" i="12"/>
  <c r="X27" i="12" s="1"/>
  <c r="V27" i="12" s="1"/>
  <c r="AC17" i="12"/>
  <c r="AD17" i="12" s="1"/>
  <c r="AC22" i="12"/>
  <c r="AD22" i="12" s="1"/>
  <c r="AF23" i="12"/>
  <c r="AG23" i="12" s="1"/>
  <c r="T37" i="12" s="1"/>
  <c r="Z25" i="12"/>
  <c r="AA25" i="12" s="1"/>
  <c r="W25" i="12"/>
  <c r="X25" i="12" s="1"/>
  <c r="V25" i="12" s="1"/>
  <c r="Z22" i="12"/>
  <c r="AA22" i="12" s="1"/>
  <c r="AK24" i="12"/>
  <c r="K33" i="12"/>
  <c r="AB19" i="12"/>
  <c r="Y19" i="12"/>
  <c r="AF22" i="12"/>
  <c r="AG22" i="12" s="1"/>
  <c r="T36" i="12" s="1"/>
  <c r="W21" i="12"/>
  <c r="X21" i="12" s="1"/>
  <c r="V21" i="12" s="1"/>
  <c r="Z23" i="12"/>
  <c r="AA23" i="12" s="1"/>
  <c r="Z21" i="12"/>
  <c r="AA21" i="12" s="1"/>
  <c r="Z18" i="12"/>
  <c r="AA18" i="12" s="1"/>
  <c r="AK28" i="12"/>
  <c r="K37" i="12"/>
  <c r="AB23" i="12"/>
  <c r="Y23" i="12"/>
  <c r="AF20" i="12"/>
  <c r="AG20" i="12" s="1"/>
  <c r="T34" i="12" s="1"/>
  <c r="Z20" i="12"/>
  <c r="AA20" i="12" s="1"/>
  <c r="AC27" i="12"/>
  <c r="AD27" i="12" s="1"/>
  <c r="AC21" i="12"/>
  <c r="AD21" i="12" s="1"/>
  <c r="AC19" i="12"/>
  <c r="AD19" i="12" s="1"/>
  <c r="Z24" i="12"/>
  <c r="AA24" i="12" s="1"/>
  <c r="T24" i="12"/>
  <c r="T52" i="12" s="1"/>
  <c r="T18" i="12"/>
  <c r="T46" i="12" s="1"/>
  <c r="AF18" i="12"/>
  <c r="AG18" i="12" s="1"/>
  <c r="T32" i="12" s="1"/>
  <c r="AC18" i="12"/>
  <c r="AD18" i="12" s="1"/>
  <c r="AC25" i="12"/>
  <c r="AD25" i="12" s="1"/>
  <c r="AF19" i="12"/>
  <c r="AG19" i="12" s="1"/>
  <c r="T33" i="12" s="1"/>
  <c r="W18" i="12"/>
  <c r="X18" i="12" s="1"/>
  <c r="V18" i="12" s="1"/>
  <c r="W20" i="12"/>
  <c r="X20" i="12" s="1"/>
  <c r="V20" i="12" s="1"/>
  <c r="T16" i="12"/>
  <c r="T44" i="12" s="1"/>
  <c r="AF16" i="12"/>
  <c r="AG16" i="12" s="1"/>
  <c r="T30" i="12" s="1"/>
  <c r="W17" i="12"/>
  <c r="X17" i="12" s="1"/>
  <c r="V17" i="12" s="1"/>
  <c r="AC23" i="12"/>
  <c r="AD23" i="12" s="1"/>
  <c r="Z16" i="12"/>
  <c r="AA16" i="12" s="1"/>
  <c r="AC26" i="12"/>
  <c r="AD26" i="12" s="1"/>
  <c r="AF21" i="12"/>
  <c r="AG21" i="12" s="1"/>
  <c r="T35" i="12" s="1"/>
  <c r="AF27" i="12"/>
  <c r="AG27" i="12" s="1"/>
  <c r="T41" i="12" s="1"/>
  <c r="AJ15" i="12"/>
  <c r="AF26" i="12"/>
  <c r="AG26" i="12" s="1"/>
  <c r="T40" i="12" s="1"/>
  <c r="AC16" i="12"/>
  <c r="AD16" i="12" s="1"/>
  <c r="Z19" i="12"/>
  <c r="AA19" i="12" s="1"/>
  <c r="AC24" i="12"/>
  <c r="AD24" i="12" s="1"/>
  <c r="Z26" i="12"/>
  <c r="AA26" i="12" s="1"/>
  <c r="AC34" i="8"/>
  <c r="P34" i="8"/>
  <c r="P38" i="8"/>
  <c r="AB38" i="8" s="1"/>
  <c r="AC38" i="8"/>
  <c r="Z39" i="8"/>
  <c r="M39" i="8"/>
  <c r="Z34" i="8"/>
  <c r="M34" i="8"/>
  <c r="J32" i="8"/>
  <c r="W32" i="8"/>
  <c r="Z35" i="8"/>
  <c r="M35" i="8"/>
  <c r="M32" i="8"/>
  <c r="Z32" i="8"/>
  <c r="AC36" i="8"/>
  <c r="P36" i="8"/>
  <c r="W36" i="8"/>
  <c r="J36" i="8"/>
  <c r="Z48" i="8"/>
  <c r="AC39" i="8"/>
  <c r="P39" i="8"/>
  <c r="S53" i="8"/>
  <c r="J53" i="8"/>
  <c r="N20" i="8"/>
  <c r="Z20" i="8" s="1"/>
  <c r="AA20" i="8" s="1"/>
  <c r="AF38" i="8"/>
  <c r="S38" i="8"/>
  <c r="AF32" i="8"/>
  <c r="S32" i="8"/>
  <c r="AC52" i="8"/>
  <c r="P54" i="8"/>
  <c r="S54" i="8"/>
  <c r="AC40" i="8"/>
  <c r="P40" i="8"/>
  <c r="AB40" i="8" s="1"/>
  <c r="AD40" i="8" s="1"/>
  <c r="P53" i="8"/>
  <c r="J40" i="8"/>
  <c r="W40" i="8"/>
  <c r="M54" i="8"/>
  <c r="T26" i="8"/>
  <c r="AF26" i="8" s="1"/>
  <c r="AG26" i="8" s="1"/>
  <c r="T40" i="8" s="1"/>
  <c r="R40" i="8"/>
  <c r="AC23" i="8"/>
  <c r="AD23" i="8" s="1"/>
  <c r="AF33" i="8"/>
  <c r="S33" i="8"/>
  <c r="AC32" i="8"/>
  <c r="P32" i="8"/>
  <c r="P31" i="8"/>
  <c r="AC31" i="8"/>
  <c r="L33" i="8"/>
  <c r="M47" i="8"/>
  <c r="Z37" i="8"/>
  <c r="M37" i="8"/>
  <c r="W35" i="8"/>
  <c r="J35" i="8"/>
  <c r="Q24" i="8"/>
  <c r="AC24" i="8" s="1"/>
  <c r="AD24" i="8" s="1"/>
  <c r="AF54" i="8"/>
  <c r="W41" i="8"/>
  <c r="J41" i="8"/>
  <c r="V41" i="8" s="1"/>
  <c r="X41" i="8" s="1"/>
  <c r="W33" i="8"/>
  <c r="J33" i="8"/>
  <c r="M48" i="8"/>
  <c r="W39" i="8"/>
  <c r="J39" i="8"/>
  <c r="K18" i="8"/>
  <c r="W18" i="8" s="1"/>
  <c r="X18" i="8" s="1"/>
  <c r="K24" i="8"/>
  <c r="W24" i="8" s="1"/>
  <c r="X24" i="8" s="1"/>
  <c r="Z45" i="8"/>
  <c r="S47" i="8"/>
  <c r="Z41" i="8"/>
  <c r="M41" i="8"/>
  <c r="K23" i="8"/>
  <c r="W23" i="8" s="1"/>
  <c r="X23" i="8" s="1"/>
  <c r="T17" i="8"/>
  <c r="AF17" i="8" s="1"/>
  <c r="AG17" i="8" s="1"/>
  <c r="T31" i="8" s="1"/>
  <c r="AF52" i="8"/>
  <c r="W55" i="8"/>
  <c r="V55" i="8" s="1"/>
  <c r="AF36" i="8"/>
  <c r="S36" i="8"/>
  <c r="W46" i="8"/>
  <c r="P41" i="8"/>
  <c r="AC41" i="8"/>
  <c r="P46" i="8"/>
  <c r="J34" i="8"/>
  <c r="W34" i="8"/>
  <c r="M49" i="8"/>
  <c r="P45" i="8"/>
  <c r="Z31" i="8"/>
  <c r="M31" i="8"/>
  <c r="S48" i="8"/>
  <c r="AC35" i="8"/>
  <c r="P35" i="8"/>
  <c r="L30" i="8"/>
  <c r="J37" i="8"/>
  <c r="W37" i="8"/>
  <c r="M53" i="8"/>
  <c r="AF37" i="8"/>
  <c r="S37" i="8"/>
  <c r="P33" i="8"/>
  <c r="AC33" i="8"/>
  <c r="P48" i="8"/>
  <c r="J38" i="8"/>
  <c r="W38" i="8"/>
  <c r="Z38" i="8"/>
  <c r="M38" i="8"/>
  <c r="W31" i="8"/>
  <c r="J31" i="8"/>
  <c r="O37" i="8"/>
  <c r="Z36" i="8"/>
  <c r="M36" i="8"/>
  <c r="Y36" i="8" s="1"/>
  <c r="AA36" i="8" s="1"/>
  <c r="Z40" i="8"/>
  <c r="M40" i="8"/>
  <c r="S39" i="8"/>
  <c r="AF39" i="8"/>
  <c r="P39" i="12"/>
  <c r="AC39" i="12"/>
  <c r="S41" i="12"/>
  <c r="AF41" i="12"/>
  <c r="P36" i="12"/>
  <c r="AC36" i="12"/>
  <c r="M40" i="12"/>
  <c r="Z40" i="12"/>
  <c r="I40" i="12"/>
  <c r="W68" i="12"/>
  <c r="V68" i="12" s="1"/>
  <c r="P30" i="12"/>
  <c r="AC30" i="12"/>
  <c r="I38" i="12"/>
  <c r="W66" i="12"/>
  <c r="V66" i="12" s="1"/>
  <c r="AC41" i="12"/>
  <c r="P41" i="12"/>
  <c r="AC37" i="12"/>
  <c r="P37" i="12"/>
  <c r="S33" i="12"/>
  <c r="AF33" i="12"/>
  <c r="J35" i="12"/>
  <c r="W35" i="12"/>
  <c r="M38" i="12"/>
  <c r="Z38" i="12"/>
  <c r="AC31" i="12"/>
  <c r="P31" i="12"/>
  <c r="J31" i="12"/>
  <c r="W31" i="12"/>
  <c r="R38" i="12"/>
  <c r="AF66" i="12"/>
  <c r="AE66" i="12" s="1"/>
  <c r="P33" i="12"/>
  <c r="AC33" i="12"/>
  <c r="S40" i="12"/>
  <c r="AE54" i="12" s="1"/>
  <c r="AF40" i="12"/>
  <c r="J34" i="12"/>
  <c r="W34" i="12"/>
  <c r="W64" i="12"/>
  <c r="V64" i="12" s="1"/>
  <c r="I36" i="12"/>
  <c r="M36" i="12"/>
  <c r="Z36" i="12"/>
  <c r="J39" i="12"/>
  <c r="W39" i="12"/>
  <c r="J33" i="12"/>
  <c r="W33" i="12"/>
  <c r="M30" i="12"/>
  <c r="Z30" i="12"/>
  <c r="S39" i="12"/>
  <c r="AF39" i="12"/>
  <c r="J37" i="12"/>
  <c r="W37" i="12"/>
  <c r="R36" i="12"/>
  <c r="AF64" i="12"/>
  <c r="AE64" i="12" s="1"/>
  <c r="M37" i="12"/>
  <c r="Z37" i="12"/>
  <c r="M41" i="12"/>
  <c r="Z41" i="12"/>
  <c r="P35" i="12"/>
  <c r="AC35" i="12"/>
  <c r="AF60" i="12"/>
  <c r="AE60" i="12" s="1"/>
  <c r="R32" i="12"/>
  <c r="Z35" i="12"/>
  <c r="M35" i="12"/>
  <c r="Z33" i="12"/>
  <c r="M33" i="12"/>
  <c r="R34" i="12"/>
  <c r="AF62" i="12"/>
  <c r="AE62" i="12" s="1"/>
  <c r="Z31" i="12"/>
  <c r="M31" i="12"/>
  <c r="M32" i="12"/>
  <c r="Z32" i="12"/>
  <c r="P40" i="12"/>
  <c r="AC40" i="12"/>
  <c r="P38" i="12"/>
  <c r="AC38" i="12"/>
  <c r="J32" i="12"/>
  <c r="W32" i="12"/>
  <c r="AF31" i="12"/>
  <c r="S31" i="12"/>
  <c r="M34" i="12"/>
  <c r="Z34" i="12"/>
  <c r="M39" i="12"/>
  <c r="Z39" i="12"/>
  <c r="R30" i="12"/>
  <c r="AF58" i="12"/>
  <c r="AE58" i="12" s="1"/>
  <c r="J41" i="12"/>
  <c r="W41" i="12"/>
  <c r="P34" i="12"/>
  <c r="AC34" i="12"/>
  <c r="K16" i="12"/>
  <c r="X16" i="12" s="1"/>
  <c r="V16" i="12" s="1"/>
  <c r="I30" i="12"/>
  <c r="W58" i="12"/>
  <c r="V58" i="12" s="1"/>
  <c r="P32" i="12"/>
  <c r="AC32" i="12"/>
  <c r="S35" i="12"/>
  <c r="AF35" i="12"/>
  <c r="S37" i="12"/>
  <c r="AF37" i="12"/>
  <c r="AF30" i="8"/>
  <c r="S30" i="8"/>
  <c r="AE30" i="8" s="1"/>
  <c r="AG30" i="8" s="1"/>
  <c r="AF44" i="8"/>
  <c r="P30" i="8"/>
  <c r="AC30" i="8"/>
  <c r="Q16" i="8"/>
  <c r="N16" i="8"/>
  <c r="J30" i="8"/>
  <c r="W30" i="8"/>
  <c r="W17" i="8"/>
  <c r="X17" i="8" s="1"/>
  <c r="L64" i="8"/>
  <c r="L86" i="8" s="1"/>
  <c r="V47" i="8"/>
  <c r="P64" i="8"/>
  <c r="P86" i="8" s="1"/>
  <c r="V51" i="8"/>
  <c r="AC50" i="8"/>
  <c r="M66" i="8"/>
  <c r="M88" i="8" s="1"/>
  <c r="AB48" i="8"/>
  <c r="Q20" i="8"/>
  <c r="AC20" i="8" s="1"/>
  <c r="AD20" i="8" s="1"/>
  <c r="L65" i="8"/>
  <c r="L87" i="8" s="1"/>
  <c r="Y47" i="8"/>
  <c r="V38" i="8"/>
  <c r="X38" i="8" s="1"/>
  <c r="V35" i="8"/>
  <c r="Q70" i="8"/>
  <c r="AF45" i="8"/>
  <c r="R35" i="8"/>
  <c r="Z49" i="8"/>
  <c r="Q66" i="8"/>
  <c r="Q88" i="8" s="1"/>
  <c r="AB52" i="8"/>
  <c r="AB32" i="8"/>
  <c r="AD32" i="8" s="1"/>
  <c r="AD46" i="8" s="1"/>
  <c r="T20" i="8"/>
  <c r="AF20" i="8" s="1"/>
  <c r="AG20" i="8" s="1"/>
  <c r="T34" i="8" s="1"/>
  <c r="K22" i="8"/>
  <c r="W22" i="8" s="1"/>
  <c r="X22" i="8" s="1"/>
  <c r="AF48" i="8"/>
  <c r="Z25" i="8"/>
  <c r="AA25" i="8" s="1"/>
  <c r="Z17" i="8"/>
  <c r="AA17" i="8" s="1"/>
  <c r="AB35" i="8"/>
  <c r="AD35" i="8" s="1"/>
  <c r="AD49" i="8" s="1"/>
  <c r="Y32" i="8"/>
  <c r="AC51" i="8"/>
  <c r="AE32" i="8"/>
  <c r="Z53" i="8"/>
  <c r="Y38" i="8"/>
  <c r="AF19" i="8"/>
  <c r="AG19" i="8" s="1"/>
  <c r="T33" i="8" s="1"/>
  <c r="P67" i="8"/>
  <c r="P89" i="8" s="1"/>
  <c r="AE51" i="8"/>
  <c r="R41" i="8"/>
  <c r="K64" i="8"/>
  <c r="K86" i="8" s="1"/>
  <c r="V46" i="8"/>
  <c r="K66" i="8"/>
  <c r="K88" i="8" s="1"/>
  <c r="AB46" i="8"/>
  <c r="N21" i="8"/>
  <c r="Z21" i="8" s="1"/>
  <c r="AA21" i="8" s="1"/>
  <c r="T27" i="8"/>
  <c r="AF27" i="8" s="1"/>
  <c r="AG27" i="8" s="1"/>
  <c r="T41" i="8" s="1"/>
  <c r="T21" i="8"/>
  <c r="AF21" i="8" s="1"/>
  <c r="AG21" i="8" s="1"/>
  <c r="T35" i="8" s="1"/>
  <c r="AF24" i="8"/>
  <c r="AG24" i="8" s="1"/>
  <c r="T38" i="8" s="1"/>
  <c r="M64" i="8"/>
  <c r="V48" i="8"/>
  <c r="AF16" i="8"/>
  <c r="AG16" i="8" s="1"/>
  <c r="T30" i="8" s="1"/>
  <c r="W45" i="8"/>
  <c r="Z18" i="8"/>
  <c r="AA18" i="8" s="1"/>
  <c r="R34" i="8"/>
  <c r="AE36" i="8"/>
  <c r="AB41" i="8"/>
  <c r="AD41" i="8" s="1"/>
  <c r="AD55" i="8" s="1"/>
  <c r="AB31" i="8"/>
  <c r="N69" i="8"/>
  <c r="AF47" i="8"/>
  <c r="I65" i="8"/>
  <c r="I87" i="8" s="1"/>
  <c r="Y44" i="8"/>
  <c r="S65" i="8"/>
  <c r="S87" i="8" s="1"/>
  <c r="Y54" i="8"/>
  <c r="Q67" i="8"/>
  <c r="Q89" i="8" s="1"/>
  <c r="AE52" i="8"/>
  <c r="I67" i="8"/>
  <c r="I89" i="8" s="1"/>
  <c r="AE44" i="8"/>
  <c r="Y40" i="8"/>
  <c r="AB33" i="8"/>
  <c r="K19" i="8"/>
  <c r="W19" i="8" s="1"/>
  <c r="X19" i="8" s="1"/>
  <c r="W50" i="8"/>
  <c r="V39" i="8"/>
  <c r="Q22" i="8"/>
  <c r="AJ15" i="8"/>
  <c r="AM15" i="8" s="1"/>
  <c r="AN15" i="8" s="1"/>
  <c r="AM17" i="8"/>
  <c r="AN17" i="8" s="1"/>
  <c r="Z16" i="8"/>
  <c r="AA16" i="8" s="1"/>
  <c r="Y41" i="8"/>
  <c r="S67" i="8"/>
  <c r="S89" i="8" s="1"/>
  <c r="AE54" i="8"/>
  <c r="Y31" i="8"/>
  <c r="M65" i="8"/>
  <c r="M87" i="8" s="1"/>
  <c r="Y48" i="8"/>
  <c r="N66" i="8"/>
  <c r="N88" i="8" s="1"/>
  <c r="AB49" i="8"/>
  <c r="O67" i="8"/>
  <c r="O89" i="8" s="1"/>
  <c r="AE50" i="8"/>
  <c r="V32" i="8"/>
  <c r="V40" i="8"/>
  <c r="K67" i="8"/>
  <c r="K89" i="8" s="1"/>
  <c r="AE46" i="8"/>
  <c r="Y34" i="8"/>
  <c r="O65" i="8"/>
  <c r="O87" i="8" s="1"/>
  <c r="Y50" i="8"/>
  <c r="AE37" i="8"/>
  <c r="AD16" i="8"/>
  <c r="L66" i="8"/>
  <c r="L88" i="8" s="1"/>
  <c r="AB47" i="8"/>
  <c r="V34" i="8"/>
  <c r="X34" i="8" s="1"/>
  <c r="Y37" i="8"/>
  <c r="AA37" i="8" s="1"/>
  <c r="AA51" i="8" s="1"/>
  <c r="P65" i="8"/>
  <c r="P87" i="8" s="1"/>
  <c r="Y51" i="8"/>
  <c r="R31" i="8"/>
  <c r="AE39" i="8"/>
  <c r="AC44" i="8"/>
  <c r="S64" i="8"/>
  <c r="S86" i="8" s="1"/>
  <c r="V54" i="8"/>
  <c r="J66" i="8"/>
  <c r="J88" i="8" s="1"/>
  <c r="AB45" i="8"/>
  <c r="AC22" i="8"/>
  <c r="AD22" i="8" s="1"/>
  <c r="Q69" i="8"/>
  <c r="J65" i="8"/>
  <c r="J87" i="8" s="1"/>
  <c r="Y45" i="8"/>
  <c r="AF49" i="8"/>
  <c r="S66" i="8"/>
  <c r="S88" i="8" s="1"/>
  <c r="AB54" i="8"/>
  <c r="R67" i="8"/>
  <c r="R89" i="8" s="1"/>
  <c r="AE53" i="8"/>
  <c r="AB39" i="8"/>
  <c r="K65" i="8"/>
  <c r="K87" i="8" s="1"/>
  <c r="Y46" i="8"/>
  <c r="R64" i="8"/>
  <c r="R86" i="8" s="1"/>
  <c r="V53" i="8"/>
  <c r="R66" i="8"/>
  <c r="R88" i="8" s="1"/>
  <c r="AB53" i="8"/>
  <c r="K26" i="12"/>
  <c r="K54" i="12" s="1"/>
  <c r="K24" i="12"/>
  <c r="K52" i="12" s="1"/>
  <c r="K22" i="12"/>
  <c r="K50" i="12" s="1"/>
  <c r="K16" i="8"/>
  <c r="W16" i="8" s="1"/>
  <c r="X16" i="8" s="1"/>
  <c r="AF24" i="12" l="1"/>
  <c r="AG24" i="12" s="1"/>
  <c r="T38" i="12" s="1"/>
  <c r="Y16" i="12"/>
  <c r="AK21" i="12"/>
  <c r="AB16" i="12"/>
  <c r="K30" i="12"/>
  <c r="V47" i="12"/>
  <c r="AK25" i="12"/>
  <c r="K34" i="12"/>
  <c r="AB20" i="12"/>
  <c r="Y20" i="12"/>
  <c r="AM24" i="12"/>
  <c r="Q33" i="12"/>
  <c r="AB47" i="12" s="1"/>
  <c r="AC47" i="12" s="1"/>
  <c r="W24" i="12"/>
  <c r="X24" i="12" s="1"/>
  <c r="V24" i="12" s="1"/>
  <c r="AK32" i="12"/>
  <c r="K41" i="12"/>
  <c r="V55" i="12" s="1"/>
  <c r="AB27" i="12"/>
  <c r="Y27" i="12"/>
  <c r="W26" i="12"/>
  <c r="X26" i="12" s="1"/>
  <c r="V26" i="12" s="1"/>
  <c r="AM17" i="12"/>
  <c r="AN17" i="12" s="1"/>
  <c r="AK22" i="12"/>
  <c r="Y17" i="12"/>
  <c r="K31" i="12"/>
  <c r="V31" i="12" s="1"/>
  <c r="X31" i="12" s="1"/>
  <c r="AB17" i="12"/>
  <c r="AK26" i="12"/>
  <c r="K35" i="12"/>
  <c r="Y21" i="12"/>
  <c r="AB21" i="12"/>
  <c r="AK30" i="12"/>
  <c r="AB25" i="12"/>
  <c r="K39" i="12"/>
  <c r="V39" i="12" s="1"/>
  <c r="X39" i="12" s="1"/>
  <c r="Y25" i="12"/>
  <c r="AE49" i="12"/>
  <c r="V49" i="12"/>
  <c r="W49" i="12" s="1"/>
  <c r="AL28" i="12"/>
  <c r="N37" i="12"/>
  <c r="AK23" i="12"/>
  <c r="K32" i="12"/>
  <c r="V46" i="12" s="1"/>
  <c r="Y18" i="12"/>
  <c r="AB18" i="12"/>
  <c r="AM15" i="12"/>
  <c r="AN15" i="12" s="1"/>
  <c r="AM28" i="12"/>
  <c r="Q37" i="12"/>
  <c r="AL24" i="12"/>
  <c r="N33" i="12"/>
  <c r="W22" i="12"/>
  <c r="X22" i="12" s="1"/>
  <c r="V22" i="12" s="1"/>
  <c r="Y51" i="12"/>
  <c r="Z51" i="12" s="1"/>
  <c r="Y47" i="12"/>
  <c r="Z47" i="12" s="1"/>
  <c r="X55" i="8"/>
  <c r="AK45" i="8"/>
  <c r="AM45" i="8"/>
  <c r="S31" i="8"/>
  <c r="AF31" i="8"/>
  <c r="AF35" i="8"/>
  <c r="S35" i="8"/>
  <c r="S34" i="8"/>
  <c r="AF34" i="8"/>
  <c r="M86" i="8"/>
  <c r="AK38" i="8"/>
  <c r="AF41" i="8"/>
  <c r="S41" i="8"/>
  <c r="AE41" i="8" s="1"/>
  <c r="AK42" i="8"/>
  <c r="M33" i="8"/>
  <c r="Y33" i="8" s="1"/>
  <c r="Z33" i="8"/>
  <c r="AF40" i="8"/>
  <c r="S40" i="8"/>
  <c r="AE40" i="8" s="1"/>
  <c r="P37" i="8"/>
  <c r="AB37" i="8" s="1"/>
  <c r="AC37" i="8"/>
  <c r="V30" i="8"/>
  <c r="X30" i="8" s="1"/>
  <c r="AD54" i="8"/>
  <c r="AA50" i="8"/>
  <c r="X48" i="8"/>
  <c r="AE53" i="12"/>
  <c r="S30" i="12"/>
  <c r="AE44" i="12" s="1"/>
  <c r="AF30" i="12"/>
  <c r="J38" i="12"/>
  <c r="W38" i="12"/>
  <c r="J36" i="12"/>
  <c r="W36" i="12"/>
  <c r="S38" i="12"/>
  <c r="AE52" i="12" s="1"/>
  <c r="AF38" i="12"/>
  <c r="J30" i="12"/>
  <c r="V44" i="12" s="1"/>
  <c r="W30" i="12"/>
  <c r="S32" i="12"/>
  <c r="AE46" i="12" s="1"/>
  <c r="AF32" i="12"/>
  <c r="K44" i="12"/>
  <c r="S36" i="12"/>
  <c r="AE50" i="12" s="1"/>
  <c r="AF36" i="12"/>
  <c r="W47" i="12"/>
  <c r="V48" i="12"/>
  <c r="AE47" i="12"/>
  <c r="AE45" i="12"/>
  <c r="AE51" i="12"/>
  <c r="S34" i="12"/>
  <c r="AE48" i="12" s="1"/>
  <c r="AF34" i="12"/>
  <c r="AB51" i="12"/>
  <c r="AE55" i="12"/>
  <c r="V51" i="12"/>
  <c r="AF54" i="12"/>
  <c r="AG54" i="12" s="1"/>
  <c r="J40" i="12"/>
  <c r="W40" i="12"/>
  <c r="AF49" i="12"/>
  <c r="AG49" i="12" s="1"/>
  <c r="X52" i="8"/>
  <c r="AG44" i="8"/>
  <c r="M30" i="8"/>
  <c r="Y30" i="8" s="1"/>
  <c r="Z30" i="8"/>
  <c r="AA41" i="8"/>
  <c r="AA55" i="8" s="1"/>
  <c r="AA40" i="8"/>
  <c r="AA54" i="8" s="1"/>
  <c r="AD38" i="8"/>
  <c r="AD52" i="8" s="1"/>
  <c r="AG39" i="8"/>
  <c r="AG40" i="8"/>
  <c r="X35" i="8"/>
  <c r="AA31" i="8"/>
  <c r="R69" i="8"/>
  <c r="I66" i="8"/>
  <c r="I88" i="8" s="1"/>
  <c r="AB44" i="8"/>
  <c r="AA32" i="8"/>
  <c r="L69" i="8"/>
  <c r="V37" i="8"/>
  <c r="X37" i="8" s="1"/>
  <c r="AB30" i="8"/>
  <c r="AD30" i="8" s="1"/>
  <c r="AB36" i="8"/>
  <c r="AD36" i="8" s="1"/>
  <c r="V33" i="8"/>
  <c r="AE33" i="8"/>
  <c r="AG33" i="8" s="1"/>
  <c r="S71" i="8"/>
  <c r="K71" i="8"/>
  <c r="L71" i="8"/>
  <c r="Y35" i="8"/>
  <c r="J67" i="8"/>
  <c r="J89" i="8" s="1"/>
  <c r="AE45" i="8"/>
  <c r="L70" i="8"/>
  <c r="AA34" i="8"/>
  <c r="AL38" i="8" s="1"/>
  <c r="AA38" i="8"/>
  <c r="V36" i="8"/>
  <c r="X36" i="8" s="1"/>
  <c r="AE31" i="8"/>
  <c r="AB34" i="8"/>
  <c r="AD34" i="8" s="1"/>
  <c r="AM38" i="8" s="1"/>
  <c r="V44" i="8"/>
  <c r="N67" i="8"/>
  <c r="N89" i="8" s="1"/>
  <c r="AE49" i="8"/>
  <c r="J71" i="8"/>
  <c r="P70" i="8"/>
  <c r="AG37" i="8"/>
  <c r="AG32" i="8"/>
  <c r="AE38" i="8"/>
  <c r="AG38" i="8" s="1"/>
  <c r="Y39" i="8"/>
  <c r="AE35" i="8"/>
  <c r="P69" i="8"/>
  <c r="L67" i="8"/>
  <c r="L89" i="8" s="1"/>
  <c r="AE47" i="8"/>
  <c r="O66" i="8"/>
  <c r="O88" i="8" s="1"/>
  <c r="AB50" i="8"/>
  <c r="K70" i="8"/>
  <c r="X32" i="8"/>
  <c r="AG36" i="8"/>
  <c r="M69" i="8"/>
  <c r="O64" i="8"/>
  <c r="O86" i="8" s="1"/>
  <c r="V50" i="8"/>
  <c r="AE34" i="8"/>
  <c r="K69" i="8"/>
  <c r="AD39" i="8"/>
  <c r="R71" i="8"/>
  <c r="AD33" i="8"/>
  <c r="S70" i="8"/>
  <c r="AD31" i="8"/>
  <c r="J64" i="8"/>
  <c r="J86" i="8" s="1"/>
  <c r="V45" i="8"/>
  <c r="P66" i="8"/>
  <c r="P88" i="8" s="1"/>
  <c r="AB51" i="8"/>
  <c r="M67" i="8"/>
  <c r="M89" i="8" s="1"/>
  <c r="AE48" i="8"/>
  <c r="Q71" i="8"/>
  <c r="M71" i="8"/>
  <c r="I70" i="8"/>
  <c r="M70" i="8"/>
  <c r="X39" i="8"/>
  <c r="R65" i="8"/>
  <c r="R87" i="8" s="1"/>
  <c r="Y53" i="8"/>
  <c r="J70" i="8"/>
  <c r="S69" i="8"/>
  <c r="O70" i="8"/>
  <c r="X40" i="8"/>
  <c r="N71" i="8"/>
  <c r="V31" i="8"/>
  <c r="N65" i="8"/>
  <c r="N87" i="8" s="1"/>
  <c r="Y49" i="8"/>
  <c r="Y33" i="12"/>
  <c r="AA33" i="12" s="1"/>
  <c r="AE38" i="12"/>
  <c r="AG38" i="12" s="1"/>
  <c r="V37" i="12"/>
  <c r="X37" i="12" s="1"/>
  <c r="V32" i="12"/>
  <c r="X32" i="12" s="1"/>
  <c r="AE39" i="12"/>
  <c r="AG39" i="12" s="1"/>
  <c r="V35" i="12"/>
  <c r="X35" i="12" s="1"/>
  <c r="V33" i="12"/>
  <c r="X33" i="12" s="1"/>
  <c r="AE35" i="12"/>
  <c r="AG35" i="12" s="1"/>
  <c r="AE34" i="12"/>
  <c r="AG34" i="12" s="1"/>
  <c r="AB33" i="12"/>
  <c r="AD33" i="12" s="1"/>
  <c r="AE37" i="12"/>
  <c r="AG37" i="12" s="1"/>
  <c r="AB37" i="12"/>
  <c r="AD37" i="12" s="1"/>
  <c r="AE33" i="12"/>
  <c r="AG33" i="12" s="1"/>
  <c r="AE40" i="12"/>
  <c r="AG40" i="12" s="1"/>
  <c r="V30" i="12"/>
  <c r="V34" i="12"/>
  <c r="X34" i="12" s="1"/>
  <c r="Y37" i="12"/>
  <c r="AA37" i="12" s="1"/>
  <c r="AE41" i="12"/>
  <c r="AG41" i="12" s="1"/>
  <c r="AG69" i="12" s="1"/>
  <c r="V53" i="12" l="1"/>
  <c r="V45" i="12"/>
  <c r="V41" i="12"/>
  <c r="X41" i="12" s="1"/>
  <c r="AM26" i="12"/>
  <c r="Q35" i="12"/>
  <c r="AK31" i="12"/>
  <c r="Y26" i="12"/>
  <c r="AB26" i="12"/>
  <c r="K40" i="12"/>
  <c r="AK29" i="12"/>
  <c r="Y24" i="12"/>
  <c r="K38" i="12"/>
  <c r="AB24" i="12"/>
  <c r="AM23" i="12"/>
  <c r="Q32" i="12"/>
  <c r="AK27" i="12"/>
  <c r="Y22" i="12"/>
  <c r="AB22" i="12"/>
  <c r="K36" i="12"/>
  <c r="AL23" i="12"/>
  <c r="N32" i="12"/>
  <c r="AL30" i="12"/>
  <c r="N39" i="12"/>
  <c r="AM22" i="12"/>
  <c r="Q31" i="12"/>
  <c r="AM21" i="12"/>
  <c r="Q30" i="12"/>
  <c r="AL25" i="12"/>
  <c r="N34" i="12"/>
  <c r="AL26" i="12"/>
  <c r="N35" i="12"/>
  <c r="AM30" i="12"/>
  <c r="Q39" i="12"/>
  <c r="AL22" i="12"/>
  <c r="N31" i="12"/>
  <c r="AL32" i="12"/>
  <c r="N41" i="12"/>
  <c r="AM25" i="12"/>
  <c r="Q34" i="12"/>
  <c r="AL21" i="12"/>
  <c r="N30" i="12"/>
  <c r="AM32" i="12"/>
  <c r="Q41" i="12"/>
  <c r="AA51" i="12"/>
  <c r="AA65" i="12"/>
  <c r="X63" i="12"/>
  <c r="X49" i="12"/>
  <c r="AK39" i="12" s="1"/>
  <c r="AA61" i="12"/>
  <c r="AA47" i="12"/>
  <c r="X61" i="12"/>
  <c r="X47" i="12"/>
  <c r="AK37" i="12" s="1"/>
  <c r="AD47" i="12"/>
  <c r="AD61" i="12"/>
  <c r="AK44" i="8"/>
  <c r="AL44" i="8"/>
  <c r="AM44" i="8"/>
  <c r="X46" i="8"/>
  <c r="AL36" i="8"/>
  <c r="AM36" i="8"/>
  <c r="AK36" i="8"/>
  <c r="AK41" i="8"/>
  <c r="AA33" i="8"/>
  <c r="AA47" i="8" s="1"/>
  <c r="L75" i="8" s="1"/>
  <c r="AM43" i="8"/>
  <c r="AK43" i="8"/>
  <c r="AK39" i="8"/>
  <c r="AK34" i="8"/>
  <c r="AM34" i="8"/>
  <c r="AL45" i="8"/>
  <c r="AG31" i="8"/>
  <c r="AK40" i="8"/>
  <c r="AA30" i="8"/>
  <c r="AA44" i="8" s="1"/>
  <c r="I75" i="8" s="1"/>
  <c r="Q74" i="8"/>
  <c r="S75" i="8"/>
  <c r="O75" i="8"/>
  <c r="N76" i="8"/>
  <c r="K76" i="8"/>
  <c r="AG45" i="8"/>
  <c r="AG54" i="8"/>
  <c r="AG47" i="8"/>
  <c r="AG53" i="8"/>
  <c r="AG50" i="8"/>
  <c r="AG52" i="8"/>
  <c r="AG46" i="8"/>
  <c r="AG51" i="8"/>
  <c r="AD47" i="8"/>
  <c r="L76" i="8" s="1"/>
  <c r="S76" i="8"/>
  <c r="AD50" i="8"/>
  <c r="AD48" i="8"/>
  <c r="M76" i="8" s="1"/>
  <c r="AD45" i="8"/>
  <c r="J76" i="8" s="1"/>
  <c r="AA46" i="8"/>
  <c r="K75" i="8" s="1"/>
  <c r="AA48" i="8"/>
  <c r="AA45" i="8"/>
  <c r="J75" i="8" s="1"/>
  <c r="X50" i="8"/>
  <c r="X49" i="8"/>
  <c r="X51" i="8"/>
  <c r="P74" i="8" s="1"/>
  <c r="X54" i="8"/>
  <c r="S74" i="8" s="1"/>
  <c r="AF45" i="12"/>
  <c r="AG45" i="12" s="1"/>
  <c r="W53" i="12"/>
  <c r="W55" i="12"/>
  <c r="W51" i="12"/>
  <c r="W46" i="12"/>
  <c r="AE36" i="12"/>
  <c r="AG36" i="12" s="1"/>
  <c r="AF47" i="12"/>
  <c r="AG47" i="12" s="1"/>
  <c r="W44" i="12"/>
  <c r="V50" i="12"/>
  <c r="AF48" i="12"/>
  <c r="AG48" i="12" s="1"/>
  <c r="AF46" i="12"/>
  <c r="AG46" i="12" s="1"/>
  <c r="AF51" i="12"/>
  <c r="AG51" i="12" s="1"/>
  <c r="AF55" i="12"/>
  <c r="AG55" i="12" s="1"/>
  <c r="W48" i="12"/>
  <c r="AF53" i="12"/>
  <c r="AG53" i="12" s="1"/>
  <c r="X30" i="12"/>
  <c r="AE30" i="12"/>
  <c r="AG30" i="12" s="1"/>
  <c r="AC51" i="12"/>
  <c r="AE31" i="12"/>
  <c r="AG31" i="12" s="1"/>
  <c r="W45" i="12"/>
  <c r="V54" i="12"/>
  <c r="AF44" i="12"/>
  <c r="AG44" i="12" s="1"/>
  <c r="AF52" i="12"/>
  <c r="AG52" i="12" s="1"/>
  <c r="V52" i="12"/>
  <c r="AF50" i="12"/>
  <c r="AG50" i="12" s="1"/>
  <c r="AE32" i="12"/>
  <c r="AG32" i="12" s="1"/>
  <c r="AG60" i="12" s="1"/>
  <c r="AD53" i="8"/>
  <c r="R76" i="8" s="1"/>
  <c r="X53" i="8"/>
  <c r="AA52" i="8"/>
  <c r="Q75" i="8" s="1"/>
  <c r="AD44" i="8"/>
  <c r="X44" i="8"/>
  <c r="Q76" i="8"/>
  <c r="AG61" i="12"/>
  <c r="AG62" i="12"/>
  <c r="AG63" i="12"/>
  <c r="AG68" i="12"/>
  <c r="AG67" i="12"/>
  <c r="AG65" i="12"/>
  <c r="AG66" i="12"/>
  <c r="AG41" i="8"/>
  <c r="AG55" i="8" s="1"/>
  <c r="AA39" i="8"/>
  <c r="AL43" i="8" s="1"/>
  <c r="AD37" i="8"/>
  <c r="AA35" i="8"/>
  <c r="X31" i="8"/>
  <c r="AG34" i="8"/>
  <c r="J69" i="8"/>
  <c r="X33" i="8"/>
  <c r="O69" i="8"/>
  <c r="N70" i="8"/>
  <c r="R70" i="8"/>
  <c r="I69" i="8"/>
  <c r="K74" i="8"/>
  <c r="P75" i="8"/>
  <c r="P71" i="8"/>
  <c r="AG35" i="8"/>
  <c r="O71" i="8"/>
  <c r="I71" i="8"/>
  <c r="V40" i="12"/>
  <c r="X40" i="12" s="1"/>
  <c r="V38" i="12"/>
  <c r="X38" i="12" s="1"/>
  <c r="V36" i="12"/>
  <c r="X36" i="12" s="1"/>
  <c r="AB55" i="12" l="1"/>
  <c r="AB41" i="12"/>
  <c r="AD41" i="12" s="1"/>
  <c r="Y31" i="12"/>
  <c r="AA31" i="12" s="1"/>
  <c r="Y45" i="12"/>
  <c r="AB44" i="12"/>
  <c r="AC44" i="12" s="1"/>
  <c r="AB30" i="12"/>
  <c r="AD30" i="12" s="1"/>
  <c r="AL29" i="12"/>
  <c r="N38" i="12"/>
  <c r="AM27" i="12"/>
  <c r="Q36" i="12"/>
  <c r="Y30" i="12"/>
  <c r="AA30" i="12" s="1"/>
  <c r="Y44" i="12"/>
  <c r="AB39" i="12"/>
  <c r="AD39" i="12" s="1"/>
  <c r="AB53" i="12"/>
  <c r="AC53" i="12" s="1"/>
  <c r="AB45" i="12"/>
  <c r="AC45" i="12" s="1"/>
  <c r="AB31" i="12"/>
  <c r="AD31" i="12" s="1"/>
  <c r="AL27" i="12"/>
  <c r="N36" i="12"/>
  <c r="AM31" i="12"/>
  <c r="Q40" i="12"/>
  <c r="AB34" i="12"/>
  <c r="AD34" i="12" s="1"/>
  <c r="AB48" i="12"/>
  <c r="AC48" i="12" s="1"/>
  <c r="AD48" i="12" s="1"/>
  <c r="Y49" i="12"/>
  <c r="Y35" i="12"/>
  <c r="AA35" i="12" s="1"/>
  <c r="Y53" i="12"/>
  <c r="Z53" i="12" s="1"/>
  <c r="AA67" i="12" s="1"/>
  <c r="Y39" i="12"/>
  <c r="AA39" i="12" s="1"/>
  <c r="AB32" i="12"/>
  <c r="AD32" i="12" s="1"/>
  <c r="AB46" i="12"/>
  <c r="AC46" i="12" s="1"/>
  <c r="AL31" i="12"/>
  <c r="N40" i="12"/>
  <c r="Y55" i="12"/>
  <c r="Z55" i="12" s="1"/>
  <c r="Y41" i="12"/>
  <c r="AA41" i="12" s="1"/>
  <c r="Y34" i="12"/>
  <c r="AA34" i="12" s="1"/>
  <c r="Y48" i="12"/>
  <c r="Y32" i="12"/>
  <c r="AA32" i="12" s="1"/>
  <c r="Y46" i="12"/>
  <c r="AM29" i="12"/>
  <c r="Q38" i="12"/>
  <c r="AB35" i="12"/>
  <c r="AD35" i="12" s="1"/>
  <c r="AB49" i="12"/>
  <c r="AC49" i="12" s="1"/>
  <c r="AG58" i="12"/>
  <c r="AG64" i="12"/>
  <c r="X53" i="12"/>
  <c r="AK43" i="12" s="1"/>
  <c r="X67" i="12"/>
  <c r="X69" i="12"/>
  <c r="X55" i="12"/>
  <c r="AA53" i="12"/>
  <c r="X59" i="12"/>
  <c r="X45" i="12"/>
  <c r="AD51" i="12"/>
  <c r="AD65" i="12"/>
  <c r="AD60" i="12"/>
  <c r="AD58" i="12"/>
  <c r="AD44" i="12"/>
  <c r="AM37" i="12"/>
  <c r="X58" i="12"/>
  <c r="X44" i="12"/>
  <c r="X60" i="12"/>
  <c r="X46" i="12"/>
  <c r="X62" i="12"/>
  <c r="X48" i="12"/>
  <c r="X51" i="12"/>
  <c r="AK41" i="12" s="1"/>
  <c r="X65" i="12"/>
  <c r="AL37" i="12"/>
  <c r="AM35" i="8"/>
  <c r="AK35" i="8"/>
  <c r="AL35" i="8"/>
  <c r="AL37" i="8"/>
  <c r="AM37" i="8"/>
  <c r="AK37" i="8"/>
  <c r="AL34" i="8"/>
  <c r="N74" i="8"/>
  <c r="R74" i="8"/>
  <c r="AG48" i="8"/>
  <c r="M79" i="8" s="1"/>
  <c r="AG49" i="8"/>
  <c r="I76" i="8"/>
  <c r="AD51" i="8"/>
  <c r="P76" i="8" s="1"/>
  <c r="P79" i="8" s="1"/>
  <c r="O76" i="8"/>
  <c r="J79" i="8"/>
  <c r="K79" i="8"/>
  <c r="AA49" i="8"/>
  <c r="N75" i="8" s="1"/>
  <c r="X45" i="8"/>
  <c r="O74" i="8"/>
  <c r="X47" i="8"/>
  <c r="L74" i="8" s="1"/>
  <c r="S79" i="8"/>
  <c r="AG59" i="12"/>
  <c r="W52" i="12"/>
  <c r="W54" i="12"/>
  <c r="W50" i="12"/>
  <c r="AA53" i="8"/>
  <c r="R75" i="8" s="1"/>
  <c r="I74" i="8"/>
  <c r="Q79" i="8"/>
  <c r="AM34" i="12" l="1"/>
  <c r="AM47" i="12" s="1"/>
  <c r="AD62" i="12"/>
  <c r="AD67" i="12"/>
  <c r="AL43" i="12"/>
  <c r="Y52" i="12"/>
  <c r="Y38" i="12"/>
  <c r="AA38" i="12" s="1"/>
  <c r="AB38" i="12"/>
  <c r="AD38" i="12" s="1"/>
  <c r="AB52" i="12"/>
  <c r="Y54" i="12"/>
  <c r="Y40" i="12"/>
  <c r="AA40" i="12" s="1"/>
  <c r="AD49" i="12"/>
  <c r="AD45" i="12"/>
  <c r="Z49" i="12"/>
  <c r="AA49" i="12" s="1"/>
  <c r="AA63" i="12"/>
  <c r="AD63" i="12"/>
  <c r="AD59" i="12"/>
  <c r="Z46" i="12"/>
  <c r="AA46" i="12" s="1"/>
  <c r="AL36" i="12" s="1"/>
  <c r="AB54" i="12"/>
  <c r="AB40" i="12"/>
  <c r="AD40" i="12" s="1"/>
  <c r="Z44" i="12"/>
  <c r="AA44" i="12" s="1"/>
  <c r="AL34" i="12" s="1"/>
  <c r="AL47" i="12" s="1"/>
  <c r="Z45" i="12"/>
  <c r="AA59" i="12" s="1"/>
  <c r="AA45" i="12"/>
  <c r="AL35" i="12" s="1"/>
  <c r="AA55" i="12"/>
  <c r="AL45" i="12" s="1"/>
  <c r="AA69" i="12"/>
  <c r="AD46" i="12"/>
  <c r="AM36" i="12" s="1"/>
  <c r="Z48" i="12"/>
  <c r="AA48" i="12" s="1"/>
  <c r="AL38" i="12" s="1"/>
  <c r="Y36" i="12"/>
  <c r="AA36" i="12" s="1"/>
  <c r="Y50" i="12"/>
  <c r="AB50" i="12"/>
  <c r="AB36" i="12"/>
  <c r="AD36" i="12" s="1"/>
  <c r="AD53" i="12"/>
  <c r="AM43" i="12" s="1"/>
  <c r="AC55" i="12"/>
  <c r="AD55" i="12" s="1"/>
  <c r="AM45" i="12" s="1"/>
  <c r="AD69" i="12"/>
  <c r="AK35" i="12"/>
  <c r="AK38" i="12"/>
  <c r="AM38" i="12"/>
  <c r="AK36" i="12"/>
  <c r="X54" i="12"/>
  <c r="X68" i="12"/>
  <c r="X52" i="12"/>
  <c r="AK42" i="12" s="1"/>
  <c r="X66" i="12"/>
  <c r="AK34" i="12"/>
  <c r="X50" i="12"/>
  <c r="AK40" i="12" s="1"/>
  <c r="X64" i="12"/>
  <c r="AK45" i="12"/>
  <c r="AM35" i="12"/>
  <c r="AL47" i="8"/>
  <c r="AM47" i="8"/>
  <c r="R79" i="8"/>
  <c r="L79" i="8"/>
  <c r="I79" i="8"/>
  <c r="O79" i="8"/>
  <c r="N79" i="8"/>
  <c r="AA62" i="12" l="1"/>
  <c r="AA58" i="12"/>
  <c r="AA60" i="12"/>
  <c r="Z50" i="12"/>
  <c r="AA64" i="12" s="1"/>
  <c r="Z54" i="12"/>
  <c r="AA54" i="12" s="1"/>
  <c r="AL44" i="12" s="1"/>
  <c r="AC52" i="12"/>
  <c r="AD52" i="12" s="1"/>
  <c r="AC50" i="12"/>
  <c r="AD50" i="12" s="1"/>
  <c r="AD64" i="12"/>
  <c r="AC54" i="12"/>
  <c r="AD68" i="12" s="1"/>
  <c r="Z52" i="12"/>
  <c r="AA52" i="12" s="1"/>
  <c r="AK44" i="12"/>
  <c r="AA68" i="12" l="1"/>
  <c r="AD54" i="12"/>
  <c r="AM44" i="12" s="1"/>
  <c r="AD66" i="12"/>
  <c r="AA50" i="12"/>
  <c r="AA66" i="12"/>
</calcChain>
</file>

<file path=xl/sharedStrings.xml><?xml version="1.0" encoding="utf-8"?>
<sst xmlns="http://schemas.openxmlformats.org/spreadsheetml/2006/main" count="272" uniqueCount="109">
  <si>
    <t>γ [kN/m3]</t>
  </si>
  <si>
    <t>φ [°]</t>
  </si>
  <si>
    <t>Soil ID</t>
  </si>
  <si>
    <t>D</t>
  </si>
  <si>
    <t>RockID</t>
  </si>
  <si>
    <t>LEVEL 4</t>
  </si>
  <si>
    <t>LEVEL 3</t>
  </si>
  <si>
    <t>UCS</t>
  </si>
  <si>
    <t>GSI</t>
  </si>
  <si>
    <t>mi</t>
  </si>
  <si>
    <t>Lmax</t>
  </si>
  <si>
    <t>Calcareous rocks</t>
  </si>
  <si>
    <t>Limestones</t>
  </si>
  <si>
    <t>Marlstones</t>
  </si>
  <si>
    <t>Siliciclastic rocks</t>
  </si>
  <si>
    <t>Conglomerates</t>
  </si>
  <si>
    <t>Sandstones</t>
  </si>
  <si>
    <t>Shales</t>
  </si>
  <si>
    <t>Magmatic rocks</t>
  </si>
  <si>
    <t>Plutonic rocks</t>
  </si>
  <si>
    <t>Volcanic rocks</t>
  </si>
  <si>
    <t>Metamorphic rocks</t>
  </si>
  <si>
    <t>Gneiss</t>
  </si>
  <si>
    <t>Marbles</t>
  </si>
  <si>
    <t>Phyllites</t>
  </si>
  <si>
    <t>Quartzites</t>
  </si>
  <si>
    <t>Schists</t>
  </si>
  <si>
    <t>Calcareous rocks and coarse sediments</t>
  </si>
  <si>
    <t>Limestones and sands</t>
  </si>
  <si>
    <t>marlstones and sands</t>
  </si>
  <si>
    <t>Calcareous rocks and fine sediments</t>
  </si>
  <si>
    <t>Limestones and clays</t>
  </si>
  <si>
    <t>Limestones and marls</t>
  </si>
  <si>
    <t>marlstones and marls</t>
  </si>
  <si>
    <t>Conglomerates and sands</t>
  </si>
  <si>
    <t>Sandstones and sands</t>
  </si>
  <si>
    <t>Siliciclastic rocks and fine sediments</t>
  </si>
  <si>
    <t>Claystones and clays</t>
  </si>
  <si>
    <t>Conglomerates and clays</t>
  </si>
  <si>
    <t>Sandstones and clays</t>
  </si>
  <si>
    <t>Sandstones and marls</t>
  </si>
  <si>
    <t>Level4</t>
  </si>
  <si>
    <t>Level3</t>
  </si>
  <si>
    <t>Lmax/2</t>
  </si>
  <si>
    <t>3L/4</t>
  </si>
  <si>
    <t>L/2</t>
  </si>
  <si>
    <t>L/4</t>
  </si>
  <si>
    <t>c [MPa]</t>
  </si>
  <si>
    <t>W [kN]</t>
  </si>
  <si>
    <t>N [kN]</t>
  </si>
  <si>
    <t>C [kN]</t>
  </si>
  <si>
    <t>FS</t>
  </si>
  <si>
    <t>avg(fi,90)</t>
  </si>
  <si>
    <t>Lup</t>
  </si>
  <si>
    <t>Ip</t>
  </si>
  <si>
    <t>W(Lmax,Lup)</t>
  </si>
  <si>
    <t>alfa</t>
  </si>
  <si>
    <t>N(W,alfa)</t>
  </si>
  <si>
    <t>Lup(alfa,Lmax)</t>
  </si>
  <si>
    <t>Stab</t>
  </si>
  <si>
    <t>Unstab</t>
  </si>
  <si>
    <t>beta</t>
  </si>
  <si>
    <t>acc</t>
  </si>
  <si>
    <t>Vol</t>
  </si>
  <si>
    <t>Diam</t>
  </si>
  <si>
    <t>Sup</t>
  </si>
  <si>
    <t>Superfice</t>
  </si>
  <si>
    <t>lato2</t>
  </si>
  <si>
    <t>lato1</t>
  </si>
  <si>
    <t>latp2</t>
  </si>
  <si>
    <t>angol1</t>
  </si>
  <si>
    <t>angol2</t>
  </si>
  <si>
    <t>Perim</t>
  </si>
  <si>
    <t>Per</t>
  </si>
  <si>
    <t>U</t>
  </si>
  <si>
    <t>Uc</t>
  </si>
  <si>
    <t>U [kN]</t>
  </si>
  <si>
    <t>hc</t>
  </si>
  <si>
    <t>hc/Ip</t>
  </si>
  <si>
    <t>avg</t>
  </si>
  <si>
    <t>st.d</t>
  </si>
  <si>
    <t>https://agupubs.onlinelibrary.wiley.com/doi/epdf/10.1029/2001JB000650</t>
  </si>
  <si>
    <t>vol</t>
  </si>
  <si>
    <t>a</t>
  </si>
  <si>
    <t>b1</t>
  </si>
  <si>
    <t>b2</t>
  </si>
  <si>
    <t>Acc=a*V^-b1</t>
  </si>
  <si>
    <t>pga</t>
  </si>
  <si>
    <t>im</t>
  </si>
  <si>
    <t>maf=0.0572*exp(-16.34*acc)</t>
  </si>
  <si>
    <t>maf eq</t>
  </si>
  <si>
    <t>maf stat</t>
  </si>
  <si>
    <t>x</t>
  </si>
  <si>
    <t>y</t>
  </si>
  <si>
    <t>high</t>
  </si>
  <si>
    <t>low</t>
  </si>
  <si>
    <t>NUMB=V^-b2</t>
  </si>
  <si>
    <t>MAF=NUMB/year</t>
  </si>
  <si>
    <t>year = 10^4</t>
  </si>
  <si>
    <t>MAF=V^-b2*10^-4</t>
  </si>
  <si>
    <t>Aceleration [g]</t>
  </si>
  <si>
    <t>height</t>
  </si>
  <si>
    <t>shape della spinta, libro di Luca pg.147</t>
  </si>
  <si>
    <t>Vol_wat</t>
  </si>
  <si>
    <t>mm_rain</t>
  </si>
  <si>
    <t>Rain [-]</t>
  </si>
  <si>
    <t>EXIST</t>
  </si>
  <si>
    <t>1mm</t>
  </si>
  <si>
    <t>Generic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</si>
</sst>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E+00"/>
    <numFmt numFmtId="167" formatCode="0.0000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right"/>
    </xf>
    <xf numFmtId="0" fontId="1" fillId="4" borderId="16" xfId="0" applyFont="1" applyFill="1" applyBorder="1"/>
    <xf numFmtId="0" fontId="1" fillId="4" borderId="12" xfId="0" applyFont="1" applyFill="1" applyBorder="1"/>
    <xf numFmtId="0" fontId="1" fillId="4" borderId="13" xfId="0" applyFont="1" applyFill="1" applyBorder="1"/>
    <xf numFmtId="0" fontId="1" fillId="4" borderId="14" xfId="0" applyFont="1" applyFill="1" applyBorder="1"/>
    <xf numFmtId="0" fontId="1" fillId="4" borderId="15" xfId="0" applyFont="1" applyFill="1" applyBorder="1"/>
    <xf numFmtId="0" fontId="1" fillId="0" borderId="0" xfId="0" applyFont="1" applyBorder="1"/>
    <xf numFmtId="0" fontId="1" fillId="0" borderId="0" xfId="0" applyFont="1"/>
    <xf numFmtId="0" fontId="1" fillId="4" borderId="17" xfId="0" applyFont="1" applyFill="1" applyBorder="1"/>
    <xf numFmtId="0" fontId="1" fillId="4" borderId="18" xfId="0" applyFont="1" applyFill="1" applyBorder="1"/>
    <xf numFmtId="0" fontId="1" fillId="4" borderId="19" xfId="0" applyFont="1" applyFill="1" applyBorder="1"/>
    <xf numFmtId="0" fontId="1" fillId="4" borderId="15" xfId="0" applyFont="1" applyFill="1" applyBorder="1" applyAlignment="1">
      <alignment horizontal="right"/>
    </xf>
    <xf numFmtId="0" fontId="1" fillId="4" borderId="16" xfId="0" applyFont="1" applyFill="1" applyBorder="1" applyAlignment="1">
      <alignment horizontal="right"/>
    </xf>
    <xf numFmtId="0" fontId="1" fillId="4" borderId="1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1" xfId="1" applyBorder="1"/>
    <xf numFmtId="165" fontId="0" fillId="0" borderId="1" xfId="0" applyNumberFormat="1" applyBorder="1" applyAlignment="1">
      <alignment horizontal="center"/>
    </xf>
    <xf numFmtId="164" fontId="0" fillId="0" borderId="0" xfId="0" applyNumberFormat="1"/>
    <xf numFmtId="164" fontId="0" fillId="0" borderId="20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1" fontId="0" fillId="0" borderId="0" xfId="0" applyNumberFormat="1"/>
    <xf numFmtId="166" fontId="0" fillId="0" borderId="20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0" xfId="0" applyFont="1"/>
    <xf numFmtId="0" fontId="4" fillId="0" borderId="0" xfId="0" applyFont="1" applyFill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164" fontId="4" fillId="0" borderId="20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0" xfId="0" applyNumberFormat="1" applyFont="1"/>
    <xf numFmtId="166" fontId="4" fillId="0" borderId="20" xfId="0" applyNumberFormat="1" applyFont="1" applyBorder="1" applyAlignment="1">
      <alignment horizontal="center"/>
    </xf>
    <xf numFmtId="0" fontId="0" fillId="5" borderId="0" xfId="0" applyFill="1"/>
    <xf numFmtId="0" fontId="0" fillId="6" borderId="0" xfId="0" applyFill="1"/>
    <xf numFmtId="2" fontId="0" fillId="0" borderId="10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0" fillId="0" borderId="1" xfId="0" applyBorder="1" applyAlignment="1">
      <alignment vertical="center" wrapText="1"/>
    </xf>
    <xf numFmtId="167" fontId="2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Acc_crit_perType!$AJ$64</c:f>
              <c:strCache>
                <c:ptCount val="1"/>
                <c:pt idx="0">
                  <c:v>pga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5292213473315833E-2"/>
                  <c:y val="-0.389027777777777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Acc_crit_perType!$AJ$65:$AJ$264</c:f>
              <c:numCache>
                <c:formatCode>General</c:formatCode>
                <c:ptCount val="2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</c:numCache>
            </c:numRef>
          </c:xVal>
          <c:yVal>
            <c:numRef>
              <c:f>Acc_crit_perType!$AI$65:$AI$264</c:f>
              <c:numCache>
                <c:formatCode>General</c:formatCode>
                <c:ptCount val="200"/>
                <c:pt idx="0">
                  <c:v>0.1</c:v>
                </c:pt>
                <c:pt idx="1">
                  <c:v>4.0648760905595202E-2</c:v>
                </c:pt>
                <c:pt idx="2">
                  <c:v>3.4525745991815703E-2</c:v>
                </c:pt>
                <c:pt idx="3">
                  <c:v>2.9325054681489701E-2</c:v>
                </c:pt>
                <c:pt idx="4">
                  <c:v>2.4907755281412699E-2</c:v>
                </c:pt>
                <c:pt idx="5">
                  <c:v>2.1155843693970701E-2</c:v>
                </c:pt>
                <c:pt idx="6">
                  <c:v>1.79690910460212E-2</c:v>
                </c:pt>
                <c:pt idx="7">
                  <c:v>1.52623661665747E-2</c:v>
                </c:pt>
                <c:pt idx="8">
                  <c:v>1.29633613857269E-2</c:v>
                </c:pt>
                <c:pt idx="9">
                  <c:v>1.1010660901649099E-2</c:v>
                </c:pt>
                <c:pt idx="10">
                  <c:v>9.35210011383222E-3</c:v>
                </c:pt>
                <c:pt idx="11">
                  <c:v>7.9433720936806593E-3</c:v>
                </c:pt>
                <c:pt idx="12">
                  <c:v>6.7468439655966501E-3</c:v>
                </c:pt>
                <c:pt idx="13">
                  <c:v>5.7305515792620597E-3</c:v>
                </c:pt>
                <c:pt idx="14">
                  <c:v>4.8673456167114496E-3</c:v>
                </c:pt>
                <c:pt idx="15">
                  <c:v>4.1341663232304197E-3</c:v>
                </c:pt>
                <c:pt idx="16">
                  <c:v>3.5114274871814199E-3</c:v>
                </c:pt>
                <c:pt idx="17">
                  <c:v>2.9824932123433501E-3</c:v>
                </c:pt>
                <c:pt idx="18">
                  <c:v>2.5332335052187802E-3</c:v>
                </c:pt>
                <c:pt idx="19">
                  <c:v>2.1516468052314398E-3</c:v>
                </c:pt>
                <c:pt idx="20">
                  <c:v>1.8275393740549901E-3</c:v>
                </c:pt>
                <c:pt idx="21">
                  <c:v>1.5522529792532801E-3</c:v>
                </c:pt>
                <c:pt idx="22">
                  <c:v>1.3184335975506001E-3</c:v>
                </c:pt>
                <c:pt idx="23">
                  <c:v>1.1198349588521399E-3</c:v>
                </c:pt>
                <c:pt idx="24">
                  <c:v>9.5115168287362799E-4</c:v>
                </c:pt>
                <c:pt idx="25">
                  <c:v>8.0787755077824997E-4</c:v>
                </c:pt>
                <c:pt idx="26">
                  <c:v>6.8618512567798198E-4</c:v>
                </c:pt>
                <c:pt idx="27">
                  <c:v>5.8282350617135602E-4</c:v>
                </c:pt>
                <c:pt idx="28">
                  <c:v>4.9503148149743204E-4</c:v>
                </c:pt>
                <c:pt idx="29">
                  <c:v>4.2046376832559199E-4</c:v>
                </c:pt>
                <c:pt idx="30">
                  <c:v>3.5712835866474901E-4</c:v>
                </c:pt>
                <c:pt idx="31">
                  <c:v>3.0333330519887998E-4</c:v>
                </c:pt>
                <c:pt idx="32">
                  <c:v>2.57641522467979E-4</c:v>
                </c:pt>
                <c:pt idx="33">
                  <c:v>2.1883239644949999E-4</c:v>
                </c:pt>
                <c:pt idx="34">
                  <c:v>1.8586917697547301E-4</c:v>
                </c:pt>
                <c:pt idx="35">
                  <c:v>1.5787128190369201E-4</c:v>
                </c:pt>
                <c:pt idx="36">
                  <c:v>1.3409077317431701E-4</c:v>
                </c:pt>
                <c:pt idx="37">
                  <c:v>1.13892376331339E-4</c:v>
                </c:pt>
                <c:pt idx="38" formatCode="0.00E+00">
                  <c:v>9.6736509748783904E-5</c:v>
                </c:pt>
                <c:pt idx="39" formatCode="0.00E+00">
                  <c:v>8.2164870203007602E-5</c:v>
                </c:pt>
                <c:pt idx="40" formatCode="0.00E+00">
                  <c:v>6.9788189722877101E-5</c:v>
                </c:pt>
                <c:pt idx="41" formatCode="0.00E+00">
                  <c:v>5.9275836653339197E-5</c:v>
                </c:pt>
                <c:pt idx="42" formatCode="0.00E+00">
                  <c:v>5.0346983134333297E-5</c:v>
                </c:pt>
                <c:pt idx="43" formatCode="0.00E+00">
                  <c:v>4.2763103042360001E-5</c:v>
                </c:pt>
                <c:pt idx="44" formatCode="0.00E+00">
                  <c:v>3.6321599984100298E-5</c:v>
                </c:pt>
                <c:pt idx="45" formatCode="0.00E+00">
                  <c:v>3.0850395119787499E-5</c:v>
                </c:pt>
                <c:pt idx="46" formatCode="0.00E+00">
                  <c:v>2.6203330235001599E-5</c:v>
                </c:pt>
                <c:pt idx="47" formatCode="0.00E+00">
                  <c:v>2.2256263258169901E-5</c:v>
                </c:pt>
                <c:pt idx="48" formatCode="0.00E+00">
                  <c:v>1.8903751919109199E-5</c:v>
                </c:pt>
                <c:pt idx="49" formatCode="0.00E+00">
                  <c:v>1.60562369555925E-5</c:v>
                </c:pt>
                <c:pt idx="50" formatCode="0.00E+00">
                  <c:v>1.3637649619890001E-5</c:v>
                </c:pt>
                <c:pt idx="51" formatCode="0.00E+00">
                  <c:v>1.1583379572017799E-5</c:v>
                </c:pt>
                <c:pt idx="52" formatCode="0.00E+00">
                  <c:v>9.8385488738286604E-6</c:v>
                </c:pt>
                <c:pt idx="53" formatCode="0.00E+00">
                  <c:v>8.3565459752825193E-6</c:v>
                </c:pt>
                <c:pt idx="54" formatCode="0.00E+00">
                  <c:v>7.0977805296844899E-6</c:v>
                </c:pt>
                <c:pt idx="55" formatCode="0.00E+00">
                  <c:v>6.0286257739239101E-6</c:v>
                </c:pt>
                <c:pt idx="56" formatCode="0.00E+00">
                  <c:v>5.1205202203730702E-6</c:v>
                </c:pt>
                <c:pt idx="57" formatCode="0.00E+00">
                  <c:v>4.34920466296974E-6</c:v>
                </c:pt>
                <c:pt idx="58" formatCode="0.00E+00">
                  <c:v>3.6940741148014899E-6</c:v>
                </c:pt>
                <c:pt idx="59" formatCode="0.00E+00">
                  <c:v>3.1376273647992599E-6</c:v>
                </c:pt>
                <c:pt idx="60" formatCode="0.00E+00">
                  <c:v>2.6649994489528998E-6</c:v>
                </c:pt>
                <c:pt idx="61" formatCode="0.00E+00">
                  <c:v>2.2635645464462798E-6</c:v>
                </c:pt>
                <c:pt idx="62" formatCode="0.00E+00">
                  <c:v>1.9225986924468899E-6</c:v>
                </c:pt>
                <c:pt idx="63" formatCode="0.00E+00">
                  <c:v>1.6329932972318799E-6</c:v>
                </c:pt>
                <c:pt idx="64" formatCode="0.00E+00">
                  <c:v>1.38701181857686E-6</c:v>
                </c:pt>
                <c:pt idx="65" formatCode="0.00E+00">
                  <c:v>1.17808308713389E-6</c:v>
                </c:pt>
                <c:pt idx="66" formatCode="0.00E+00">
                  <c:v>1.00062576367586E-6</c:v>
                </c:pt>
                <c:pt idx="67" formatCode="0.00E+00">
                  <c:v>8.4989923874369196E-7</c:v>
                </c:pt>
                <c:pt idx="68" formatCode="0.00E+00">
                  <c:v>7.2187699161730702E-7</c:v>
                </c:pt>
                <c:pt idx="69" formatCode="0.00E+00">
                  <c:v>6.1313902551171199E-7</c:v>
                </c:pt>
                <c:pt idx="70" formatCode="0.00E+00">
                  <c:v>5.2078050550300804E-7</c:v>
                </c:pt>
                <c:pt idx="71" formatCode="0.00E+00">
                  <c:v>4.42334158530558E-7</c:v>
                </c:pt>
                <c:pt idx="72" formatCode="0.00E+00">
                  <c:v>3.7570436246255803E-7</c:v>
                </c:pt>
                <c:pt idx="73" formatCode="0.00E+00">
                  <c:v>3.1911116347494502E-7</c:v>
                </c:pt>
                <c:pt idx="74" formatCode="0.00E+00">
                  <c:v>2.7104272621929202E-7</c:v>
                </c:pt>
                <c:pt idx="75" formatCode="0.00E+00">
                  <c:v>2.3021494652961099E-7</c:v>
                </c:pt>
                <c:pt idx="76" formatCode="0.00E+00">
                  <c:v>1.9553714775858499E-7</c:v>
                </c:pt>
                <c:pt idx="77" formatCode="0.00E+00">
                  <c:v>1.6608294435237701E-7</c:v>
                </c:pt>
                <c:pt idx="78" formatCode="0.00E+00">
                  <c:v>1.4106549431113801E-7</c:v>
                </c:pt>
                <c:pt idx="79" formatCode="0.00E+00">
                  <c:v>1.19816479427442E-7</c:v>
                </c:pt>
                <c:pt idx="80" formatCode="0.00E+00">
                  <c:v>1.0176825177901201E-7</c:v>
                </c:pt>
                <c:pt idx="81" formatCode="0.00E+00">
                  <c:v>8.6438669535673404E-8</c:v>
                </c:pt>
                <c:pt idx="82" formatCode="0.00E+00">
                  <c:v>7.3418216983051303E-8</c:v>
                </c:pt>
                <c:pt idx="83" formatCode="0.00E+00">
                  <c:v>6.2359064686272595E-8</c:v>
                </c:pt>
                <c:pt idx="84" formatCode="0.00E+00">
                  <c:v>5.2965777545979403E-8</c:v>
                </c:pt>
                <c:pt idx="85" formatCode="0.00E+00">
                  <c:v>4.4987422520910903E-8</c:v>
                </c:pt>
                <c:pt idx="86" formatCode="0.00E+00">
                  <c:v>3.8210865182108501E-8</c:v>
                </c:pt>
                <c:pt idx="87" formatCode="0.00E+00">
                  <c:v>3.2455076022339501E-8</c:v>
                </c:pt>
                <c:pt idx="88" formatCode="0.00E+00">
                  <c:v>2.7566294419029199E-8</c:v>
                </c:pt>
                <c:pt idx="89" formatCode="0.00E+00">
                  <c:v>2.3413921060408099E-8</c:v>
                </c:pt>
                <c:pt idx="90" formatCode="0.00E+00">
                  <c:v>1.9887029104811001E-8</c:v>
                </c:pt>
                <c:pt idx="91" formatCode="0.00E+00">
                  <c:v>1.68914008719523E-8</c:v>
                </c:pt>
                <c:pt idx="92" formatCode="0.00E+00">
                  <c:v>1.4347010904105701E-8</c:v>
                </c:pt>
                <c:pt idx="93" formatCode="0.00E+00">
                  <c:v>1.2185888159478499E-8</c:v>
                </c:pt>
                <c:pt idx="94" formatCode="0.00E+00">
                  <c:v>1.0350300228239301E-8</c:v>
                </c:pt>
                <c:pt idx="95" formatCode="0.00E+00">
                  <c:v>8.7912110641984107E-9</c:v>
                </c:pt>
                <c:pt idx="96" formatCode="0.00E+00">
                  <c:v>7.4669710318568602E-9</c:v>
                </c:pt>
                <c:pt idx="97" formatCode="0.00E+00">
                  <c:v>6.34220427463633E-9</c:v>
                </c:pt>
                <c:pt idx="98" formatCode="0.00E+00">
                  <c:v>5.38686368135175E-9</c:v>
                </c:pt>
                <c:pt idx="99" formatCode="0.00E+00">
                  <c:v>4.5754282052245203E-9</c:v>
                </c:pt>
                <c:pt idx="100" formatCode="0.00E+00">
                  <c:v>3.88622109255062E-9</c:v>
                </c:pt>
                <c:pt idx="101" formatCode="0.00E+00">
                  <c:v>3.3008308081285301E-9</c:v>
                </c:pt>
                <c:pt idx="102" formatCode="0.00E+00">
                  <c:v>2.8036191880013399E-9</c:v>
                </c:pt>
                <c:pt idx="103" formatCode="0.00E+00">
                  <c:v>2.38130368026522E-9</c:v>
                </c:pt>
                <c:pt idx="104" formatCode="0.00E+00">
                  <c:v>2.02260251389105E-9</c:v>
                </c:pt>
                <c:pt idx="105" formatCode="0.00E+00">
                  <c:v>1.71793331657E-9</c:v>
                </c:pt>
                <c:pt idx="106" formatCode="0.00E+00">
                  <c:v>1.4591571304356601E-9</c:v>
                </c:pt>
                <c:pt idx="107" formatCode="0.00E+00">
                  <c:v>1.2393609872775699E-9</c:v>
                </c:pt>
                <c:pt idx="108" formatCode="0.00E+00">
                  <c:v>1.05267323494285E-9</c:v>
                </c:pt>
                <c:pt idx="109" formatCode="0.00E+00">
                  <c:v>8.9410668154012595E-10</c:v>
                </c:pt>
                <c:pt idx="110" formatCode="0.00E+00">
                  <c:v>7.5942536718728202E-10</c:v>
                </c:pt>
                <c:pt idx="111" formatCode="0.00E+00">
                  <c:v>6.4503140423255604E-10</c:v>
                </c:pt>
                <c:pt idx="112" formatCode="0.00E+00">
                  <c:v>5.4786886298942503E-10</c:v>
                </c:pt>
                <c:pt idx="113" formatCode="0.00E+00">
                  <c:v>4.65342135380911E-10</c:v>
                </c:pt>
                <c:pt idx="114" formatCode="0.00E+00">
                  <c:v>3.9524659565303002E-10</c:v>
                </c:pt>
                <c:pt idx="115" formatCode="0.00E+00">
                  <c:v>3.35709705822005E-10</c:v>
                </c:pt>
                <c:pt idx="116" formatCode="0.00E+00">
                  <c:v>2.8514099254135798E-10</c:v>
                </c:pt>
                <c:pt idx="117" formatCode="0.00E+00">
                  <c:v>2.4218955906678199E-10</c:v>
                </c:pt>
                <c:pt idx="118" formatCode="0.00E+00">
                  <c:v>2.0570799728998901E-10</c:v>
                </c:pt>
                <c:pt idx="119" formatCode="0.00E+00">
                  <c:v>1.74721735784612E-10</c:v>
                </c:pt>
                <c:pt idx="120" formatCode="0.00E+00">
                  <c:v>1.4840300502538299E-10</c:v>
                </c:pt>
                <c:pt idx="121" formatCode="0.00E+00">
                  <c:v>1.2604872428530199E-10</c:v>
                </c:pt>
                <c:pt idx="122" formatCode="0.00E+00">
                  <c:v>1.07061719479565E-10</c:v>
                </c:pt>
                <c:pt idx="123" formatCode="0.00E+00">
                  <c:v>9.0934770208203703E-11</c:v>
                </c:pt>
                <c:pt idx="124" formatCode="0.00E+00">
                  <c:v>7.7237059828813E-11</c:v>
                </c:pt>
                <c:pt idx="125" formatCode="0.00E+00">
                  <c:v>6.5602666585519796E-11</c:v>
                </c:pt>
                <c:pt idx="126" formatCode="0.00E+00">
                  <c:v>5.5720788345252197E-11</c:v>
                </c:pt>
                <c:pt idx="127" formatCode="0.00E+00">
                  <c:v>4.7327439804126903E-11</c:v>
                </c:pt>
                <c:pt idx="128" formatCode="0.00E+00">
                  <c:v>4.0198400362440502E-11</c:v>
                </c:pt>
                <c:pt idx="129" formatCode="0.00E+00">
                  <c:v>3.41432242772224E-11</c:v>
                </c:pt>
                <c:pt idx="130" formatCode="0.00E+00">
                  <c:v>2.90001530790749E-11</c:v>
                </c:pt>
                <c:pt idx="131" formatCode="0.00E+00">
                  <c:v>2.4631794343184901E-11</c:v>
                </c:pt>
                <c:pt idx="132" formatCode="0.00E+00">
                  <c:v>2.0921451376845901E-11</c:v>
                </c:pt>
                <c:pt idx="133" formatCode="0.00E+00">
                  <c:v>1.7770005774460799E-11</c:v>
                </c:pt>
                <c:pt idx="134" formatCode="0.00E+00">
                  <c:v>1.5093269560344299E-11</c:v>
                </c:pt>
                <c:pt idx="135" formatCode="0.00E+00">
                  <c:v>1.2819736184251599E-11</c:v>
                </c:pt>
                <c:pt idx="136" formatCode="0.00E+00">
                  <c:v>1.0888670289544699E-11</c:v>
                </c:pt>
                <c:pt idx="137" formatCode="0.00E+00">
                  <c:v>9.2484852239051804E-12</c:v>
                </c:pt>
                <c:pt idx="138" formatCode="0.00E+00">
                  <c:v>7.8553649492833294E-12</c:v>
                </c:pt>
                <c:pt idx="139" formatCode="0.00E+00">
                  <c:v>6.6720935366725303E-12</c:v>
                </c:pt>
                <c:pt idx="140" formatCode="0.00E+00">
                  <c:v>5.6670609767365102E-12</c:v>
                </c:pt>
                <c:pt idx="141" formatCode="0.00E+00">
                  <c:v>4.8134187474335704E-12</c:v>
                </c:pt>
                <c:pt idx="142" formatCode="0.00E+00">
                  <c:v>4.0883625804018E-12</c:v>
                </c:pt>
                <c:pt idx="143" formatCode="0.00E+00">
                  <c:v>3.4725232658683001E-12</c:v>
                </c:pt>
                <c:pt idx="144" formatCode="0.00E+00">
                  <c:v>2.9494492219942802E-12</c:v>
                </c:pt>
                <c:pt idx="145" formatCode="0.00E+00">
                  <c:v>2.5051670059717898E-12</c:v>
                </c:pt>
                <c:pt idx="146" formatCode="0.00E+00">
                  <c:v>2.1278080263291299E-12</c:v>
                </c:pt>
                <c:pt idx="147" formatCode="0.00E+00">
                  <c:v>1.8072914844072001E-12</c:v>
                </c:pt>
                <c:pt idx="148" formatCode="0.00E+00">
                  <c:v>1.5350550750791899E-12</c:v>
                </c:pt>
                <c:pt idx="149" formatCode="0.00E+00">
                  <c:v>1.3038262526309E-12</c:v>
                </c:pt>
                <c:pt idx="150" formatCode="0.00E+00">
                  <c:v>1.1074279513794201E-12</c:v>
                </c:pt>
                <c:pt idx="151" formatCode="0.00E+00">
                  <c:v>9.4061357103507898E-13</c:v>
                </c:pt>
                <c:pt idx="152" formatCode="0.00E+00">
                  <c:v>7.9892681859194599E-13</c:v>
                </c:pt>
                <c:pt idx="153" formatCode="0.00E+00">
                  <c:v>6.7858266255191502E-13</c:v>
                </c:pt>
                <c:pt idx="154" formatCode="0.00E+00">
                  <c:v>5.7636621928351396E-13</c:v>
                </c:pt>
                <c:pt idx="155" formatCode="0.00E+00">
                  <c:v>4.8954687035753301E-13</c:v>
                </c:pt>
                <c:pt idx="156" formatCode="0.00E+00">
                  <c:v>4.1580531658287302E-13</c:v>
                </c:pt>
                <c:pt idx="157" formatCode="0.00E+00">
                  <c:v>3.5317162005818298E-13</c:v>
                </c:pt>
                <c:pt idx="158" formatCode="0.00E+00">
                  <c:v>2.99972579089575E-13</c:v>
                </c:pt>
                <c:pt idx="159" formatCode="0.00E+00">
                  <c:v>2.5478703014366499E-13</c:v>
                </c:pt>
                <c:pt idx="160" formatCode="0.00E+00">
                  <c:v>2.16407882768659E-13</c:v>
                </c:pt>
                <c:pt idx="161" formatCode="0.00E+00">
                  <c:v>1.8380987328125099E-13</c:v>
                </c:pt>
                <c:pt idx="162" formatCode="0.00E+00">
                  <c:v>1.5612217578870401E-13</c:v>
                </c:pt>
                <c:pt idx="163" formatCode="0.00E+00">
                  <c:v>1.3260513887468701E-13</c:v>
                </c:pt>
                <c:pt idx="164" formatCode="0.00E+00">
                  <c:v>1.12630526490826E-13</c:v>
                </c:pt>
                <c:pt idx="165" formatCode="0.00E+00">
                  <c:v>9.5664735207499794E-14</c:v>
                </c:pt>
                <c:pt idx="166" formatCode="0.00E+00">
                  <c:v>8.1254539488159704E-14</c:v>
                </c:pt>
                <c:pt idx="167" formatCode="0.00E+00">
                  <c:v>6.9014984185262595E-14</c:v>
                </c:pt>
                <c:pt idx="168" formatCode="0.00E+00">
                  <c:v>5.8619100816959201E-14</c:v>
                </c:pt>
                <c:pt idx="169" formatCode="0.00E+00">
                  <c:v>4.9789172904318303E-14</c:v>
                </c:pt>
                <c:pt idx="170" formatCode="0.00E+00">
                  <c:v>4.2289317030582899E-14</c:v>
                </c:pt>
                <c:pt idx="171" formatCode="0.00E+00">
                  <c:v>3.5919181432275798E-14</c:v>
                </c:pt>
                <c:pt idx="172" formatCode="0.00E+00">
                  <c:v>3.0508593785794699E-14</c:v>
                </c:pt>
                <c:pt idx="173" formatCode="0.00E+00">
                  <c:v>2.59130152100368E-14</c:v>
                </c:pt>
                <c:pt idx="174" formatCode="0.00E+00">
                  <c:v>2.2009679042901399E-14</c:v>
                </c:pt>
                <c:pt idx="175" formatCode="0.00E+00">
                  <c:v>1.8694311242633799E-14</c:v>
                </c:pt>
                <c:pt idx="176" formatCode="0.00E+00">
                  <c:v>1.5878344802541699E-14</c:v>
                </c:pt>
                <c:pt idx="177" formatCode="0.00E+00">
                  <c:v>1.34865537647314E-14</c:v>
                </c:pt>
                <c:pt idx="178" formatCode="0.00E+00">
                  <c:v>1.14550436277134E-14</c:v>
                </c:pt>
                <c:pt idx="179" formatCode="0.00E+00">
                  <c:v>9.7295444634614395E-15</c:v>
                </c:pt>
                <c:pt idx="180" formatCode="0.00E+00">
                  <c:v>8.2639611461147394E-15</c:v>
                </c:pt>
                <c:pt idx="181" formatCode="0.00E+00">
                  <c:v>7.01914196301414E-15</c:v>
                </c:pt>
                <c:pt idx="182" formatCode="0.00E+00">
                  <c:v>5.9618327126464402E-15</c:v>
                </c:pt>
                <c:pt idx="183" formatCode="0.00E+00">
                  <c:v>5.0637883491842402E-15</c:v>
                </c:pt>
                <c:pt idx="184" formatCode="0.00E+00">
                  <c:v>4.3010184420206003E-15</c:v>
                </c:pt>
                <c:pt idx="185" formatCode="0.00E+00">
                  <c:v>3.6531462934428104E-15</c:v>
                </c:pt>
                <c:pt idx="186" formatCode="0.00E+00">
                  <c:v>3.1028645938623999E-15</c:v>
                </c:pt>
                <c:pt idx="187" formatCode="0.00E+00">
                  <c:v>2.63547307293064E-15</c:v>
                </c:pt>
                <c:pt idx="188" formatCode="0.00E+00">
                  <c:v>2.2384857953135901E-15</c:v>
                </c:pt>
                <c:pt idx="189" formatCode="0.00E+00">
                  <c:v>1.90129761039398E-15</c:v>
                </c:pt>
                <c:pt idx="190" formatCode="0.00E+00">
                  <c:v>1.61490084540985E-15</c:v>
                </c:pt>
                <c:pt idx="191" formatCode="0.00E+00">
                  <c:v>1.3716446737473499E-15</c:v>
                </c:pt>
                <c:pt idx="192" formatCode="0.00E+00">
                  <c:v>1.16503073013253E-15</c:v>
                </c:pt>
                <c:pt idx="193" formatCode="0.00E+00">
                  <c:v>9.8953951276971607E-16</c:v>
                </c:pt>
                <c:pt idx="194" formatCode="0.00E+00">
                  <c:v>8.4048293491892498E-16</c:v>
                </c:pt>
                <c:pt idx="195" formatCode="0.00E+00">
                  <c:v>7.13879086963074E-16</c:v>
                </c:pt>
                <c:pt idx="196" formatCode="0.00E+00">
                  <c:v>6.0634586334866301E-16</c:v>
                </c:pt>
                <c:pt idx="197" formatCode="0.00E+00">
                  <c:v>5.1501061274127296E-16</c:v>
                </c:pt>
                <c:pt idx="198" formatCode="0.00E+00">
                  <c:v>4.3743339778278698E-16</c:v>
                </c:pt>
                <c:pt idx="199" formatCode="0.00E+00">
                  <c:v>3.7154181440513398E-16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12-4095-A746-DDD0184B2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905984"/>
        <c:axId val="923905328"/>
      </c:scatterChart>
      <c:valAx>
        <c:axId val="92390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3905328"/>
        <c:crosses val="autoZero"/>
        <c:crossBetween val="midCat"/>
      </c:valAx>
      <c:valAx>
        <c:axId val="923905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390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9671202187593"/>
          <c:y val="5.1104863741702776E-2"/>
          <c:w val="0.8159716227940127"/>
          <c:h val="0.8977902725165944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5.0897200349956255E-2"/>
                  <c:y val="0.27314814814814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Acc_crit_perType!$M$64:$M$66</c:f>
              <c:numCache>
                <c:formatCode>0.0</c:formatCode>
                <c:ptCount val="3"/>
                <c:pt idx="0">
                  <c:v>11840.108141462899</c:v>
                </c:pt>
                <c:pt idx="1">
                  <c:v>4562.9477017464087</c:v>
                </c:pt>
                <c:pt idx="2">
                  <c:v>1195.3733474009266</c:v>
                </c:pt>
              </c:numCache>
            </c:numRef>
          </c:xVal>
          <c:yVal>
            <c:numRef>
              <c:f>Acc_crit_perType!$M$91:$M$93</c:f>
              <c:numCache>
                <c:formatCode>0E+00</c:formatCode>
                <c:ptCount val="3"/>
                <c:pt idx="0">
                  <c:v>6.4032284845578263E-10</c:v>
                </c:pt>
                <c:pt idx="1">
                  <c:v>1.0014209491267652E-9</c:v>
                </c:pt>
                <c:pt idx="2">
                  <c:v>1.8769540214341264E-9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0F-4BCA-991C-893A11707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08384"/>
        <c:axId val="460208712"/>
      </c:scatterChart>
      <c:valAx>
        <c:axId val="46020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0208712"/>
        <c:crosses val="autoZero"/>
        <c:crossBetween val="midCat"/>
      </c:valAx>
      <c:valAx>
        <c:axId val="460208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020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19573731543555"/>
          <c:y val="5.5555555555555552E-2"/>
          <c:w val="0.78927425253449213"/>
          <c:h val="0.8416746864975212"/>
        </c:manualLayout>
      </c:layou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17036548556430448"/>
                  <c:y val="-6.6628390201224852E-2"/>
                </c:manualLayout>
              </c:layout>
              <c:numFmt formatCode="General" sourceLinked="0"/>
            </c:trendlineLbl>
          </c:trendline>
          <c:xVal>
            <c:numRef>
              <c:f>Acc_crit_perType!$AX$81:$AX$114</c:f>
              <c:numCache>
                <c:formatCode>General</c:formatCode>
                <c:ptCount val="34"/>
                <c:pt idx="0">
                  <c:v>11626259.1720108</c:v>
                </c:pt>
                <c:pt idx="1">
                  <c:v>14319900.48870448</c:v>
                </c:pt>
                <c:pt idx="2">
                  <c:v>19109089.741586894</c:v>
                </c:pt>
                <c:pt idx="3">
                  <c:v>19731949.713488426</c:v>
                </c:pt>
                <c:pt idx="4">
                  <c:v>28989451.614287809</c:v>
                </c:pt>
                <c:pt idx="5">
                  <c:v>34578806.550508983</c:v>
                </c:pt>
                <c:pt idx="6">
                  <c:v>38069747.820972234</c:v>
                </c:pt>
                <c:pt idx="7">
                  <c:v>49199421.925238192</c:v>
                </c:pt>
                <c:pt idx="8">
                  <c:v>53305251.90013662</c:v>
                </c:pt>
                <c:pt idx="9">
                  <c:v>63584315.446182802</c:v>
                </c:pt>
                <c:pt idx="10">
                  <c:v>84849639.212010816</c:v>
                </c:pt>
                <c:pt idx="11">
                  <c:v>111426887.6307299</c:v>
                </c:pt>
                <c:pt idx="12">
                  <c:v>137242935.9289898</c:v>
                </c:pt>
                <c:pt idx="13">
                  <c:v>151098446.77243739</c:v>
                </c:pt>
                <c:pt idx="14">
                  <c:v>198426649.8484644</c:v>
                </c:pt>
                <c:pt idx="15">
                  <c:v>252359698.57406497</c:v>
                </c:pt>
                <c:pt idx="16">
                  <c:v>315849359.10690475</c:v>
                </c:pt>
                <c:pt idx="17">
                  <c:v>395312001.92396545</c:v>
                </c:pt>
                <c:pt idx="18">
                  <c:v>464034210.81974161</c:v>
                </c:pt>
                <c:pt idx="19">
                  <c:v>494766173.68167716</c:v>
                </c:pt>
                <c:pt idx="20">
                  <c:v>619241423.04865134</c:v>
                </c:pt>
                <c:pt idx="21">
                  <c:v>750585205.59024024</c:v>
                </c:pt>
                <c:pt idx="22">
                  <c:v>839691969.93375206</c:v>
                </c:pt>
                <c:pt idx="23">
                  <c:v>881069160.14159155</c:v>
                </c:pt>
                <c:pt idx="24">
                  <c:v>1001613109.2283105</c:v>
                </c:pt>
                <c:pt idx="25">
                  <c:v>1067947737.4887031</c:v>
                </c:pt>
                <c:pt idx="26">
                  <c:v>1544045165.8129377</c:v>
                </c:pt>
                <c:pt idx="27">
                  <c:v>2027682719.5212848</c:v>
                </c:pt>
                <c:pt idx="28">
                  <c:v>3386569556.6870275</c:v>
                </c:pt>
                <c:pt idx="29">
                  <c:v>6030731593.6093893</c:v>
                </c:pt>
                <c:pt idx="30">
                  <c:v>8719267466.5191021</c:v>
                </c:pt>
                <c:pt idx="31">
                  <c:v>12405092300.422279</c:v>
                </c:pt>
                <c:pt idx="32">
                  <c:v>14797896996.190331</c:v>
                </c:pt>
                <c:pt idx="33">
                  <c:v>19746948794.09338</c:v>
                </c:pt>
              </c:numCache>
            </c:numRef>
          </c:xVal>
          <c:yVal>
            <c:numRef>
              <c:f>Acc_crit_perType!$AY$81:$AY$114</c:f>
              <c:numCache>
                <c:formatCode>General</c:formatCode>
                <c:ptCount val="34"/>
                <c:pt idx="0">
                  <c:v>7.8060261172199618E-3</c:v>
                </c:pt>
                <c:pt idx="1">
                  <c:v>7.1966436726292769E-3</c:v>
                </c:pt>
                <c:pt idx="2">
                  <c:v>7.1966436726292769E-3</c:v>
                </c:pt>
                <c:pt idx="3">
                  <c:v>6.2608024427006541E-3</c:v>
                </c:pt>
                <c:pt idx="4">
                  <c:v>5.8394238591470762E-3</c:v>
                </c:pt>
                <c:pt idx="5">
                  <c:v>5.4465312527298242E-3</c:v>
                </c:pt>
                <c:pt idx="6">
                  <c:v>4.7381630323678672E-3</c:v>
                </c:pt>
                <c:pt idx="7">
                  <c:v>4.2188103228619871E-3</c:v>
                </c:pt>
                <c:pt idx="8">
                  <c:v>4.5759366143423392E-3</c:v>
                </c:pt>
                <c:pt idx="9">
                  <c:v>4.0743656335738287E-3</c:v>
                </c:pt>
                <c:pt idx="10">
                  <c:v>3.800231031961687E-3</c:v>
                </c:pt>
                <c:pt idx="11">
                  <c:v>3.5035635546190741E-3</c:v>
                </c:pt>
                <c:pt idx="12">
                  <c:v>3.4231032592614108E-3</c:v>
                </c:pt>
                <c:pt idx="13">
                  <c:v>2.9779678169574463E-3</c:v>
                </c:pt>
                <c:pt idx="14">
                  <c:v>2.5906574968824385E-3</c:v>
                </c:pt>
                <c:pt idx="15">
                  <c:v>2.3336192574209031E-3</c:v>
                </c:pt>
                <c:pt idx="16">
                  <c:v>2.0066886764616514E-3</c:v>
                </c:pt>
                <c:pt idx="17">
                  <c:v>1.7457015599637554E-3</c:v>
                </c:pt>
                <c:pt idx="18">
                  <c:v>1.5908528121738783E-3</c:v>
                </c:pt>
                <c:pt idx="19">
                  <c:v>1.3211435231614221E-3</c:v>
                </c:pt>
                <c:pt idx="20">
                  <c:v>1.1763322400306403E-3</c:v>
                </c:pt>
                <c:pt idx="21">
                  <c:v>1.1099923866362848E-3</c:v>
                </c:pt>
                <c:pt idx="22">
                  <c:v>9.6562610926076724E-4</c:v>
                </c:pt>
                <c:pt idx="23">
                  <c:v>8.6981721748370731E-4</c:v>
                </c:pt>
                <c:pt idx="24">
                  <c:v>7.7447071417479903E-4</c:v>
                </c:pt>
                <c:pt idx="25">
                  <c:v>6.5828203039429596E-4</c:v>
                </c:pt>
                <c:pt idx="26">
                  <c:v>5.3413372497163308E-4</c:v>
                </c:pt>
                <c:pt idx="27">
                  <c:v>4.5400119919451981E-4</c:v>
                </c:pt>
                <c:pt idx="28">
                  <c:v>3.5166245205220159E-4</c:v>
                </c:pt>
                <c:pt idx="29">
                  <c:v>2.7879116070946193E-4</c:v>
                </c:pt>
                <c:pt idx="30">
                  <c:v>2.3973365128618888E-4</c:v>
                </c:pt>
                <c:pt idx="31">
                  <c:v>1.9909071211461767E-4</c:v>
                </c:pt>
                <c:pt idx="32">
                  <c:v>1.4893370722400678E-4</c:v>
                </c:pt>
                <c:pt idx="33">
                  <c:v>1.0271600032719115E-4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8D-40E1-AEC4-61A47324B9DD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617555821075147E-2"/>
                  <c:y val="0.1406222659667541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100"/>
                  </a:pPr>
                  <a:endParaRPr lang="it-IT"/>
                </a:p>
              </c:txPr>
            </c:trendlineLbl>
          </c:trendline>
          <c:xVal>
            <c:numRef>
              <c:f>Acc_crit_perType!$AX$64:$AX$80</c:f>
              <c:numCache>
                <c:formatCode>General</c:formatCode>
                <c:ptCount val="17"/>
                <c:pt idx="0">
                  <c:v>102763.7632682963</c:v>
                </c:pt>
                <c:pt idx="1">
                  <c:v>134952.20967994988</c:v>
                </c:pt>
                <c:pt idx="2">
                  <c:v>150976.72486626924</c:v>
                </c:pt>
                <c:pt idx="3">
                  <c:v>236499.37643784314</c:v>
                </c:pt>
                <c:pt idx="4">
                  <c:v>310584.65870911843</c:v>
                </c:pt>
                <c:pt idx="5">
                  <c:v>401383.94767401239</c:v>
                </c:pt>
                <c:pt idx="6">
                  <c:v>494367.5998839009</c:v>
                </c:pt>
                <c:pt idx="7">
                  <c:v>774408.30172450829</c:v>
                </c:pt>
                <c:pt idx="8">
                  <c:v>1033427.4663357964</c:v>
                </c:pt>
                <c:pt idx="9">
                  <c:v>1447004.8940855488</c:v>
                </c:pt>
                <c:pt idx="10">
                  <c:v>1870036.1412108056</c:v>
                </c:pt>
                <c:pt idx="11">
                  <c:v>2747388.0189113896</c:v>
                </c:pt>
                <c:pt idx="12">
                  <c:v>3438586.8658678508</c:v>
                </c:pt>
                <c:pt idx="13">
                  <c:v>4588597.8785914844</c:v>
                </c:pt>
                <c:pt idx="14">
                  <c:v>5651711.7012407072</c:v>
                </c:pt>
                <c:pt idx="15">
                  <c:v>7787714.1096044648</c:v>
                </c:pt>
                <c:pt idx="16">
                  <c:v>9592018.3297211248</c:v>
                </c:pt>
              </c:numCache>
            </c:numRef>
          </c:xVal>
          <c:yVal>
            <c:numRef>
              <c:f>Acc_crit_perType!$AY$64:$AY$80</c:f>
              <c:numCache>
                <c:formatCode>General</c:formatCode>
                <c:ptCount val="17"/>
                <c:pt idx="0">
                  <c:v>1.3010380557796236E-2</c:v>
                </c:pt>
                <c:pt idx="1">
                  <c:v>1.2860267434121764E-2</c:v>
                </c:pt>
                <c:pt idx="2">
                  <c:v>1.2711886308200891E-2</c:v>
                </c:pt>
                <c:pt idx="3">
                  <c:v>1.2565217196329663E-2</c:v>
                </c:pt>
                <c:pt idx="4">
                  <c:v>1.2419954362064962E-2</c:v>
                </c:pt>
                <c:pt idx="5">
                  <c:v>1.2419954362064962E-2</c:v>
                </c:pt>
                <c:pt idx="6">
                  <c:v>1.1856322393532275E-2</c:v>
                </c:pt>
                <c:pt idx="7">
                  <c:v>1.1719524735548454E-2</c:v>
                </c:pt>
                <c:pt idx="8">
                  <c:v>1.1318268699016629E-2</c:v>
                </c:pt>
                <c:pt idx="9">
                  <c:v>1.1318268699016629E-2</c:v>
                </c:pt>
                <c:pt idx="10">
                  <c:v>1.1058596193126158E-2</c:v>
                </c:pt>
                <c:pt idx="11">
                  <c:v>1.0679969194319615E-2</c:v>
                </c:pt>
                <c:pt idx="12">
                  <c:v>1.0077666913980049E-2</c:v>
                </c:pt>
                <c:pt idx="13">
                  <c:v>9.732625218635018E-3</c:v>
                </c:pt>
                <c:pt idx="14">
                  <c:v>9.183748882363188E-3</c:v>
                </c:pt>
                <c:pt idx="15">
                  <c:v>8.9730481869503675E-3</c:v>
                </c:pt>
                <c:pt idx="16">
                  <c:v>8.4670085826908867E-3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8D-40E1-AEC4-61A47324B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870560"/>
        <c:axId val="923870888"/>
      </c:scatterChart>
      <c:valAx>
        <c:axId val="923870560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3870888"/>
        <c:crosses val="autoZero"/>
        <c:crossBetween val="midCat"/>
      </c:valAx>
      <c:valAx>
        <c:axId val="923870888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387056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Diametro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119573731543555"/>
          <c:y val="5.5555555555555552E-2"/>
          <c:w val="0.78927425253449213"/>
          <c:h val="0.8416746864975212"/>
        </c:manualLayout>
      </c:layou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Acc_crit_perType!$BA$105:$BA$114</c:f>
              <c:numCache>
                <c:formatCode>General</c:formatCode>
                <c:ptCount val="10"/>
                <c:pt idx="0">
                  <c:v>620.68387602868108</c:v>
                </c:pt>
                <c:pt idx="1">
                  <c:v>634.09422353144464</c:v>
                </c:pt>
                <c:pt idx="2">
                  <c:v>717.00766245105979</c:v>
                </c:pt>
                <c:pt idx="3">
                  <c:v>785.1822323780774</c:v>
                </c:pt>
                <c:pt idx="4">
                  <c:v>931.5878095578073</c:v>
                </c:pt>
                <c:pt idx="5">
                  <c:v>1129.1729440583247</c:v>
                </c:pt>
                <c:pt idx="6">
                  <c:v>1276.8223129572341</c:v>
                </c:pt>
                <c:pt idx="7">
                  <c:v>1436.0529832987984</c:v>
                </c:pt>
                <c:pt idx="8">
                  <c:v>1523.0136540412732</c:v>
                </c:pt>
                <c:pt idx="9">
                  <c:v>1676.7582951580478</c:v>
                </c:pt>
              </c:numCache>
            </c:numRef>
          </c:xVal>
          <c:yVal>
            <c:numRef>
              <c:f>Acc_crit_perType!$AY$105:$AY$114</c:f>
              <c:numCache>
                <c:formatCode>General</c:formatCode>
                <c:ptCount val="10"/>
                <c:pt idx="0">
                  <c:v>7.7447071417479903E-4</c:v>
                </c:pt>
                <c:pt idx="1">
                  <c:v>6.5828203039429596E-4</c:v>
                </c:pt>
                <c:pt idx="2">
                  <c:v>5.3413372497163308E-4</c:v>
                </c:pt>
                <c:pt idx="3">
                  <c:v>4.5400119919451981E-4</c:v>
                </c:pt>
                <c:pt idx="4">
                  <c:v>3.5166245205220159E-4</c:v>
                </c:pt>
                <c:pt idx="5">
                  <c:v>2.7879116070946193E-4</c:v>
                </c:pt>
                <c:pt idx="6">
                  <c:v>2.3973365128618888E-4</c:v>
                </c:pt>
                <c:pt idx="7">
                  <c:v>1.9909071211461767E-4</c:v>
                </c:pt>
                <c:pt idx="8">
                  <c:v>1.4893370722400678E-4</c:v>
                </c:pt>
                <c:pt idx="9">
                  <c:v>1.0271600032719115E-4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CA-48F1-8407-1E5B3A6253D1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1"/>
            <c:dispEq val="1"/>
            <c:trendlineLbl>
              <c:layout>
                <c:manualLayout>
                  <c:x val="0.37518985126859145"/>
                  <c:y val="-9.0602935196480716E-2"/>
                </c:manualLayout>
              </c:layout>
              <c:numFmt formatCode="General" sourceLinked="0"/>
            </c:trendlineLbl>
          </c:trendline>
          <c:xVal>
            <c:numRef>
              <c:f>Acc_crit_perType!$BA$64:$BA$106</c:f>
              <c:numCache>
                <c:formatCode>General</c:formatCode>
                <c:ptCount val="43"/>
                <c:pt idx="0">
                  <c:v>29.056979269681811</c:v>
                </c:pt>
                <c:pt idx="1">
                  <c:v>31.819776892118707</c:v>
                </c:pt>
                <c:pt idx="2">
                  <c:v>33.032425452701311</c:v>
                </c:pt>
                <c:pt idx="3">
                  <c:v>38.363109099496228</c:v>
                </c:pt>
                <c:pt idx="4">
                  <c:v>42.011075218859695</c:v>
                </c:pt>
                <c:pt idx="5">
                  <c:v>45.760468646838206</c:v>
                </c:pt>
                <c:pt idx="6">
                  <c:v>49.051669891704151</c:v>
                </c:pt>
                <c:pt idx="7">
                  <c:v>56.967495961276271</c:v>
                </c:pt>
                <c:pt idx="8">
                  <c:v>62.718711881166264</c:v>
                </c:pt>
                <c:pt idx="9">
                  <c:v>70.166066417850217</c:v>
                </c:pt>
                <c:pt idx="10">
                  <c:v>76.428229119558225</c:v>
                </c:pt>
                <c:pt idx="11">
                  <c:v>86.884798224981807</c:v>
                </c:pt>
                <c:pt idx="12">
                  <c:v>93.633328819607357</c:v>
                </c:pt>
                <c:pt idx="13">
                  <c:v>103.08539282293455</c:v>
                </c:pt>
                <c:pt idx="14">
                  <c:v>110.50038645220724</c:v>
                </c:pt>
                <c:pt idx="15">
                  <c:v>122.96281497900921</c:v>
                </c:pt>
                <c:pt idx="16">
                  <c:v>131.80760340866476</c:v>
                </c:pt>
                <c:pt idx="17">
                  <c:v>140.53477311956664</c:v>
                </c:pt>
                <c:pt idx="18">
                  <c:v>150.64352295149268</c:v>
                </c:pt>
                <c:pt idx="19">
                  <c:v>165.8506317724069</c:v>
                </c:pt>
                <c:pt idx="20">
                  <c:v>167.63336523245721</c:v>
                </c:pt>
                <c:pt idx="21">
                  <c:v>190.56821388878075</c:v>
                </c:pt>
                <c:pt idx="22">
                  <c:v>202.10348243027869</c:v>
                </c:pt>
                <c:pt idx="23">
                  <c:v>208.68783339077501</c:v>
                </c:pt>
                <c:pt idx="24">
                  <c:v>227.31275043796353</c:v>
                </c:pt>
                <c:pt idx="25">
                  <c:v>233.46787488298929</c:v>
                </c:pt>
                <c:pt idx="26">
                  <c:v>247.60179960602858</c:v>
                </c:pt>
                <c:pt idx="27">
                  <c:v>272.59661808272807</c:v>
                </c:pt>
                <c:pt idx="28">
                  <c:v>298.51566773112421</c:v>
                </c:pt>
                <c:pt idx="29">
                  <c:v>319.98807729225729</c:v>
                </c:pt>
                <c:pt idx="30">
                  <c:v>330.41300307152227</c:v>
                </c:pt>
                <c:pt idx="31">
                  <c:v>361.8293540567991</c:v>
                </c:pt>
                <c:pt idx="32">
                  <c:v>392.0220212428369</c:v>
                </c:pt>
                <c:pt idx="33">
                  <c:v>422.47122131203366</c:v>
                </c:pt>
                <c:pt idx="34">
                  <c:v>455.28547674703429</c:v>
                </c:pt>
                <c:pt idx="35">
                  <c:v>480.27184775061579</c:v>
                </c:pt>
                <c:pt idx="36">
                  <c:v>490.64848652418772</c:v>
                </c:pt>
                <c:pt idx="37">
                  <c:v>528.75821791748854</c:v>
                </c:pt>
                <c:pt idx="38">
                  <c:v>563.77238196149142</c:v>
                </c:pt>
                <c:pt idx="39">
                  <c:v>585.25319986012266</c:v>
                </c:pt>
                <c:pt idx="40">
                  <c:v>594.71258677081209</c:v>
                </c:pt>
                <c:pt idx="41">
                  <c:v>620.68387602868108</c:v>
                </c:pt>
                <c:pt idx="42">
                  <c:v>634.09422353144464</c:v>
                </c:pt>
              </c:numCache>
            </c:numRef>
          </c:xVal>
          <c:yVal>
            <c:numRef>
              <c:f>Acc_crit_perType!$AY$64:$AY$106</c:f>
              <c:numCache>
                <c:formatCode>General</c:formatCode>
                <c:ptCount val="43"/>
                <c:pt idx="0">
                  <c:v>1.3010380557796236E-2</c:v>
                </c:pt>
                <c:pt idx="1">
                  <c:v>1.2860267434121764E-2</c:v>
                </c:pt>
                <c:pt idx="2">
                  <c:v>1.2711886308200891E-2</c:v>
                </c:pt>
                <c:pt idx="3">
                  <c:v>1.2565217196329663E-2</c:v>
                </c:pt>
                <c:pt idx="4">
                  <c:v>1.2419954362064962E-2</c:v>
                </c:pt>
                <c:pt idx="5">
                  <c:v>1.2419954362064962E-2</c:v>
                </c:pt>
                <c:pt idx="6">
                  <c:v>1.1856322393532275E-2</c:v>
                </c:pt>
                <c:pt idx="7">
                  <c:v>1.1719524735548454E-2</c:v>
                </c:pt>
                <c:pt idx="8">
                  <c:v>1.1318268699016629E-2</c:v>
                </c:pt>
                <c:pt idx="9">
                  <c:v>1.1318268699016629E-2</c:v>
                </c:pt>
                <c:pt idx="10">
                  <c:v>1.1058596193126158E-2</c:v>
                </c:pt>
                <c:pt idx="11">
                  <c:v>1.0679969194319615E-2</c:v>
                </c:pt>
                <c:pt idx="12">
                  <c:v>1.0077666913980049E-2</c:v>
                </c:pt>
                <c:pt idx="13">
                  <c:v>9.732625218635018E-3</c:v>
                </c:pt>
                <c:pt idx="14">
                  <c:v>9.183748882363188E-3</c:v>
                </c:pt>
                <c:pt idx="15">
                  <c:v>8.9730481869503675E-3</c:v>
                </c:pt>
                <c:pt idx="16">
                  <c:v>8.4670085826908867E-3</c:v>
                </c:pt>
                <c:pt idx="17">
                  <c:v>7.8060261172199618E-3</c:v>
                </c:pt>
                <c:pt idx="18">
                  <c:v>7.1966436726292769E-3</c:v>
                </c:pt>
                <c:pt idx="19">
                  <c:v>7.1966436726292769E-3</c:v>
                </c:pt>
                <c:pt idx="20">
                  <c:v>6.2608024427006541E-3</c:v>
                </c:pt>
                <c:pt idx="21">
                  <c:v>5.8394238591470762E-3</c:v>
                </c:pt>
                <c:pt idx="22">
                  <c:v>5.4465312527298242E-3</c:v>
                </c:pt>
                <c:pt idx="23">
                  <c:v>4.7381630323678672E-3</c:v>
                </c:pt>
                <c:pt idx="24">
                  <c:v>4.2188103228619871E-3</c:v>
                </c:pt>
                <c:pt idx="25">
                  <c:v>4.5759366143423392E-3</c:v>
                </c:pt>
                <c:pt idx="26">
                  <c:v>4.0743656335738287E-3</c:v>
                </c:pt>
                <c:pt idx="27">
                  <c:v>3.800231031961687E-3</c:v>
                </c:pt>
                <c:pt idx="28">
                  <c:v>3.5035635546190741E-3</c:v>
                </c:pt>
                <c:pt idx="29">
                  <c:v>3.4231032592614108E-3</c:v>
                </c:pt>
                <c:pt idx="30">
                  <c:v>2.9779678169574463E-3</c:v>
                </c:pt>
                <c:pt idx="31">
                  <c:v>2.5906574968824385E-3</c:v>
                </c:pt>
                <c:pt idx="32">
                  <c:v>2.3336192574209031E-3</c:v>
                </c:pt>
                <c:pt idx="33">
                  <c:v>2.0066886764616514E-3</c:v>
                </c:pt>
                <c:pt idx="34">
                  <c:v>1.7457015599637554E-3</c:v>
                </c:pt>
                <c:pt idx="35">
                  <c:v>1.5908528121738783E-3</c:v>
                </c:pt>
                <c:pt idx="36">
                  <c:v>1.3211435231614221E-3</c:v>
                </c:pt>
                <c:pt idx="37">
                  <c:v>1.1763322400306403E-3</c:v>
                </c:pt>
                <c:pt idx="38">
                  <c:v>1.1099923866362848E-3</c:v>
                </c:pt>
                <c:pt idx="39">
                  <c:v>9.6562610926076724E-4</c:v>
                </c:pt>
                <c:pt idx="40">
                  <c:v>8.6981721748370731E-4</c:v>
                </c:pt>
                <c:pt idx="41">
                  <c:v>7.7447071417479903E-4</c:v>
                </c:pt>
                <c:pt idx="42">
                  <c:v>6.5828203039429596E-4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CA-48F1-8407-1E5B3A625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870560"/>
        <c:axId val="923870888"/>
      </c:scatterChart>
      <c:valAx>
        <c:axId val="92387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3870888"/>
        <c:crosses val="autoZero"/>
        <c:crossBetween val="midCat"/>
      </c:valAx>
      <c:valAx>
        <c:axId val="923870888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387056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Acc_crit_perType!$M$64:$M$66</c:f>
              <c:numCache>
                <c:formatCode>0.0</c:formatCode>
                <c:ptCount val="3"/>
                <c:pt idx="0">
                  <c:v>11840.108141462899</c:v>
                </c:pt>
                <c:pt idx="1">
                  <c:v>4562.9477017464087</c:v>
                </c:pt>
                <c:pt idx="2">
                  <c:v>1195.3733474009266</c:v>
                </c:pt>
              </c:numCache>
            </c:numRef>
          </c:xVal>
          <c:yVal>
            <c:numRef>
              <c:f>Acc_crit_perType!$M$86:$M$88</c:f>
              <c:numCache>
                <c:formatCode>0E+00</c:formatCode>
                <c:ptCount val="3"/>
                <c:pt idx="0">
                  <c:v>1.2291253935510812E-6</c:v>
                </c:pt>
                <c:pt idx="1">
                  <c:v>1.9222676828948582E-6</c:v>
                </c:pt>
                <c:pt idx="2">
                  <c:v>3.6028885363627869E-6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24-40B1-9266-EC7D2473C54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Acc_crit_perType!$M$64:$M$66</c:f>
              <c:numCache>
                <c:formatCode>0.0</c:formatCode>
                <c:ptCount val="3"/>
                <c:pt idx="0">
                  <c:v>11840.108141462899</c:v>
                </c:pt>
                <c:pt idx="1">
                  <c:v>4562.9477017464087</c:v>
                </c:pt>
                <c:pt idx="2">
                  <c:v>1195.3733474009266</c:v>
                </c:pt>
              </c:numCache>
            </c:numRef>
          </c:xVal>
          <c:yVal>
            <c:numRef>
              <c:f>Acc_crit_perType!$M$81:$M$83</c:f>
              <c:numCache>
                <c:formatCode>General</c:formatCode>
                <c:ptCount val="3"/>
                <c:pt idx="0" formatCode="0E+00">
                  <c:v>5.2095811527074387E-4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24-40B1-9266-EC7D2473C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08384"/>
        <c:axId val="460208712"/>
      </c:scatterChart>
      <c:valAx>
        <c:axId val="46020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0208712"/>
        <c:crosses val="autoZero"/>
        <c:crossBetween val="midCat"/>
      </c:valAx>
      <c:valAx>
        <c:axId val="460208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020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Volume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119573731543555"/>
          <c:y val="5.5555555555555552E-2"/>
          <c:w val="0.78927425253449213"/>
          <c:h val="0.8416746864975212"/>
        </c:manualLayout>
      </c:layou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Acc_crit_perType!$AX$105:$AX$114</c:f>
              <c:numCache>
                <c:formatCode>General</c:formatCode>
                <c:ptCount val="10"/>
                <c:pt idx="0">
                  <c:v>1001613109.2283105</c:v>
                </c:pt>
                <c:pt idx="1">
                  <c:v>1067947737.4887031</c:v>
                </c:pt>
                <c:pt idx="2">
                  <c:v>1544045165.8129377</c:v>
                </c:pt>
                <c:pt idx="3">
                  <c:v>2027682719.5212848</c:v>
                </c:pt>
                <c:pt idx="4">
                  <c:v>3386569556.6870275</c:v>
                </c:pt>
                <c:pt idx="5">
                  <c:v>6030731593.6093893</c:v>
                </c:pt>
                <c:pt idx="6">
                  <c:v>8719267466.5191021</c:v>
                </c:pt>
                <c:pt idx="7">
                  <c:v>12405092300.422279</c:v>
                </c:pt>
                <c:pt idx="8">
                  <c:v>14797896996.190331</c:v>
                </c:pt>
                <c:pt idx="9">
                  <c:v>19746948794.09338</c:v>
                </c:pt>
              </c:numCache>
            </c:numRef>
          </c:xVal>
          <c:yVal>
            <c:numRef>
              <c:f>Acc_crit_perType!$AY$105:$AY$114</c:f>
              <c:numCache>
                <c:formatCode>General</c:formatCode>
                <c:ptCount val="10"/>
                <c:pt idx="0">
                  <c:v>7.7447071417479903E-4</c:v>
                </c:pt>
                <c:pt idx="1">
                  <c:v>6.5828203039429596E-4</c:v>
                </c:pt>
                <c:pt idx="2">
                  <c:v>5.3413372497163308E-4</c:v>
                </c:pt>
                <c:pt idx="3">
                  <c:v>4.5400119919451981E-4</c:v>
                </c:pt>
                <c:pt idx="4">
                  <c:v>3.5166245205220159E-4</c:v>
                </c:pt>
                <c:pt idx="5">
                  <c:v>2.7879116070946193E-4</c:v>
                </c:pt>
                <c:pt idx="6">
                  <c:v>2.3973365128618888E-4</c:v>
                </c:pt>
                <c:pt idx="7">
                  <c:v>1.9909071211461767E-4</c:v>
                </c:pt>
                <c:pt idx="8">
                  <c:v>1.4893370722400678E-4</c:v>
                </c:pt>
                <c:pt idx="9">
                  <c:v>1.0271600032719115E-4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1-4B80-A47D-6BA0A31F60D9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37518985126859145"/>
                  <c:y val="-9.0602935196480716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it-IT"/>
                </a:p>
              </c:txPr>
            </c:trendlineLbl>
          </c:trendline>
          <c:xVal>
            <c:numRef>
              <c:f>Acc_crit_perType!$AX$64:$AX$106</c:f>
              <c:numCache>
                <c:formatCode>General</c:formatCode>
                <c:ptCount val="43"/>
                <c:pt idx="0">
                  <c:v>102763.7632682963</c:v>
                </c:pt>
                <c:pt idx="1">
                  <c:v>134952.20967994988</c:v>
                </c:pt>
                <c:pt idx="2">
                  <c:v>150976.72486626924</c:v>
                </c:pt>
                <c:pt idx="3">
                  <c:v>236499.37643784314</c:v>
                </c:pt>
                <c:pt idx="4">
                  <c:v>310584.65870911843</c:v>
                </c:pt>
                <c:pt idx="5">
                  <c:v>401383.94767401239</c:v>
                </c:pt>
                <c:pt idx="6">
                  <c:v>494367.5998839009</c:v>
                </c:pt>
                <c:pt idx="7">
                  <c:v>774408.30172450829</c:v>
                </c:pt>
                <c:pt idx="8">
                  <c:v>1033427.4663357964</c:v>
                </c:pt>
                <c:pt idx="9">
                  <c:v>1447004.8940855488</c:v>
                </c:pt>
                <c:pt idx="10">
                  <c:v>1870036.1412108056</c:v>
                </c:pt>
                <c:pt idx="11">
                  <c:v>2747388.0189113896</c:v>
                </c:pt>
                <c:pt idx="12">
                  <c:v>3438586.8658678508</c:v>
                </c:pt>
                <c:pt idx="13">
                  <c:v>4588597.8785914844</c:v>
                </c:pt>
                <c:pt idx="14">
                  <c:v>5651711.7012407072</c:v>
                </c:pt>
                <c:pt idx="15">
                  <c:v>7787714.1096044648</c:v>
                </c:pt>
                <c:pt idx="16">
                  <c:v>9592018.3297211248</c:v>
                </c:pt>
                <c:pt idx="17">
                  <c:v>11626259.1720108</c:v>
                </c:pt>
                <c:pt idx="18">
                  <c:v>14319900.48870448</c:v>
                </c:pt>
                <c:pt idx="19">
                  <c:v>19109089.741586894</c:v>
                </c:pt>
                <c:pt idx="20">
                  <c:v>19731949.713488426</c:v>
                </c:pt>
                <c:pt idx="21">
                  <c:v>28989451.614287809</c:v>
                </c:pt>
                <c:pt idx="22">
                  <c:v>34578806.550508983</c:v>
                </c:pt>
                <c:pt idx="23">
                  <c:v>38069747.820972234</c:v>
                </c:pt>
                <c:pt idx="24">
                  <c:v>49199421.925238192</c:v>
                </c:pt>
                <c:pt idx="25">
                  <c:v>53305251.90013662</c:v>
                </c:pt>
                <c:pt idx="26">
                  <c:v>63584315.446182802</c:v>
                </c:pt>
                <c:pt idx="27">
                  <c:v>84849639.212010816</c:v>
                </c:pt>
                <c:pt idx="28">
                  <c:v>111426887.6307299</c:v>
                </c:pt>
                <c:pt idx="29">
                  <c:v>137242935.9289898</c:v>
                </c:pt>
                <c:pt idx="30">
                  <c:v>151098446.77243739</c:v>
                </c:pt>
                <c:pt idx="31">
                  <c:v>198426649.8484644</c:v>
                </c:pt>
                <c:pt idx="32">
                  <c:v>252359698.57406497</c:v>
                </c:pt>
                <c:pt idx="33">
                  <c:v>315849359.10690475</c:v>
                </c:pt>
                <c:pt idx="34">
                  <c:v>395312001.92396545</c:v>
                </c:pt>
                <c:pt idx="35">
                  <c:v>464034210.81974161</c:v>
                </c:pt>
                <c:pt idx="36">
                  <c:v>494766173.68167716</c:v>
                </c:pt>
                <c:pt idx="37">
                  <c:v>619241423.04865134</c:v>
                </c:pt>
                <c:pt idx="38">
                  <c:v>750585205.59024024</c:v>
                </c:pt>
                <c:pt idx="39">
                  <c:v>839691969.93375206</c:v>
                </c:pt>
                <c:pt idx="40">
                  <c:v>881069160.14159155</c:v>
                </c:pt>
                <c:pt idx="41">
                  <c:v>1001613109.2283105</c:v>
                </c:pt>
                <c:pt idx="42">
                  <c:v>1067947737.4887031</c:v>
                </c:pt>
              </c:numCache>
            </c:numRef>
          </c:xVal>
          <c:yVal>
            <c:numRef>
              <c:f>Acc_crit_perType!$AY$64:$AY$106</c:f>
              <c:numCache>
                <c:formatCode>General</c:formatCode>
                <c:ptCount val="43"/>
                <c:pt idx="0">
                  <c:v>1.3010380557796236E-2</c:v>
                </c:pt>
                <c:pt idx="1">
                  <c:v>1.2860267434121764E-2</c:v>
                </c:pt>
                <c:pt idx="2">
                  <c:v>1.2711886308200891E-2</c:v>
                </c:pt>
                <c:pt idx="3">
                  <c:v>1.2565217196329663E-2</c:v>
                </c:pt>
                <c:pt idx="4">
                  <c:v>1.2419954362064962E-2</c:v>
                </c:pt>
                <c:pt idx="5">
                  <c:v>1.2419954362064962E-2</c:v>
                </c:pt>
                <c:pt idx="6">
                  <c:v>1.1856322393532275E-2</c:v>
                </c:pt>
                <c:pt idx="7">
                  <c:v>1.1719524735548454E-2</c:v>
                </c:pt>
                <c:pt idx="8">
                  <c:v>1.1318268699016629E-2</c:v>
                </c:pt>
                <c:pt idx="9">
                  <c:v>1.1318268699016629E-2</c:v>
                </c:pt>
                <c:pt idx="10">
                  <c:v>1.1058596193126158E-2</c:v>
                </c:pt>
                <c:pt idx="11">
                  <c:v>1.0679969194319615E-2</c:v>
                </c:pt>
                <c:pt idx="12">
                  <c:v>1.0077666913980049E-2</c:v>
                </c:pt>
                <c:pt idx="13">
                  <c:v>9.732625218635018E-3</c:v>
                </c:pt>
                <c:pt idx="14">
                  <c:v>9.183748882363188E-3</c:v>
                </c:pt>
                <c:pt idx="15">
                  <c:v>8.9730481869503675E-3</c:v>
                </c:pt>
                <c:pt idx="16">
                  <c:v>8.4670085826908867E-3</c:v>
                </c:pt>
                <c:pt idx="17">
                  <c:v>7.8060261172199618E-3</c:v>
                </c:pt>
                <c:pt idx="18">
                  <c:v>7.1966436726292769E-3</c:v>
                </c:pt>
                <c:pt idx="19">
                  <c:v>7.1966436726292769E-3</c:v>
                </c:pt>
                <c:pt idx="20">
                  <c:v>6.2608024427006541E-3</c:v>
                </c:pt>
                <c:pt idx="21">
                  <c:v>5.8394238591470762E-3</c:v>
                </c:pt>
                <c:pt idx="22">
                  <c:v>5.4465312527298242E-3</c:v>
                </c:pt>
                <c:pt idx="23">
                  <c:v>4.7381630323678672E-3</c:v>
                </c:pt>
                <c:pt idx="24">
                  <c:v>4.2188103228619871E-3</c:v>
                </c:pt>
                <c:pt idx="25">
                  <c:v>4.5759366143423392E-3</c:v>
                </c:pt>
                <c:pt idx="26">
                  <c:v>4.0743656335738287E-3</c:v>
                </c:pt>
                <c:pt idx="27">
                  <c:v>3.800231031961687E-3</c:v>
                </c:pt>
                <c:pt idx="28">
                  <c:v>3.5035635546190741E-3</c:v>
                </c:pt>
                <c:pt idx="29">
                  <c:v>3.4231032592614108E-3</c:v>
                </c:pt>
                <c:pt idx="30">
                  <c:v>2.9779678169574463E-3</c:v>
                </c:pt>
                <c:pt idx="31">
                  <c:v>2.5906574968824385E-3</c:v>
                </c:pt>
                <c:pt idx="32">
                  <c:v>2.3336192574209031E-3</c:v>
                </c:pt>
                <c:pt idx="33">
                  <c:v>2.0066886764616514E-3</c:v>
                </c:pt>
                <c:pt idx="34">
                  <c:v>1.7457015599637554E-3</c:v>
                </c:pt>
                <c:pt idx="35">
                  <c:v>1.5908528121738783E-3</c:v>
                </c:pt>
                <c:pt idx="36">
                  <c:v>1.3211435231614221E-3</c:v>
                </c:pt>
                <c:pt idx="37">
                  <c:v>1.1763322400306403E-3</c:v>
                </c:pt>
                <c:pt idx="38">
                  <c:v>1.1099923866362848E-3</c:v>
                </c:pt>
                <c:pt idx="39">
                  <c:v>9.6562610926076724E-4</c:v>
                </c:pt>
                <c:pt idx="40">
                  <c:v>8.6981721748370731E-4</c:v>
                </c:pt>
                <c:pt idx="41">
                  <c:v>7.7447071417479903E-4</c:v>
                </c:pt>
                <c:pt idx="42">
                  <c:v>6.5828203039429596E-4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A1-4B80-A47D-6BA0A31F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870560"/>
        <c:axId val="923870888"/>
      </c:scatterChart>
      <c:valAx>
        <c:axId val="9238705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3870888"/>
        <c:crosses val="autoZero"/>
        <c:crossBetween val="midCat"/>
      </c:valAx>
      <c:valAx>
        <c:axId val="923870888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387056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Volume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119573731543555"/>
          <c:y val="5.5555555555555552E-2"/>
          <c:w val="0.78927425253449213"/>
          <c:h val="0.8416746864975212"/>
        </c:manualLayout>
      </c:layout>
      <c:scatterChart>
        <c:scatterStyle val="lineMarker"/>
        <c:varyColors val="0"/>
        <c:ser>
          <c:idx val="0"/>
          <c:order val="1"/>
          <c:spPr>
            <a:ln w="19050">
              <a:noFill/>
            </a:ln>
          </c:spPr>
          <c:xVal>
            <c:numRef>
              <c:f>Acc_crit_perType!$AX$64:$AX$114</c:f>
              <c:numCache>
                <c:formatCode>General</c:formatCode>
                <c:ptCount val="51"/>
                <c:pt idx="0">
                  <c:v>102763.7632682963</c:v>
                </c:pt>
                <c:pt idx="1">
                  <c:v>134952.20967994988</c:v>
                </c:pt>
                <c:pt idx="2">
                  <c:v>150976.72486626924</c:v>
                </c:pt>
                <c:pt idx="3">
                  <c:v>236499.37643784314</c:v>
                </c:pt>
                <c:pt idx="4">
                  <c:v>310584.65870911843</c:v>
                </c:pt>
                <c:pt idx="5">
                  <c:v>401383.94767401239</c:v>
                </c:pt>
                <c:pt idx="6">
                  <c:v>494367.5998839009</c:v>
                </c:pt>
                <c:pt idx="7">
                  <c:v>774408.30172450829</c:v>
                </c:pt>
                <c:pt idx="8">
                  <c:v>1033427.4663357964</c:v>
                </c:pt>
                <c:pt idx="9">
                  <c:v>1447004.8940855488</c:v>
                </c:pt>
                <c:pt idx="10">
                  <c:v>1870036.1412108056</c:v>
                </c:pt>
                <c:pt idx="11">
                  <c:v>2747388.0189113896</c:v>
                </c:pt>
                <c:pt idx="12">
                  <c:v>3438586.8658678508</c:v>
                </c:pt>
                <c:pt idx="13">
                  <c:v>4588597.8785914844</c:v>
                </c:pt>
                <c:pt idx="14">
                  <c:v>5651711.7012407072</c:v>
                </c:pt>
                <c:pt idx="15">
                  <c:v>7787714.1096044648</c:v>
                </c:pt>
                <c:pt idx="16">
                  <c:v>9592018.3297211248</c:v>
                </c:pt>
                <c:pt idx="17">
                  <c:v>11626259.1720108</c:v>
                </c:pt>
                <c:pt idx="18">
                  <c:v>14319900.48870448</c:v>
                </c:pt>
                <c:pt idx="19">
                  <c:v>19109089.741586894</c:v>
                </c:pt>
                <c:pt idx="20">
                  <c:v>19731949.713488426</c:v>
                </c:pt>
                <c:pt idx="21">
                  <c:v>28989451.614287809</c:v>
                </c:pt>
                <c:pt idx="22">
                  <c:v>34578806.550508983</c:v>
                </c:pt>
                <c:pt idx="23">
                  <c:v>38069747.820972234</c:v>
                </c:pt>
                <c:pt idx="24">
                  <c:v>49199421.925238192</c:v>
                </c:pt>
                <c:pt idx="25">
                  <c:v>53305251.90013662</c:v>
                </c:pt>
                <c:pt idx="26">
                  <c:v>63584315.446182802</c:v>
                </c:pt>
                <c:pt idx="27">
                  <c:v>84849639.212010816</c:v>
                </c:pt>
                <c:pt idx="28">
                  <c:v>111426887.6307299</c:v>
                </c:pt>
                <c:pt idx="29">
                  <c:v>137242935.9289898</c:v>
                </c:pt>
                <c:pt idx="30">
                  <c:v>151098446.77243739</c:v>
                </c:pt>
                <c:pt idx="31">
                  <c:v>198426649.8484644</c:v>
                </c:pt>
                <c:pt idx="32">
                  <c:v>252359698.57406497</c:v>
                </c:pt>
                <c:pt idx="33">
                  <c:v>315849359.10690475</c:v>
                </c:pt>
                <c:pt idx="34">
                  <c:v>395312001.92396545</c:v>
                </c:pt>
                <c:pt idx="35">
                  <c:v>464034210.81974161</c:v>
                </c:pt>
                <c:pt idx="36">
                  <c:v>494766173.68167716</c:v>
                </c:pt>
                <c:pt idx="37">
                  <c:v>619241423.04865134</c:v>
                </c:pt>
                <c:pt idx="38">
                  <c:v>750585205.59024024</c:v>
                </c:pt>
                <c:pt idx="39">
                  <c:v>839691969.93375206</c:v>
                </c:pt>
                <c:pt idx="40">
                  <c:v>881069160.14159155</c:v>
                </c:pt>
                <c:pt idx="41">
                  <c:v>1001613109.2283105</c:v>
                </c:pt>
                <c:pt idx="42">
                  <c:v>1067947737.4887031</c:v>
                </c:pt>
                <c:pt idx="43">
                  <c:v>1544045165.8129377</c:v>
                </c:pt>
                <c:pt idx="44">
                  <c:v>2027682719.5212848</c:v>
                </c:pt>
                <c:pt idx="45">
                  <c:v>3386569556.6870275</c:v>
                </c:pt>
                <c:pt idx="46">
                  <c:v>6030731593.6093893</c:v>
                </c:pt>
                <c:pt idx="47">
                  <c:v>8719267466.5191021</c:v>
                </c:pt>
                <c:pt idx="48">
                  <c:v>12405092300.422279</c:v>
                </c:pt>
                <c:pt idx="49">
                  <c:v>14797896996.190331</c:v>
                </c:pt>
                <c:pt idx="50">
                  <c:v>19746948794.09338</c:v>
                </c:pt>
              </c:numCache>
            </c:numRef>
          </c:xVal>
          <c:yVal>
            <c:numRef>
              <c:f>Acc_crit_perType!$AY$64:$AY$114</c:f>
              <c:numCache>
                <c:formatCode>General</c:formatCode>
                <c:ptCount val="51"/>
                <c:pt idx="0">
                  <c:v>1.3010380557796236E-2</c:v>
                </c:pt>
                <c:pt idx="1">
                  <c:v>1.2860267434121764E-2</c:v>
                </c:pt>
                <c:pt idx="2">
                  <c:v>1.2711886308200891E-2</c:v>
                </c:pt>
                <c:pt idx="3">
                  <c:v>1.2565217196329663E-2</c:v>
                </c:pt>
                <c:pt idx="4">
                  <c:v>1.2419954362064962E-2</c:v>
                </c:pt>
                <c:pt idx="5">
                  <c:v>1.2419954362064962E-2</c:v>
                </c:pt>
                <c:pt idx="6">
                  <c:v>1.1856322393532275E-2</c:v>
                </c:pt>
                <c:pt idx="7">
                  <c:v>1.1719524735548454E-2</c:v>
                </c:pt>
                <c:pt idx="8">
                  <c:v>1.1318268699016629E-2</c:v>
                </c:pt>
                <c:pt idx="9">
                  <c:v>1.1318268699016629E-2</c:v>
                </c:pt>
                <c:pt idx="10">
                  <c:v>1.1058596193126158E-2</c:v>
                </c:pt>
                <c:pt idx="11">
                  <c:v>1.0679969194319615E-2</c:v>
                </c:pt>
                <c:pt idx="12">
                  <c:v>1.0077666913980049E-2</c:v>
                </c:pt>
                <c:pt idx="13">
                  <c:v>9.732625218635018E-3</c:v>
                </c:pt>
                <c:pt idx="14">
                  <c:v>9.183748882363188E-3</c:v>
                </c:pt>
                <c:pt idx="15">
                  <c:v>8.9730481869503675E-3</c:v>
                </c:pt>
                <c:pt idx="16">
                  <c:v>8.4670085826908867E-3</c:v>
                </c:pt>
                <c:pt idx="17">
                  <c:v>7.8060261172199618E-3</c:v>
                </c:pt>
                <c:pt idx="18">
                  <c:v>7.1966436726292769E-3</c:v>
                </c:pt>
                <c:pt idx="19">
                  <c:v>7.1966436726292769E-3</c:v>
                </c:pt>
                <c:pt idx="20">
                  <c:v>6.2608024427006541E-3</c:v>
                </c:pt>
                <c:pt idx="21">
                  <c:v>5.8394238591470762E-3</c:v>
                </c:pt>
                <c:pt idx="22">
                  <c:v>5.4465312527298242E-3</c:v>
                </c:pt>
                <c:pt idx="23">
                  <c:v>4.7381630323678672E-3</c:v>
                </c:pt>
                <c:pt idx="24">
                  <c:v>4.2188103228619871E-3</c:v>
                </c:pt>
                <c:pt idx="25">
                  <c:v>4.5759366143423392E-3</c:v>
                </c:pt>
                <c:pt idx="26">
                  <c:v>4.0743656335738287E-3</c:v>
                </c:pt>
                <c:pt idx="27">
                  <c:v>3.800231031961687E-3</c:v>
                </c:pt>
                <c:pt idx="28">
                  <c:v>3.5035635546190741E-3</c:v>
                </c:pt>
                <c:pt idx="29">
                  <c:v>3.4231032592614108E-3</c:v>
                </c:pt>
                <c:pt idx="30">
                  <c:v>2.9779678169574463E-3</c:v>
                </c:pt>
                <c:pt idx="31">
                  <c:v>2.5906574968824385E-3</c:v>
                </c:pt>
                <c:pt idx="32">
                  <c:v>2.3336192574209031E-3</c:v>
                </c:pt>
                <c:pt idx="33">
                  <c:v>2.0066886764616514E-3</c:v>
                </c:pt>
                <c:pt idx="34">
                  <c:v>1.7457015599637554E-3</c:v>
                </c:pt>
                <c:pt idx="35">
                  <c:v>1.5908528121738783E-3</c:v>
                </c:pt>
                <c:pt idx="36">
                  <c:v>1.3211435231614221E-3</c:v>
                </c:pt>
                <c:pt idx="37">
                  <c:v>1.1763322400306403E-3</c:v>
                </c:pt>
                <c:pt idx="38">
                  <c:v>1.1099923866362848E-3</c:v>
                </c:pt>
                <c:pt idx="39">
                  <c:v>9.6562610926076724E-4</c:v>
                </c:pt>
                <c:pt idx="40">
                  <c:v>8.6981721748370731E-4</c:v>
                </c:pt>
                <c:pt idx="41">
                  <c:v>7.7447071417479903E-4</c:v>
                </c:pt>
                <c:pt idx="42">
                  <c:v>6.5828203039429596E-4</c:v>
                </c:pt>
                <c:pt idx="43">
                  <c:v>5.3413372497163308E-4</c:v>
                </c:pt>
                <c:pt idx="44">
                  <c:v>4.5400119919451981E-4</c:v>
                </c:pt>
                <c:pt idx="45">
                  <c:v>3.5166245205220159E-4</c:v>
                </c:pt>
                <c:pt idx="46">
                  <c:v>2.7879116070946193E-4</c:v>
                </c:pt>
                <c:pt idx="47">
                  <c:v>2.3973365128618888E-4</c:v>
                </c:pt>
                <c:pt idx="48">
                  <c:v>1.9909071211461767E-4</c:v>
                </c:pt>
                <c:pt idx="49">
                  <c:v>1.4893370722400678E-4</c:v>
                </c:pt>
                <c:pt idx="50">
                  <c:v>1.0271600032719115E-4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86-456A-8357-D1957828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870560"/>
        <c:axId val="923870888"/>
      </c:scatterChart>
      <c:scatterChart>
        <c:scatterStyle val="smoothMarker"/>
        <c:varyColors val="0"/>
        <c:ser>
          <c:idx val="3"/>
          <c:order val="0"/>
          <c:marker>
            <c:symbol val="none"/>
          </c:marker>
          <c:xVal>
            <c:numRef>
              <c:f>Acc_crit_perType!$AX$64:$AX$114</c:f>
              <c:numCache>
                <c:formatCode>General</c:formatCode>
                <c:ptCount val="51"/>
                <c:pt idx="0">
                  <c:v>102763.7632682963</c:v>
                </c:pt>
                <c:pt idx="1">
                  <c:v>134952.20967994988</c:v>
                </c:pt>
                <c:pt idx="2">
                  <c:v>150976.72486626924</c:v>
                </c:pt>
                <c:pt idx="3">
                  <c:v>236499.37643784314</c:v>
                </c:pt>
                <c:pt idx="4">
                  <c:v>310584.65870911843</c:v>
                </c:pt>
                <c:pt idx="5">
                  <c:v>401383.94767401239</c:v>
                </c:pt>
                <c:pt idx="6">
                  <c:v>494367.5998839009</c:v>
                </c:pt>
                <c:pt idx="7">
                  <c:v>774408.30172450829</c:v>
                </c:pt>
                <c:pt idx="8">
                  <c:v>1033427.4663357964</c:v>
                </c:pt>
                <c:pt idx="9">
                  <c:v>1447004.8940855488</c:v>
                </c:pt>
                <c:pt idx="10">
                  <c:v>1870036.1412108056</c:v>
                </c:pt>
                <c:pt idx="11">
                  <c:v>2747388.0189113896</c:v>
                </c:pt>
                <c:pt idx="12">
                  <c:v>3438586.8658678508</c:v>
                </c:pt>
                <c:pt idx="13">
                  <c:v>4588597.8785914844</c:v>
                </c:pt>
                <c:pt idx="14">
                  <c:v>5651711.7012407072</c:v>
                </c:pt>
                <c:pt idx="15">
                  <c:v>7787714.1096044648</c:v>
                </c:pt>
                <c:pt idx="16">
                  <c:v>9592018.3297211248</c:v>
                </c:pt>
                <c:pt idx="17">
                  <c:v>11626259.1720108</c:v>
                </c:pt>
                <c:pt idx="18">
                  <c:v>14319900.48870448</c:v>
                </c:pt>
                <c:pt idx="19">
                  <c:v>19109089.741586894</c:v>
                </c:pt>
                <c:pt idx="20">
                  <c:v>19731949.713488426</c:v>
                </c:pt>
                <c:pt idx="21">
                  <c:v>28989451.614287809</c:v>
                </c:pt>
                <c:pt idx="22">
                  <c:v>34578806.550508983</c:v>
                </c:pt>
                <c:pt idx="23">
                  <c:v>38069747.820972234</c:v>
                </c:pt>
                <c:pt idx="24">
                  <c:v>49199421.925238192</c:v>
                </c:pt>
                <c:pt idx="25">
                  <c:v>53305251.90013662</c:v>
                </c:pt>
                <c:pt idx="26">
                  <c:v>63584315.446182802</c:v>
                </c:pt>
                <c:pt idx="27">
                  <c:v>84849639.212010816</c:v>
                </c:pt>
                <c:pt idx="28">
                  <c:v>111426887.6307299</c:v>
                </c:pt>
                <c:pt idx="29">
                  <c:v>137242935.9289898</c:v>
                </c:pt>
                <c:pt idx="30">
                  <c:v>151098446.77243739</c:v>
                </c:pt>
                <c:pt idx="31">
                  <c:v>198426649.8484644</c:v>
                </c:pt>
                <c:pt idx="32">
                  <c:v>252359698.57406497</c:v>
                </c:pt>
                <c:pt idx="33">
                  <c:v>315849359.10690475</c:v>
                </c:pt>
                <c:pt idx="34">
                  <c:v>395312001.92396545</c:v>
                </c:pt>
                <c:pt idx="35">
                  <c:v>464034210.81974161</c:v>
                </c:pt>
                <c:pt idx="36">
                  <c:v>494766173.68167716</c:v>
                </c:pt>
                <c:pt idx="37">
                  <c:v>619241423.04865134</c:v>
                </c:pt>
                <c:pt idx="38">
                  <c:v>750585205.59024024</c:v>
                </c:pt>
                <c:pt idx="39">
                  <c:v>839691969.93375206</c:v>
                </c:pt>
                <c:pt idx="40">
                  <c:v>881069160.14159155</c:v>
                </c:pt>
                <c:pt idx="41">
                  <c:v>1001613109.2283105</c:v>
                </c:pt>
                <c:pt idx="42">
                  <c:v>1067947737.4887031</c:v>
                </c:pt>
                <c:pt idx="43">
                  <c:v>1544045165.8129377</c:v>
                </c:pt>
                <c:pt idx="44">
                  <c:v>2027682719.5212848</c:v>
                </c:pt>
                <c:pt idx="45">
                  <c:v>3386569556.6870275</c:v>
                </c:pt>
                <c:pt idx="46">
                  <c:v>6030731593.6093893</c:v>
                </c:pt>
                <c:pt idx="47">
                  <c:v>8719267466.5191021</c:v>
                </c:pt>
                <c:pt idx="48">
                  <c:v>12405092300.422279</c:v>
                </c:pt>
                <c:pt idx="49">
                  <c:v>14797896996.190331</c:v>
                </c:pt>
                <c:pt idx="50">
                  <c:v>19746948794.09338</c:v>
                </c:pt>
              </c:numCache>
            </c:numRef>
          </c:xVal>
          <c:yVal>
            <c:numRef>
              <c:f>Acc_crit_perType!$BJ$64:$BJ$114</c:f>
              <c:numCache>
                <c:formatCode>General</c:formatCode>
                <c:ptCount val="51"/>
                <c:pt idx="0">
                  <c:v>1.5938014159529557E-2</c:v>
                </c:pt>
                <c:pt idx="1">
                  <c:v>1.5085627997932956E-2</c:v>
                </c:pt>
                <c:pt idx="2">
                  <c:v>1.4748025481839976E-2</c:v>
                </c:pt>
                <c:pt idx="3">
                  <c:v>1.3471495805949663E-2</c:v>
                </c:pt>
                <c:pt idx="4">
                  <c:v>1.2750963097556675E-2</c:v>
                </c:pt>
                <c:pt idx="5">
                  <c:v>1.2108102892460474E-2</c:v>
                </c:pt>
                <c:pt idx="6">
                  <c:v>1.1609754030810378E-2</c:v>
                </c:pt>
                <c:pt idx="7">
                  <c:v>1.0604860489748522E-2</c:v>
                </c:pt>
                <c:pt idx="8">
                  <c:v>1.0005255879944844E-2</c:v>
                </c:pt>
                <c:pt idx="9">
                  <c:v>9.3484509929918861E-3</c:v>
                </c:pt>
                <c:pt idx="10">
                  <c:v>8.877133879397682E-3</c:v>
                </c:pt>
                <c:pt idx="11">
                  <c:v>8.2143355720877553E-3</c:v>
                </c:pt>
                <c:pt idx="12">
                  <c:v>7.8507909133822881E-3</c:v>
                </c:pt>
                <c:pt idx="13">
                  <c:v>7.4069373055074186E-3</c:v>
                </c:pt>
                <c:pt idx="14">
                  <c:v>7.1020474139235155E-3</c:v>
                </c:pt>
                <c:pt idx="15">
                  <c:v>6.6573126180597538E-3</c:v>
                </c:pt>
                <c:pt idx="16">
                  <c:v>6.3832793383597668E-3</c:v>
                </c:pt>
                <c:pt idx="17">
                  <c:v>6.1403721612018477E-3</c:v>
                </c:pt>
                <c:pt idx="18">
                  <c:v>5.8876175711067465E-3</c:v>
                </c:pt>
                <c:pt idx="19">
                  <c:v>5.5547542545880532E-3</c:v>
                </c:pt>
                <c:pt idx="20">
                  <c:v>5.5189311563305444E-3</c:v>
                </c:pt>
                <c:pt idx="21">
                  <c:v>5.1068681776403899E-3</c:v>
                </c:pt>
                <c:pt idx="22">
                  <c:v>4.9284393899383079E-3</c:v>
                </c:pt>
                <c:pt idx="23">
                  <c:v>4.8337460860079142E-3</c:v>
                </c:pt>
                <c:pt idx="24">
                  <c:v>4.5900450434702327E-3</c:v>
                </c:pt>
                <c:pt idx="25">
                  <c:v>4.5164300583445359E-3</c:v>
                </c:pt>
                <c:pt idx="26">
                  <c:v>4.3586103347042562E-3</c:v>
                </c:pt>
                <c:pt idx="27">
                  <c:v>4.1121912230856388E-3</c:v>
                </c:pt>
                <c:pt idx="28">
                  <c:v>3.8922657758302527E-3</c:v>
                </c:pt>
                <c:pt idx="29">
                  <c:v>3.7320494216934032E-3</c:v>
                </c:pt>
                <c:pt idx="30">
                  <c:v>3.6603431345281078E-3</c:v>
                </c:pt>
                <c:pt idx="31">
                  <c:v>3.464583123065113E-3</c:v>
                </c:pt>
                <c:pt idx="32">
                  <c:v>3.3005630067293968E-3</c:v>
                </c:pt>
                <c:pt idx="33">
                  <c:v>3.1544888609525185E-3</c:v>
                </c:pt>
                <c:pt idx="34">
                  <c:v>3.0148795686024492E-3</c:v>
                </c:pt>
                <c:pt idx="35">
                  <c:v>2.918963531958696E-3</c:v>
                </c:pt>
                <c:pt idx="36">
                  <c:v>2.8814490124501051E-3</c:v>
                </c:pt>
                <c:pt idx="37">
                  <c:v>2.7539237380544645E-3</c:v>
                </c:pt>
                <c:pt idx="38">
                  <c:v>2.6491145409394982E-3</c:v>
                </c:pt>
                <c:pt idx="39">
                  <c:v>2.5898418164613411E-3</c:v>
                </c:pt>
                <c:pt idx="40">
                  <c:v>2.5648350327201917E-3</c:v>
                </c:pt>
                <c:pt idx="41">
                  <c:v>2.4993437650211764E-3</c:v>
                </c:pt>
                <c:pt idx="42">
                  <c:v>2.467222198785422E-3</c:v>
                </c:pt>
                <c:pt idx="43">
                  <c:v>2.2904027854178301E-3</c:v>
                </c:pt>
                <c:pt idx="44">
                  <c:v>2.1679090029910419E-3</c:v>
                </c:pt>
                <c:pt idx="45">
                  <c:v>1.9548222650853484E-3</c:v>
                </c:pt>
                <c:pt idx="46">
                  <c:v>1.7400261488469278E-3</c:v>
                </c:pt>
                <c:pt idx="47">
                  <c:v>1.6153229895470281E-3</c:v>
                </c:pt>
                <c:pt idx="48">
                  <c:v>1.504433352511959E-3</c:v>
                </c:pt>
                <c:pt idx="49">
                  <c:v>1.4518497489785732E-3</c:v>
                </c:pt>
                <c:pt idx="50">
                  <c:v>1.3697677324930842E-3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286-456A-8357-D1957828D21D}"/>
            </c:ext>
          </c:extLst>
        </c:ser>
        <c:ser>
          <c:idx val="1"/>
          <c:order val="2"/>
          <c:marker>
            <c:symbol val="none"/>
          </c:marker>
          <c:xVal>
            <c:numRef>
              <c:f>Acc_crit_perType!$AX$64:$AX$114</c:f>
              <c:numCache>
                <c:formatCode>General</c:formatCode>
                <c:ptCount val="51"/>
                <c:pt idx="0">
                  <c:v>102763.7632682963</c:v>
                </c:pt>
                <c:pt idx="1">
                  <c:v>134952.20967994988</c:v>
                </c:pt>
                <c:pt idx="2">
                  <c:v>150976.72486626924</c:v>
                </c:pt>
                <c:pt idx="3">
                  <c:v>236499.37643784314</c:v>
                </c:pt>
                <c:pt idx="4">
                  <c:v>310584.65870911843</c:v>
                </c:pt>
                <c:pt idx="5">
                  <c:v>401383.94767401239</c:v>
                </c:pt>
                <c:pt idx="6">
                  <c:v>494367.5998839009</c:v>
                </c:pt>
                <c:pt idx="7">
                  <c:v>774408.30172450829</c:v>
                </c:pt>
                <c:pt idx="8">
                  <c:v>1033427.4663357964</c:v>
                </c:pt>
                <c:pt idx="9">
                  <c:v>1447004.8940855488</c:v>
                </c:pt>
                <c:pt idx="10">
                  <c:v>1870036.1412108056</c:v>
                </c:pt>
                <c:pt idx="11">
                  <c:v>2747388.0189113896</c:v>
                </c:pt>
                <c:pt idx="12">
                  <c:v>3438586.8658678508</c:v>
                </c:pt>
                <c:pt idx="13">
                  <c:v>4588597.8785914844</c:v>
                </c:pt>
                <c:pt idx="14">
                  <c:v>5651711.7012407072</c:v>
                </c:pt>
                <c:pt idx="15">
                  <c:v>7787714.1096044648</c:v>
                </c:pt>
                <c:pt idx="16">
                  <c:v>9592018.3297211248</c:v>
                </c:pt>
                <c:pt idx="17">
                  <c:v>11626259.1720108</c:v>
                </c:pt>
                <c:pt idx="18">
                  <c:v>14319900.48870448</c:v>
                </c:pt>
                <c:pt idx="19">
                  <c:v>19109089.741586894</c:v>
                </c:pt>
                <c:pt idx="20">
                  <c:v>19731949.713488426</c:v>
                </c:pt>
                <c:pt idx="21">
                  <c:v>28989451.614287809</c:v>
                </c:pt>
                <c:pt idx="22">
                  <c:v>34578806.550508983</c:v>
                </c:pt>
                <c:pt idx="23">
                  <c:v>38069747.820972234</c:v>
                </c:pt>
                <c:pt idx="24">
                  <c:v>49199421.925238192</c:v>
                </c:pt>
                <c:pt idx="25">
                  <c:v>53305251.90013662</c:v>
                </c:pt>
                <c:pt idx="26">
                  <c:v>63584315.446182802</c:v>
                </c:pt>
                <c:pt idx="27">
                  <c:v>84849639.212010816</c:v>
                </c:pt>
                <c:pt idx="28">
                  <c:v>111426887.6307299</c:v>
                </c:pt>
                <c:pt idx="29">
                  <c:v>137242935.9289898</c:v>
                </c:pt>
                <c:pt idx="30">
                  <c:v>151098446.77243739</c:v>
                </c:pt>
                <c:pt idx="31">
                  <c:v>198426649.8484644</c:v>
                </c:pt>
                <c:pt idx="32">
                  <c:v>252359698.57406497</c:v>
                </c:pt>
                <c:pt idx="33">
                  <c:v>315849359.10690475</c:v>
                </c:pt>
                <c:pt idx="34">
                  <c:v>395312001.92396545</c:v>
                </c:pt>
                <c:pt idx="35">
                  <c:v>464034210.81974161</c:v>
                </c:pt>
                <c:pt idx="36">
                  <c:v>494766173.68167716</c:v>
                </c:pt>
                <c:pt idx="37">
                  <c:v>619241423.04865134</c:v>
                </c:pt>
                <c:pt idx="38">
                  <c:v>750585205.59024024</c:v>
                </c:pt>
                <c:pt idx="39">
                  <c:v>839691969.93375206</c:v>
                </c:pt>
                <c:pt idx="40">
                  <c:v>881069160.14159155</c:v>
                </c:pt>
                <c:pt idx="41">
                  <c:v>1001613109.2283105</c:v>
                </c:pt>
                <c:pt idx="42">
                  <c:v>1067947737.4887031</c:v>
                </c:pt>
                <c:pt idx="43">
                  <c:v>1544045165.8129377</c:v>
                </c:pt>
                <c:pt idx="44">
                  <c:v>2027682719.5212848</c:v>
                </c:pt>
                <c:pt idx="45">
                  <c:v>3386569556.6870275</c:v>
                </c:pt>
                <c:pt idx="46">
                  <c:v>6030731593.6093893</c:v>
                </c:pt>
                <c:pt idx="47">
                  <c:v>8719267466.5191021</c:v>
                </c:pt>
                <c:pt idx="48">
                  <c:v>12405092300.422279</c:v>
                </c:pt>
                <c:pt idx="49">
                  <c:v>14797896996.190331</c:v>
                </c:pt>
                <c:pt idx="50">
                  <c:v>19746948794.09338</c:v>
                </c:pt>
              </c:numCache>
            </c:numRef>
          </c:xVal>
          <c:yVal>
            <c:numRef>
              <c:f>Acc_crit_perType!$BL$64:$BL$114</c:f>
              <c:numCache>
                <c:formatCode>General</c:formatCode>
                <c:ptCount val="51"/>
                <c:pt idx="0">
                  <c:v>2.2929456514081285E-2</c:v>
                </c:pt>
                <c:pt idx="1">
                  <c:v>2.063620741251497E-2</c:v>
                </c:pt>
                <c:pt idx="2">
                  <c:v>1.9759923213803477E-2</c:v>
                </c:pt>
                <c:pt idx="3">
                  <c:v>1.661141873542292E-2</c:v>
                </c:pt>
                <c:pt idx="4">
                  <c:v>1.4949923903720483E-2</c:v>
                </c:pt>
                <c:pt idx="5">
                  <c:v>1.3538378232354103E-2</c:v>
                </c:pt>
                <c:pt idx="6">
                  <c:v>1.2490297558231021E-2</c:v>
                </c:pt>
                <c:pt idx="7">
                  <c:v>1.0500119895449177E-2</c:v>
                </c:pt>
                <c:pt idx="8">
                  <c:v>9.3915002940672797E-3</c:v>
                </c:pt>
                <c:pt idx="9">
                  <c:v>8.2451978516846509E-3</c:v>
                </c:pt>
                <c:pt idx="10">
                  <c:v>7.4667006892871436E-3</c:v>
                </c:pt>
                <c:pt idx="11">
                  <c:v>6.434580435439468E-3</c:v>
                </c:pt>
                <c:pt idx="12">
                  <c:v>5.8997141618571062E-3</c:v>
                </c:pt>
                <c:pt idx="13">
                  <c:v>5.2768598082735653E-3</c:v>
                </c:pt>
                <c:pt idx="14">
                  <c:v>4.8683055800179372E-3</c:v>
                </c:pt>
                <c:pt idx="15">
                  <c:v>4.3006636038361344E-3</c:v>
                </c:pt>
                <c:pt idx="16">
                  <c:v>3.9676901378938589E-3</c:v>
                </c:pt>
                <c:pt idx="17">
                  <c:v>3.6832858736056988E-3</c:v>
                </c:pt>
                <c:pt idx="18">
                  <c:v>3.3981121012844335E-3</c:v>
                </c:pt>
                <c:pt idx="19">
                  <c:v>3.0393610062002417E-3</c:v>
                </c:pt>
                <c:pt idx="20">
                  <c:v>3.0018939434971236E-3</c:v>
                </c:pt>
                <c:pt idx="21">
                  <c:v>2.5869428602922797E-3</c:v>
                </c:pt>
                <c:pt idx="22">
                  <c:v>2.4164402075698035E-3</c:v>
                </c:pt>
                <c:pt idx="23">
                  <c:v>2.3282143384659804E-3</c:v>
                </c:pt>
                <c:pt idx="24">
                  <c:v>2.1083884120840415E-3</c:v>
                </c:pt>
                <c:pt idx="25">
                  <c:v>2.0440384667727469E-3</c:v>
                </c:pt>
                <c:pt idx="26">
                  <c:v>1.9093010639063936E-3</c:v>
                </c:pt>
                <c:pt idx="27">
                  <c:v>1.7077291830779413E-3</c:v>
                </c:pt>
                <c:pt idx="28">
                  <c:v>1.5369336645532417E-3</c:v>
                </c:pt>
                <c:pt idx="29">
                  <c:v>1.4179385102349243E-3</c:v>
                </c:pt>
                <c:pt idx="30">
                  <c:v>1.3661686145804122E-3</c:v>
                </c:pt>
                <c:pt idx="31">
                  <c:v>1.2295336731438095E-3</c:v>
                </c:pt>
                <c:pt idx="32">
                  <c:v>1.1203652399617236E-3</c:v>
                </c:pt>
                <c:pt idx="33">
                  <c:v>1.0272363115161171E-3</c:v>
                </c:pt>
                <c:pt idx="34">
                  <c:v>9.4184860620389298E-4</c:v>
                </c:pt>
                <c:pt idx="35">
                  <c:v>8.8524168139457861E-4</c:v>
                </c:pt>
                <c:pt idx="36">
                  <c:v>8.6355864474743855E-4</c:v>
                </c:pt>
                <c:pt idx="37">
                  <c:v>7.9177643626155607E-4</c:v>
                </c:pt>
                <c:pt idx="38">
                  <c:v>7.3501530944030248E-4</c:v>
                </c:pt>
                <c:pt idx="39">
                  <c:v>7.0381030353905438E-4</c:v>
                </c:pt>
                <c:pt idx="40">
                  <c:v>6.908394662303441E-4</c:v>
                </c:pt>
                <c:pt idx="41">
                  <c:v>6.5741706097001765E-4</c:v>
                </c:pt>
                <c:pt idx="42">
                  <c:v>6.4131434176342597E-4</c:v>
                </c:pt>
                <c:pt idx="43">
                  <c:v>5.561013912638189E-4</c:v>
                </c:pt>
                <c:pt idx="44">
                  <c:v>5.0048389264965181E-4</c:v>
                </c:pt>
                <c:pt idx="45">
                  <c:v>4.1043598169441013E-4</c:v>
                </c:pt>
                <c:pt idx="46">
                  <c:v>3.2834524469200463E-4</c:v>
                </c:pt>
                <c:pt idx="47">
                  <c:v>2.8471723692628694E-4</c:v>
                </c:pt>
                <c:pt idx="48">
                  <c:v>2.4842764876245095E-4</c:v>
                </c:pt>
                <c:pt idx="49">
                  <c:v>2.3204784777818696E-4</c:v>
                </c:pt>
                <c:pt idx="50">
                  <c:v>2.0754970968824943E-4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286-456A-8357-D1957828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870560"/>
        <c:axId val="923870888"/>
      </c:scatterChart>
      <c:valAx>
        <c:axId val="9238705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3870888"/>
        <c:crosses val="autoZero"/>
        <c:crossBetween val="midCat"/>
      </c:valAx>
      <c:valAx>
        <c:axId val="923870888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387056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Volume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119573731543555"/>
          <c:y val="5.5555555555555552E-2"/>
          <c:w val="0.78927425253449213"/>
          <c:h val="0.8416746864975212"/>
        </c:manualLayout>
      </c:layout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Acc_crit_perType!$BT$64:$BT$114</c:f>
              <c:numCache>
                <c:formatCode>General</c:formatCode>
                <c:ptCount val="5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  <c:pt idx="25">
                  <c:v>150</c:v>
                </c:pt>
              </c:numCache>
            </c:numRef>
          </c:xVal>
          <c:yVal>
            <c:numRef>
              <c:f>Acc_crit_perType!$BU$64:$BU$114</c:f>
              <c:numCache>
                <c:formatCode>General</c:formatCode>
                <c:ptCount val="51"/>
                <c:pt idx="0">
                  <c:v>2.5999281186836027</c:v>
                </c:pt>
                <c:pt idx="1">
                  <c:v>1.988604721422345</c:v>
                </c:pt>
                <c:pt idx="2">
                  <c:v>1.7000093102291731</c:v>
                </c:pt>
                <c:pt idx="3">
                  <c:v>1.5210223350580605</c:v>
                </c:pt>
                <c:pt idx="4">
                  <c:v>1.395272441362476</c:v>
                </c:pt>
                <c:pt idx="5">
                  <c:v>1.0672007986008332</c:v>
                </c:pt>
                <c:pt idx="6">
                  <c:v>0.81626893126485667</c:v>
                </c:pt>
                <c:pt idx="7">
                  <c:v>0.69780825110811817</c:v>
                </c:pt>
                <c:pt idx="8">
                  <c:v>0.62433889575591195</c:v>
                </c:pt>
                <c:pt idx="9">
                  <c:v>0.57272193526707893</c:v>
                </c:pt>
                <c:pt idx="10">
                  <c:v>0.53373198006092448</c:v>
                </c:pt>
                <c:pt idx="11">
                  <c:v>0.50284470862650366</c:v>
                </c:pt>
                <c:pt idx="12">
                  <c:v>0.47753753919029462</c:v>
                </c:pt>
                <c:pt idx="13">
                  <c:v>0.45627435432298641</c:v>
                </c:pt>
                <c:pt idx="14">
                  <c:v>0.43805732025811289</c:v>
                </c:pt>
                <c:pt idx="15">
                  <c:v>0.42220537859885804</c:v>
                </c:pt>
                <c:pt idx="16">
                  <c:v>0.40823510769238153</c:v>
                </c:pt>
                <c:pt idx="17">
                  <c:v>0.39579227720679067</c:v>
                </c:pt>
                <c:pt idx="18">
                  <c:v>0.38461038769918315</c:v>
                </c:pt>
                <c:pt idx="19">
                  <c:v>0.37448443867727943</c:v>
                </c:pt>
                <c:pt idx="20">
                  <c:v>0.36525371538773438</c:v>
                </c:pt>
                <c:pt idx="21">
                  <c:v>0.35679013794631748</c:v>
                </c:pt>
                <c:pt idx="22">
                  <c:v>0.34899016197802912</c:v>
                </c:pt>
                <c:pt idx="23">
                  <c:v>0.3417690157618275</c:v>
                </c:pt>
                <c:pt idx="24">
                  <c:v>0.33505651523934099</c:v>
                </c:pt>
                <c:pt idx="25">
                  <c:v>0.2864315815122967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98-433B-8F46-8454BDB18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870560"/>
        <c:axId val="923870888"/>
      </c:scatterChart>
      <c:valAx>
        <c:axId val="9238705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3870888"/>
        <c:crosses val="autoZero"/>
        <c:crossBetween val="midCat"/>
      </c:valAx>
      <c:valAx>
        <c:axId val="923870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387056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76200</xdr:colOff>
      <xdr:row>2</xdr:row>
      <xdr:rowOff>95250</xdr:rowOff>
    </xdr:from>
    <xdr:to>
      <xdr:col>24</xdr:col>
      <xdr:colOff>76200</xdr:colOff>
      <xdr:row>10</xdr:row>
      <xdr:rowOff>180975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F6BF922-0B1E-4A81-9CE2-10543D1D9408}"/>
            </a:ext>
          </a:extLst>
        </xdr:cNvPr>
        <xdr:cNvCxnSpPr/>
      </xdr:nvCxnSpPr>
      <xdr:spPr>
        <a:xfrm flipV="1">
          <a:off x="13896975" y="476250"/>
          <a:ext cx="0" cy="16097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47625</xdr:colOff>
      <xdr:row>2</xdr:row>
      <xdr:rowOff>104775</xdr:rowOff>
    </xdr:from>
    <xdr:to>
      <xdr:col>27</xdr:col>
      <xdr:colOff>9525</xdr:colOff>
      <xdr:row>2</xdr:row>
      <xdr:rowOff>104775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EE6E21B-D290-4DC2-95DA-A385952B903A}"/>
            </a:ext>
          </a:extLst>
        </xdr:cNvPr>
        <xdr:cNvCxnSpPr/>
      </xdr:nvCxnSpPr>
      <xdr:spPr>
        <a:xfrm>
          <a:off x="13868400" y="485775"/>
          <a:ext cx="17907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276225</xdr:colOff>
      <xdr:row>11</xdr:row>
      <xdr:rowOff>0</xdr:rowOff>
    </xdr:from>
    <xdr:to>
      <xdr:col>24</xdr:col>
      <xdr:colOff>76200</xdr:colOff>
      <xdr:row>11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A89A260-E046-40B2-B35E-0C734D8FF02B}"/>
            </a:ext>
          </a:extLst>
        </xdr:cNvPr>
        <xdr:cNvCxnSpPr/>
      </xdr:nvCxnSpPr>
      <xdr:spPr>
        <a:xfrm>
          <a:off x="12877800" y="2095500"/>
          <a:ext cx="1019175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76200</xdr:colOff>
      <xdr:row>2</xdr:row>
      <xdr:rowOff>104775</xdr:rowOff>
    </xdr:from>
    <xdr:to>
      <xdr:col>25</xdr:col>
      <xdr:colOff>476250</xdr:colOff>
      <xdr:row>10</xdr:row>
      <xdr:rowOff>180977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445001BB-E337-4D9D-8EBA-2FED931B6B7F}"/>
            </a:ext>
          </a:extLst>
        </xdr:cNvPr>
        <xdr:cNvCxnSpPr/>
      </xdr:nvCxnSpPr>
      <xdr:spPr>
        <a:xfrm flipV="1">
          <a:off x="13896975" y="485775"/>
          <a:ext cx="1009650" cy="1600202"/>
        </a:xfrm>
        <a:prstGeom prst="line">
          <a:avLst/>
        </a:prstGeom>
        <a:ln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121025</xdr:colOff>
      <xdr:row>2</xdr:row>
      <xdr:rowOff>106456</xdr:rowOff>
    </xdr:from>
    <xdr:to>
      <xdr:col>31</xdr:col>
      <xdr:colOff>121025</xdr:colOff>
      <xdr:row>11</xdr:row>
      <xdr:rowOff>1681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C03303EB-D321-48F1-9B29-C8682029ECC1}"/>
            </a:ext>
          </a:extLst>
        </xdr:cNvPr>
        <xdr:cNvCxnSpPr/>
      </xdr:nvCxnSpPr>
      <xdr:spPr>
        <a:xfrm flipV="1">
          <a:off x="18162496" y="487456"/>
          <a:ext cx="0" cy="16097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126067</xdr:colOff>
      <xdr:row>0</xdr:row>
      <xdr:rowOff>156882</xdr:rowOff>
    </xdr:from>
    <xdr:to>
      <xdr:col>33</xdr:col>
      <xdr:colOff>493059</xdr:colOff>
      <xdr:row>2</xdr:row>
      <xdr:rowOff>127187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94EFE629-81B6-4E03-AB86-6830603620C6}"/>
            </a:ext>
          </a:extLst>
        </xdr:cNvPr>
        <xdr:cNvCxnSpPr/>
      </xdr:nvCxnSpPr>
      <xdr:spPr>
        <a:xfrm flipV="1">
          <a:off x="18167538" y="156882"/>
          <a:ext cx="1577227" cy="35130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123264</xdr:colOff>
      <xdr:row>3</xdr:row>
      <xdr:rowOff>168088</xdr:rowOff>
    </xdr:from>
    <xdr:to>
      <xdr:col>32</xdr:col>
      <xdr:colOff>302559</xdr:colOff>
      <xdr:row>11</xdr:row>
      <xdr:rowOff>2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9CA92780-4AD9-473E-9E80-4539409D4C28}"/>
            </a:ext>
          </a:extLst>
        </xdr:cNvPr>
        <xdr:cNvCxnSpPr/>
      </xdr:nvCxnSpPr>
      <xdr:spPr>
        <a:xfrm flipV="1">
          <a:off x="18164735" y="739588"/>
          <a:ext cx="784412" cy="13559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560296</xdr:colOff>
      <xdr:row>11</xdr:row>
      <xdr:rowOff>11206</xdr:rowOff>
    </xdr:from>
    <xdr:to>
      <xdr:col>31</xdr:col>
      <xdr:colOff>100853</xdr:colOff>
      <xdr:row>12</xdr:row>
      <xdr:rowOff>1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17A1DA06-7510-4979-9CB0-408944BB7A71}"/>
            </a:ext>
          </a:extLst>
        </xdr:cNvPr>
        <xdr:cNvCxnSpPr/>
      </xdr:nvCxnSpPr>
      <xdr:spPr>
        <a:xfrm flipV="1">
          <a:off x="17391531" y="2106706"/>
          <a:ext cx="750793" cy="17929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0</xdr:row>
      <xdr:rowOff>123264</xdr:rowOff>
    </xdr:from>
    <xdr:to>
      <xdr:col>34</xdr:col>
      <xdr:colOff>33617</xdr:colOff>
      <xdr:row>5</xdr:row>
      <xdr:rowOff>67235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685FBC45-F24F-443E-819E-8E9C5078F9DE}"/>
            </a:ext>
          </a:extLst>
        </xdr:cNvPr>
        <xdr:cNvCxnSpPr/>
      </xdr:nvCxnSpPr>
      <xdr:spPr>
        <a:xfrm>
          <a:off x="16831235" y="123264"/>
          <a:ext cx="3059206" cy="89647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11206</xdr:colOff>
      <xdr:row>1</xdr:row>
      <xdr:rowOff>100854</xdr:rowOff>
    </xdr:from>
    <xdr:to>
      <xdr:col>31</xdr:col>
      <xdr:colOff>112058</xdr:colOff>
      <xdr:row>10</xdr:row>
      <xdr:rowOff>179294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ACE8A51F-A645-466E-A0F9-3D45366F88E5}"/>
            </a:ext>
          </a:extLst>
        </xdr:cNvPr>
        <xdr:cNvCxnSpPr/>
      </xdr:nvCxnSpPr>
      <xdr:spPr>
        <a:xfrm flipH="1" flipV="1">
          <a:off x="17447559" y="291354"/>
          <a:ext cx="705970" cy="17929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22412</xdr:colOff>
      <xdr:row>1</xdr:row>
      <xdr:rowOff>123266</xdr:rowOff>
    </xdr:from>
    <xdr:to>
      <xdr:col>32</xdr:col>
      <xdr:colOff>11206</xdr:colOff>
      <xdr:row>2</xdr:row>
      <xdr:rowOff>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FCB40AF2-7CD4-4EA4-858C-822354655450}"/>
            </a:ext>
          </a:extLst>
        </xdr:cNvPr>
        <xdr:cNvCxnSpPr/>
      </xdr:nvCxnSpPr>
      <xdr:spPr>
        <a:xfrm flipH="1" flipV="1">
          <a:off x="17458765" y="313766"/>
          <a:ext cx="1199029" cy="672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2</xdr:row>
      <xdr:rowOff>11206</xdr:rowOff>
    </xdr:from>
    <xdr:to>
      <xdr:col>32</xdr:col>
      <xdr:colOff>291354</xdr:colOff>
      <xdr:row>3</xdr:row>
      <xdr:rowOff>156882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B3596C01-733B-425E-BE0C-7FD7820E9568}"/>
            </a:ext>
          </a:extLst>
        </xdr:cNvPr>
        <xdr:cNvCxnSpPr/>
      </xdr:nvCxnSpPr>
      <xdr:spPr>
        <a:xfrm flipH="1" flipV="1">
          <a:off x="18646588" y="392206"/>
          <a:ext cx="291354" cy="3361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134470</xdr:colOff>
      <xdr:row>2</xdr:row>
      <xdr:rowOff>0</xdr:rowOff>
    </xdr:from>
    <xdr:to>
      <xdr:col>32</xdr:col>
      <xdr:colOff>11206</xdr:colOff>
      <xdr:row>11</xdr:row>
      <xdr:rowOff>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12E30093-D4EF-41F8-BD02-4B26767998B2}"/>
            </a:ext>
          </a:extLst>
        </xdr:cNvPr>
        <xdr:cNvCxnSpPr/>
      </xdr:nvCxnSpPr>
      <xdr:spPr>
        <a:xfrm flipV="1">
          <a:off x="18175941" y="381000"/>
          <a:ext cx="481853" cy="1714500"/>
        </a:xfrm>
        <a:prstGeom prst="line">
          <a:avLst/>
        </a:prstGeom>
        <a:ln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589429</xdr:colOff>
      <xdr:row>8</xdr:row>
      <xdr:rowOff>163606</xdr:rowOff>
    </xdr:from>
    <xdr:to>
      <xdr:col>33</xdr:col>
      <xdr:colOff>257735</xdr:colOff>
      <xdr:row>13</xdr:row>
      <xdr:rowOff>0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255B95B7-B09A-4C5E-845D-331B8EF6F035}"/>
            </a:ext>
          </a:extLst>
        </xdr:cNvPr>
        <xdr:cNvCxnSpPr/>
      </xdr:nvCxnSpPr>
      <xdr:spPr>
        <a:xfrm>
          <a:off x="16815547" y="1687606"/>
          <a:ext cx="2693894" cy="800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385484</xdr:colOff>
      <xdr:row>1</xdr:row>
      <xdr:rowOff>90768</xdr:rowOff>
    </xdr:from>
    <xdr:to>
      <xdr:col>34</xdr:col>
      <xdr:colOff>385484</xdr:colOff>
      <xdr:row>9</xdr:row>
      <xdr:rowOff>176494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58913F53-7364-4177-BAA5-BF5FC99D8E12}"/>
            </a:ext>
          </a:extLst>
        </xdr:cNvPr>
        <xdr:cNvCxnSpPr/>
      </xdr:nvCxnSpPr>
      <xdr:spPr>
        <a:xfrm flipV="1">
          <a:off x="20242308" y="281268"/>
          <a:ext cx="0" cy="1609726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387723</xdr:colOff>
      <xdr:row>1</xdr:row>
      <xdr:rowOff>145676</xdr:rowOff>
    </xdr:from>
    <xdr:to>
      <xdr:col>36</xdr:col>
      <xdr:colOff>22412</xdr:colOff>
      <xdr:row>9</xdr:row>
      <xdr:rowOff>174814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99A491BD-DA90-4A61-839B-4E1616128EFF}"/>
            </a:ext>
          </a:extLst>
        </xdr:cNvPr>
        <xdr:cNvCxnSpPr/>
      </xdr:nvCxnSpPr>
      <xdr:spPr>
        <a:xfrm flipV="1">
          <a:off x="20244547" y="336176"/>
          <a:ext cx="844924" cy="15531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380999</xdr:colOff>
      <xdr:row>1</xdr:row>
      <xdr:rowOff>112059</xdr:rowOff>
    </xdr:from>
    <xdr:to>
      <xdr:col>36</xdr:col>
      <xdr:colOff>0</xdr:colOff>
      <xdr:row>1</xdr:row>
      <xdr:rowOff>134471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EEEC0A0E-6745-444F-878E-2A0FE6F30498}"/>
            </a:ext>
          </a:extLst>
        </xdr:cNvPr>
        <xdr:cNvCxnSpPr/>
      </xdr:nvCxnSpPr>
      <xdr:spPr>
        <a:xfrm>
          <a:off x="20237823" y="302559"/>
          <a:ext cx="829236" cy="224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4</xdr:row>
      <xdr:rowOff>104775</xdr:rowOff>
    </xdr:from>
    <xdr:to>
      <xdr:col>39</xdr:col>
      <xdr:colOff>89649</xdr:colOff>
      <xdr:row>11</xdr:row>
      <xdr:rowOff>44826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DFEF4D16-1032-4CFC-9002-3774D8E9B288}"/>
            </a:ext>
          </a:extLst>
        </xdr:cNvPr>
        <xdr:cNvCxnSpPr/>
      </xdr:nvCxnSpPr>
      <xdr:spPr>
        <a:xfrm flipH="1" flipV="1">
          <a:off x="22393275" y="866775"/>
          <a:ext cx="661149" cy="12735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3</xdr:row>
      <xdr:rowOff>89647</xdr:rowOff>
    </xdr:from>
    <xdr:to>
      <xdr:col>39</xdr:col>
      <xdr:colOff>89647</xdr:colOff>
      <xdr:row>4</xdr:row>
      <xdr:rowOff>85725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2B1F350C-DD5D-41D0-96BE-3C1FE44560A0}"/>
            </a:ext>
          </a:extLst>
        </xdr:cNvPr>
        <xdr:cNvCxnSpPr/>
      </xdr:nvCxnSpPr>
      <xdr:spPr>
        <a:xfrm flipV="1">
          <a:off x="22355175" y="661147"/>
          <a:ext cx="699247" cy="1865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89647</xdr:colOff>
      <xdr:row>3</xdr:row>
      <xdr:rowOff>112059</xdr:rowOff>
    </xdr:from>
    <xdr:to>
      <xdr:col>39</xdr:col>
      <xdr:colOff>100853</xdr:colOff>
      <xdr:row>11</xdr:row>
      <xdr:rowOff>22413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BF7D84D4-8A8A-46EB-868F-0B147BE7C325}"/>
            </a:ext>
          </a:extLst>
        </xdr:cNvPr>
        <xdr:cNvCxnSpPr/>
      </xdr:nvCxnSpPr>
      <xdr:spPr>
        <a:xfrm flipV="1">
          <a:off x="22972059" y="683559"/>
          <a:ext cx="11206" cy="1434354"/>
        </a:xfrm>
        <a:prstGeom prst="line">
          <a:avLst/>
        </a:prstGeom>
        <a:ln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485775</xdr:colOff>
      <xdr:row>8</xdr:row>
      <xdr:rowOff>114300</xdr:rowOff>
    </xdr:from>
    <xdr:to>
      <xdr:col>35</xdr:col>
      <xdr:colOff>487458</xdr:colOff>
      <xdr:row>12</xdr:row>
      <xdr:rowOff>24094</xdr:rowOff>
    </xdr:to>
    <xdr:cxnSp macro="">
      <xdr:nvCxnSpPr>
        <xdr:cNvPr id="109" name="Straight Connector 108">
          <a:extLst>
            <a:ext uri="{FF2B5EF4-FFF2-40B4-BE49-F238E27FC236}">
              <a16:creationId xmlns:a16="http://schemas.microsoft.com/office/drawing/2014/main" id="{559BE062-CABC-4E96-96B1-F21C284C1610}"/>
            </a:ext>
          </a:extLst>
        </xdr:cNvPr>
        <xdr:cNvCxnSpPr/>
      </xdr:nvCxnSpPr>
      <xdr:spPr>
        <a:xfrm flipH="1" flipV="1">
          <a:off x="21012150" y="1638300"/>
          <a:ext cx="1683" cy="67179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504825</xdr:colOff>
      <xdr:row>12</xdr:row>
      <xdr:rowOff>9525</xdr:rowOff>
    </xdr:from>
    <xdr:to>
      <xdr:col>36</xdr:col>
      <xdr:colOff>466725</xdr:colOff>
      <xdr:row>12</xdr:row>
      <xdr:rowOff>28575</xdr:rowOff>
    </xdr:to>
    <xdr:cxnSp macro="">
      <xdr:nvCxnSpPr>
        <xdr:cNvPr id="111" name="Straight Connector 110">
          <a:extLst>
            <a:ext uri="{FF2B5EF4-FFF2-40B4-BE49-F238E27FC236}">
              <a16:creationId xmlns:a16="http://schemas.microsoft.com/office/drawing/2014/main" id="{79ED377F-E448-44BB-981D-9A1DAE063E9C}"/>
            </a:ext>
          </a:extLst>
        </xdr:cNvPr>
        <xdr:cNvCxnSpPr/>
      </xdr:nvCxnSpPr>
      <xdr:spPr>
        <a:xfrm flipV="1">
          <a:off x="21031200" y="2295525"/>
          <a:ext cx="57150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482973</xdr:colOff>
      <xdr:row>8</xdr:row>
      <xdr:rowOff>121584</xdr:rowOff>
    </xdr:from>
    <xdr:to>
      <xdr:col>36</xdr:col>
      <xdr:colOff>457200</xdr:colOff>
      <xdr:row>12</xdr:row>
      <xdr:rowOff>9525</xdr:rowOff>
    </xdr:to>
    <xdr:cxnSp macro="">
      <xdr:nvCxnSpPr>
        <xdr:cNvPr id="112" name="Straight Connector 111">
          <a:extLst>
            <a:ext uri="{FF2B5EF4-FFF2-40B4-BE49-F238E27FC236}">
              <a16:creationId xmlns:a16="http://schemas.microsoft.com/office/drawing/2014/main" id="{03118387-FA44-4D70-8739-DAF8595E20C6}"/>
            </a:ext>
          </a:extLst>
        </xdr:cNvPr>
        <xdr:cNvCxnSpPr/>
      </xdr:nvCxnSpPr>
      <xdr:spPr>
        <a:xfrm>
          <a:off x="21009348" y="1645584"/>
          <a:ext cx="583827" cy="64994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47624</xdr:colOff>
      <xdr:row>56</xdr:row>
      <xdr:rowOff>104773</xdr:rowOff>
    </xdr:from>
    <xdr:to>
      <xdr:col>44</xdr:col>
      <xdr:colOff>333374</xdr:colOff>
      <xdr:row>70</xdr:row>
      <xdr:rowOff>180973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25B8D3-0989-4AAC-ABD5-BF65E9A85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21</xdr:col>
      <xdr:colOff>351170</xdr:colOff>
      <xdr:row>71</xdr:row>
      <xdr:rowOff>188107</xdr:rowOff>
    </xdr:from>
    <xdr:ext cx="5472075" cy="4168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8973C47-E5C6-411B-BF82-5AE1715DB80A}"/>
                </a:ext>
              </a:extLst>
            </xdr:cNvPr>
            <xdr:cNvSpPr txBox="1"/>
          </xdr:nvSpPr>
          <xdr:spPr>
            <a:xfrm>
              <a:off x="12341464" y="13758431"/>
              <a:ext cx="5472075" cy="41684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𝑚𝑎𝑓</m:t>
                    </m:r>
                    <m:r>
                      <a:rPr lang="it-IT" sz="24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0.0572</m:t>
                    </m:r>
                    <m:r>
                      <a:rPr lang="it-IT" sz="2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func>
                      <m:funcPr>
                        <m:ctrlPr>
                          <a:rPr lang="it-IT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it-IT" sz="24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exp</m:t>
                        </m:r>
                      </m:fName>
                      <m:e>
                        <m:d>
                          <m:dPr>
                            <m:ctrlPr>
                              <a:rPr lang="it-IT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−16.34∙</m:t>
                            </m:r>
                            <m:r>
                              <a:rPr lang="it-IT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it-IT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∙</m:t>
                            </m:r>
                            <m:r>
                              <a:rPr lang="it-IT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𝑉𝑜</m:t>
                            </m:r>
                            <m:sSup>
                              <m:sSup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𝑙</m:t>
                                </m:r>
                              </m:e>
                              <m:sup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𝑏</m:t>
                                </m:r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sup>
                            </m:sSup>
                          </m:e>
                        </m:d>
                      </m:e>
                    </m:func>
                  </m:oMath>
                </m:oMathPara>
              </a14:m>
              <a:endParaRPr lang="it-IT" sz="24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8973C47-E5C6-411B-BF82-5AE1715DB80A}"/>
                </a:ext>
              </a:extLst>
            </xdr:cNvPr>
            <xdr:cNvSpPr txBox="1"/>
          </xdr:nvSpPr>
          <xdr:spPr>
            <a:xfrm>
              <a:off x="12341464" y="13758431"/>
              <a:ext cx="5472075" cy="41684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2400" b="0" i="0">
                  <a:latin typeface="Cambria Math" panose="02040503050406030204" pitchFamily="18" charset="0"/>
                </a:rPr>
                <a:t>𝑚𝑎𝑓</a:t>
              </a:r>
              <a:r>
                <a:rPr lang="it-IT" sz="2400" i="0">
                  <a:latin typeface="Cambria Math" panose="02040503050406030204" pitchFamily="18" charset="0"/>
                </a:rPr>
                <a:t>=</a:t>
              </a:r>
              <a:r>
                <a:rPr lang="it-IT" sz="2400" b="0" i="0">
                  <a:latin typeface="Cambria Math" panose="02040503050406030204" pitchFamily="18" charset="0"/>
                </a:rPr>
                <a:t>0.0572</a:t>
              </a:r>
              <a:r>
                <a:rPr lang="it-IT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∙exp⁡(−16.34∙𝑎∙𝑉𝑜𝑙^(−𝑏1) )</a:t>
              </a:r>
              <a:endParaRPr lang="it-IT" sz="2400"/>
            </a:p>
          </xdr:txBody>
        </xdr:sp>
      </mc:Fallback>
    </mc:AlternateContent>
    <xdr:clientData/>
  </xdr:oneCellAnchor>
  <xdr:twoCellAnchor>
    <xdr:from>
      <xdr:col>22</xdr:col>
      <xdr:colOff>60031</xdr:colOff>
      <xdr:row>91</xdr:row>
      <xdr:rowOff>13608</xdr:rowOff>
    </xdr:from>
    <xdr:to>
      <xdr:col>29</xdr:col>
      <xdr:colOff>345781</xdr:colOff>
      <xdr:row>105</xdr:row>
      <xdr:rowOff>80203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F8225D8-56B2-4938-80C7-65481BDE0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308162</xdr:colOff>
      <xdr:row>63</xdr:row>
      <xdr:rowOff>11206</xdr:rowOff>
    </xdr:from>
    <xdr:to>
      <xdr:col>60</xdr:col>
      <xdr:colOff>39221</xdr:colOff>
      <xdr:row>77</xdr:row>
      <xdr:rowOff>49306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966748-9DB5-407F-AE09-1F217C689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291351</xdr:colOff>
      <xdr:row>77</xdr:row>
      <xdr:rowOff>100852</xdr:rowOff>
    </xdr:from>
    <xdr:to>
      <xdr:col>60</xdr:col>
      <xdr:colOff>22410</xdr:colOff>
      <xdr:row>91</xdr:row>
      <xdr:rowOff>94129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3742DD56-AABD-4453-804E-D33CA6995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100853</xdr:colOff>
      <xdr:row>75</xdr:row>
      <xdr:rowOff>134470</xdr:rowOff>
    </xdr:from>
    <xdr:to>
      <xdr:col>29</xdr:col>
      <xdr:colOff>386603</xdr:colOff>
      <xdr:row>89</xdr:row>
      <xdr:rowOff>156242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CAA66B5-7368-4806-B248-C8812BFC2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</xdr:col>
      <xdr:colOff>280146</xdr:colOff>
      <xdr:row>91</xdr:row>
      <xdr:rowOff>112059</xdr:rowOff>
    </xdr:from>
    <xdr:to>
      <xdr:col>60</xdr:col>
      <xdr:colOff>11205</xdr:colOff>
      <xdr:row>105</xdr:row>
      <xdr:rowOff>150159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986B023-D8A8-4659-A609-CA1518E01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61</xdr:col>
      <xdr:colOff>414618</xdr:colOff>
      <xdr:row>63</xdr:row>
      <xdr:rowOff>22411</xdr:rowOff>
    </xdr:from>
    <xdr:to>
      <xdr:col>69</xdr:col>
      <xdr:colOff>145676</xdr:colOff>
      <xdr:row>77</xdr:row>
      <xdr:rowOff>60511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F5294F59-0BE2-4EDB-92AD-5C8B31522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62</xdr:col>
      <xdr:colOff>0</xdr:colOff>
      <xdr:row>78</xdr:row>
      <xdr:rowOff>0</xdr:rowOff>
    </xdr:from>
    <xdr:to>
      <xdr:col>69</xdr:col>
      <xdr:colOff>336176</xdr:colOff>
      <xdr:row>91</xdr:row>
      <xdr:rowOff>183777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652225A3-2AEE-4153-BFFB-9A46C5BB4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76200</xdr:colOff>
      <xdr:row>2</xdr:row>
      <xdr:rowOff>95250</xdr:rowOff>
    </xdr:from>
    <xdr:to>
      <xdr:col>23</xdr:col>
      <xdr:colOff>76200</xdr:colOff>
      <xdr:row>10</xdr:row>
      <xdr:rowOff>180975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90B5D2B-13AB-4B4F-835E-AC8C230F783A}"/>
            </a:ext>
          </a:extLst>
        </xdr:cNvPr>
        <xdr:cNvCxnSpPr/>
      </xdr:nvCxnSpPr>
      <xdr:spPr>
        <a:xfrm flipV="1">
          <a:off x="13896975" y="476250"/>
          <a:ext cx="0" cy="16097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47625</xdr:colOff>
      <xdr:row>2</xdr:row>
      <xdr:rowOff>104775</xdr:rowOff>
    </xdr:from>
    <xdr:to>
      <xdr:col>26</xdr:col>
      <xdr:colOff>9525</xdr:colOff>
      <xdr:row>2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C18A53F-CC29-4463-88CD-546BE62E87FF}"/>
            </a:ext>
          </a:extLst>
        </xdr:cNvPr>
        <xdr:cNvCxnSpPr/>
      </xdr:nvCxnSpPr>
      <xdr:spPr>
        <a:xfrm>
          <a:off x="13868400" y="485775"/>
          <a:ext cx="17907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276225</xdr:colOff>
      <xdr:row>11</xdr:row>
      <xdr:rowOff>0</xdr:rowOff>
    </xdr:from>
    <xdr:to>
      <xdr:col>23</xdr:col>
      <xdr:colOff>76200</xdr:colOff>
      <xdr:row>11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C55EAC0-7403-47C6-B3E4-EC4A03760C91}"/>
            </a:ext>
          </a:extLst>
        </xdr:cNvPr>
        <xdr:cNvCxnSpPr/>
      </xdr:nvCxnSpPr>
      <xdr:spPr>
        <a:xfrm>
          <a:off x="12877800" y="2095500"/>
          <a:ext cx="1019175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76200</xdr:colOff>
      <xdr:row>2</xdr:row>
      <xdr:rowOff>104775</xdr:rowOff>
    </xdr:from>
    <xdr:to>
      <xdr:col>24</xdr:col>
      <xdr:colOff>476250</xdr:colOff>
      <xdr:row>10</xdr:row>
      <xdr:rowOff>180977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61C7B1F-0A34-4E36-8E4D-3455F9C1096B}"/>
            </a:ext>
          </a:extLst>
        </xdr:cNvPr>
        <xdr:cNvCxnSpPr/>
      </xdr:nvCxnSpPr>
      <xdr:spPr>
        <a:xfrm flipV="1">
          <a:off x="13896975" y="485775"/>
          <a:ext cx="1009650" cy="1600202"/>
        </a:xfrm>
        <a:prstGeom prst="line">
          <a:avLst/>
        </a:prstGeom>
        <a:ln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321879</xdr:colOff>
      <xdr:row>2</xdr:row>
      <xdr:rowOff>105103</xdr:rowOff>
    </xdr:from>
    <xdr:to>
      <xdr:col>24</xdr:col>
      <xdr:colOff>479534</xdr:colOff>
      <xdr:row>7</xdr:row>
      <xdr:rowOff>105103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33B24266-14BC-43D4-BA64-3CA857E6C445}"/>
            </a:ext>
          </a:extLst>
        </xdr:cNvPr>
        <xdr:cNvCxnSpPr/>
      </xdr:nvCxnSpPr>
      <xdr:spPr>
        <a:xfrm flipH="1">
          <a:off x="15844345" y="486103"/>
          <a:ext cx="157655" cy="952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98535</xdr:colOff>
      <xdr:row>7</xdr:row>
      <xdr:rowOff>98534</xdr:rowOff>
    </xdr:from>
    <xdr:to>
      <xdr:col>24</xdr:col>
      <xdr:colOff>321879</xdr:colOff>
      <xdr:row>10</xdr:row>
      <xdr:rowOff>183931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5FEFD286-2F21-4EBA-A788-3918792CECA2}"/>
            </a:ext>
          </a:extLst>
        </xdr:cNvPr>
        <xdr:cNvCxnSpPr/>
      </xdr:nvCxnSpPr>
      <xdr:spPr>
        <a:xfrm flipH="1">
          <a:off x="15010087" y="1432034"/>
          <a:ext cx="834258" cy="65689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369177</xdr:colOff>
      <xdr:row>6</xdr:row>
      <xdr:rowOff>47296</xdr:rowOff>
    </xdr:from>
    <xdr:to>
      <xdr:col>24</xdr:col>
      <xdr:colOff>190500</xdr:colOff>
      <xdr:row>7</xdr:row>
      <xdr:rowOff>98534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6D947CA2-5C7B-446E-B761-1971A2A3F2C7}"/>
            </a:ext>
          </a:extLst>
        </xdr:cNvPr>
        <xdr:cNvCxnSpPr/>
      </xdr:nvCxnSpPr>
      <xdr:spPr>
        <a:xfrm flipH="1" flipV="1">
          <a:off x="15280729" y="1190296"/>
          <a:ext cx="432237" cy="241738"/>
        </a:xfrm>
        <a:prstGeom prst="line">
          <a:avLst/>
        </a:prstGeom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75865</xdr:colOff>
      <xdr:row>0</xdr:row>
      <xdr:rowOff>0</xdr:rowOff>
    </xdr:from>
    <xdr:to>
      <xdr:col>25</xdr:col>
      <xdr:colOff>587378</xdr:colOff>
      <xdr:row>35</xdr:row>
      <xdr:rowOff>21906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FCDEA99C-322B-42B6-982F-38937B210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34465" y="0"/>
          <a:ext cx="3559513" cy="6679881"/>
        </a:xfrm>
        <a:prstGeom prst="rect">
          <a:avLst/>
        </a:prstGeom>
      </xdr:spPr>
    </xdr:pic>
    <xdr:clientData/>
  </xdr:twoCellAnchor>
  <xdr:twoCellAnchor editAs="oneCell">
    <xdr:from>
      <xdr:col>26</xdr:col>
      <xdr:colOff>20170</xdr:colOff>
      <xdr:row>0</xdr:row>
      <xdr:rowOff>78441</xdr:rowOff>
    </xdr:from>
    <xdr:to>
      <xdr:col>33</xdr:col>
      <xdr:colOff>42494</xdr:colOff>
      <xdr:row>33</xdr:row>
      <xdr:rowOff>39598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D5348E39-3538-45E1-A670-7A0D98BFD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79095" y="78441"/>
          <a:ext cx="4289524" cy="6238132"/>
        </a:xfrm>
        <a:prstGeom prst="rect">
          <a:avLst/>
        </a:prstGeom>
      </xdr:spPr>
    </xdr:pic>
    <xdr:clientData/>
  </xdr:twoCellAnchor>
  <xdr:twoCellAnchor editAs="oneCell">
    <xdr:from>
      <xdr:col>33</xdr:col>
      <xdr:colOff>288215</xdr:colOff>
      <xdr:row>1</xdr:row>
      <xdr:rowOff>44823</xdr:rowOff>
    </xdr:from>
    <xdr:to>
      <xdr:col>38</xdr:col>
      <xdr:colOff>351770</xdr:colOff>
      <xdr:row>8</xdr:row>
      <xdr:rowOff>121991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CE7D5591-8AF4-4F38-AF5E-29CAA19FD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814340" y="235323"/>
          <a:ext cx="3111555" cy="14106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81915</xdr:rowOff>
    </xdr:from>
    <xdr:to>
      <xdr:col>7</xdr:col>
      <xdr:colOff>21266</xdr:colOff>
      <xdr:row>38</xdr:row>
      <xdr:rowOff>18633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F3B810D2-26C8-4071-828B-01113DFD4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406390"/>
          <a:ext cx="5926766" cy="1841718"/>
        </a:xfrm>
        <a:prstGeom prst="rect">
          <a:avLst/>
        </a:prstGeom>
      </xdr:spPr>
    </xdr:pic>
    <xdr:clientData/>
  </xdr:twoCellAnchor>
  <xdr:twoCellAnchor editAs="oneCell">
    <xdr:from>
      <xdr:col>4</xdr:col>
      <xdr:colOff>58907</xdr:colOff>
      <xdr:row>35</xdr:row>
      <xdr:rowOff>68132</xdr:rowOff>
    </xdr:from>
    <xdr:to>
      <xdr:col>18</xdr:col>
      <xdr:colOff>4520</xdr:colOff>
      <xdr:row>55</xdr:row>
      <xdr:rowOff>178079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8282C14D-6663-42B4-B3A6-C902FF230D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12232" y="6726107"/>
          <a:ext cx="6670263" cy="3919947"/>
        </a:xfrm>
        <a:prstGeom prst="rect">
          <a:avLst/>
        </a:prstGeom>
      </xdr:spPr>
    </xdr:pic>
    <xdr:clientData/>
  </xdr:twoCellAnchor>
  <xdr:twoCellAnchor editAs="oneCell">
    <xdr:from>
      <xdr:col>33</xdr:col>
      <xdr:colOff>307696</xdr:colOff>
      <xdr:row>9</xdr:row>
      <xdr:rowOff>36819</xdr:rowOff>
    </xdr:from>
    <xdr:to>
      <xdr:col>41</xdr:col>
      <xdr:colOff>429196</xdr:colOff>
      <xdr:row>31</xdr:row>
      <xdr:rowOff>105570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B1015DAA-C619-46D6-AC85-C6BD7BD8A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833821" y="1751319"/>
          <a:ext cx="4998300" cy="42502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gupubs.onlinelibrary.wiley.com/doi/epdf/10.1029/2001JB00065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FE957-3271-4567-ADAC-314F065E8203}">
  <dimension ref="A1:E30"/>
  <sheetViews>
    <sheetView tabSelected="1" zoomScaleNormal="100" workbookViewId="0">
      <selection activeCell="A3" sqref="A3:A14"/>
    </sheetView>
  </sheetViews>
  <sheetFormatPr defaultRowHeight="15" x14ac:dyDescent="0.25"/>
  <cols>
    <col min="1" max="1" width="9.140625" style="1"/>
    <col min="2" max="2" width="18.140625" style="12" bestFit="1" customWidth="1"/>
    <col min="3" max="3" width="14.7109375" style="1" customWidth="1"/>
    <col min="4" max="4" width="14.28515625" style="1" bestFit="1" customWidth="1"/>
    <col min="5" max="5" width="14.28515625" style="12" bestFit="1" customWidth="1"/>
  </cols>
  <sheetData>
    <row r="1" spans="1:5" x14ac:dyDescent="0.25">
      <c r="A1" s="9" t="s">
        <v>2</v>
      </c>
      <c r="B1" s="13" t="s">
        <v>41</v>
      </c>
      <c r="C1" s="11" t="s">
        <v>42</v>
      </c>
      <c r="D1" s="10" t="str">
        <f>+Acc_crit_perType!AI43</f>
        <v>Aceleration [g]</v>
      </c>
      <c r="E1" s="10" t="s">
        <v>105</v>
      </c>
    </row>
    <row r="2" spans="1:5" s="21" customFormat="1" x14ac:dyDescent="0.25">
      <c r="A2" s="19">
        <v>0</v>
      </c>
      <c r="B2" s="12" t="s">
        <v>108</v>
      </c>
      <c r="C2" s="55" t="s">
        <v>108</v>
      </c>
      <c r="D2" s="82">
        <f>+MIN(D3:D14)</f>
        <v>3.7182115064001299E-2</v>
      </c>
      <c r="E2" s="82"/>
    </row>
    <row r="3" spans="1:5" s="21" customFormat="1" x14ac:dyDescent="0.25">
      <c r="A3" s="19">
        <v>1</v>
      </c>
      <c r="B3" s="83" t="s">
        <v>11</v>
      </c>
      <c r="C3" s="20" t="str">
        <f>+'Data ROCK'!C2</f>
        <v>Limestones</v>
      </c>
      <c r="D3" s="82">
        <f>+Acc_crit_perType!AI44</f>
        <v>0.2875544389106876</v>
      </c>
      <c r="E3" s="82"/>
    </row>
    <row r="4" spans="1:5" s="21" customFormat="1" x14ac:dyDescent="0.25">
      <c r="A4" s="19">
        <v>2</v>
      </c>
      <c r="B4" s="83"/>
      <c r="C4" s="20" t="str">
        <f>+'Data ROCK'!C3</f>
        <v>Marlstones</v>
      </c>
      <c r="D4" s="82">
        <f>+Acc_crit_perType!AI45</f>
        <v>5.8045861514108781E-2</v>
      </c>
      <c r="E4" s="82" t="s">
        <v>106</v>
      </c>
    </row>
    <row r="5" spans="1:5" s="21" customFormat="1" x14ac:dyDescent="0.25">
      <c r="A5" s="19">
        <v>3</v>
      </c>
      <c r="B5" s="83" t="s">
        <v>14</v>
      </c>
      <c r="C5" s="20" t="str">
        <f>+'Data ROCK'!C4</f>
        <v>Conglomerates</v>
      </c>
      <c r="D5" s="82">
        <f>+Acc_crit_perType!AI46</f>
        <v>7.7962321926615466E-2</v>
      </c>
      <c r="E5" s="82" t="s">
        <v>106</v>
      </c>
    </row>
    <row r="6" spans="1:5" s="21" customFormat="1" x14ac:dyDescent="0.25">
      <c r="A6" s="19">
        <v>4</v>
      </c>
      <c r="B6" s="83"/>
      <c r="C6" s="20" t="str">
        <f>+'Data ROCK'!C5</f>
        <v>Sandstones</v>
      </c>
      <c r="D6" s="82">
        <f>+Acc_crit_perType!AI47</f>
        <v>7.1335755033789458E-2</v>
      </c>
      <c r="E6" s="82" t="s">
        <v>106</v>
      </c>
    </row>
    <row r="7" spans="1:5" s="21" customFormat="1" x14ac:dyDescent="0.25">
      <c r="A7" s="19">
        <v>5</v>
      </c>
      <c r="B7" s="83"/>
      <c r="C7" s="20" t="str">
        <f>+'Data ROCK'!C6</f>
        <v>Shales</v>
      </c>
      <c r="D7" s="82">
        <f>+Acc_crit_perType!AI48</f>
        <v>3.7182115064001299E-2</v>
      </c>
      <c r="E7" s="82" t="s">
        <v>106</v>
      </c>
    </row>
    <row r="8" spans="1:5" s="21" customFormat="1" x14ac:dyDescent="0.25">
      <c r="A8" s="19">
        <v>6</v>
      </c>
      <c r="B8" s="83" t="s">
        <v>18</v>
      </c>
      <c r="C8" s="20" t="str">
        <f>+'Data ROCK'!C7</f>
        <v>Plutonic rocks</v>
      </c>
      <c r="D8" s="82">
        <f>+Acc_crit_perType!AI49</f>
        <v>1.5716049382716051</v>
      </c>
      <c r="E8" s="82"/>
    </row>
    <row r="9" spans="1:5" s="21" customFormat="1" x14ac:dyDescent="0.25">
      <c r="A9" s="19">
        <v>7</v>
      </c>
      <c r="B9" s="83"/>
      <c r="C9" s="20" t="str">
        <f>+'Data ROCK'!C8</f>
        <v>Volcanic rocks</v>
      </c>
      <c r="D9" s="82">
        <f>+Acc_crit_perType!AI50</f>
        <v>1.5716049382716051</v>
      </c>
      <c r="E9" s="82"/>
    </row>
    <row r="10" spans="1:5" s="21" customFormat="1" x14ac:dyDescent="0.25">
      <c r="A10" s="19">
        <v>8</v>
      </c>
      <c r="B10" s="83" t="s">
        <v>21</v>
      </c>
      <c r="C10" s="20" t="str">
        <f>+'Data ROCK'!C9</f>
        <v>Gneiss</v>
      </c>
      <c r="D10" s="82">
        <f>+Acc_crit_perType!AI51</f>
        <v>2.1062476618032178</v>
      </c>
      <c r="E10" s="82"/>
    </row>
    <row r="11" spans="1:5" s="21" customFormat="1" x14ac:dyDescent="0.25">
      <c r="A11" s="19">
        <v>9</v>
      </c>
      <c r="B11" s="83"/>
      <c r="C11" s="20" t="str">
        <f>+'Data ROCK'!C10</f>
        <v>Marbles</v>
      </c>
      <c r="D11" s="82">
        <f>+Acc_crit_perType!AI52</f>
        <v>0.42484812855183224</v>
      </c>
      <c r="E11" s="82"/>
    </row>
    <row r="12" spans="1:5" s="21" customFormat="1" x14ac:dyDescent="0.25">
      <c r="A12" s="19">
        <v>10</v>
      </c>
      <c r="B12" s="83"/>
      <c r="C12" s="20" t="str">
        <f>+'Data ROCK'!C11</f>
        <v>Phyllites</v>
      </c>
      <c r="D12" s="82">
        <f>+Acc_crit_perType!AI53</f>
        <v>0.26258727349045308</v>
      </c>
      <c r="E12" s="82"/>
    </row>
    <row r="13" spans="1:5" s="21" customFormat="1" x14ac:dyDescent="0.25">
      <c r="A13" s="19">
        <v>11</v>
      </c>
      <c r="B13" s="83"/>
      <c r="C13" s="20" t="str">
        <f>+'Data ROCK'!C12</f>
        <v>Quartzites</v>
      </c>
      <c r="D13" s="82">
        <f>+Acc_crit_perType!AI54</f>
        <v>0.4819528046216221</v>
      </c>
      <c r="E13" s="82"/>
    </row>
    <row r="14" spans="1:5" s="21" customFormat="1" x14ac:dyDescent="0.25">
      <c r="A14" s="19">
        <v>12</v>
      </c>
      <c r="B14" s="83"/>
      <c r="C14" s="20" t="str">
        <f>+'Data ROCK'!C13</f>
        <v>Schists</v>
      </c>
      <c r="D14" s="82">
        <f>+Acc_crit_perType!AI55</f>
        <v>4.9803847137966574E-2</v>
      </c>
      <c r="E14" s="82"/>
    </row>
    <row r="15" spans="1:5" s="2" customFormat="1" ht="10.5" customHeight="1" x14ac:dyDescent="0.25">
      <c r="A15" s="1"/>
      <c r="B15" s="12"/>
      <c r="C15" s="1"/>
      <c r="D15" s="1"/>
      <c r="E15" s="12"/>
    </row>
    <row r="16" spans="1:5" s="2" customFormat="1" ht="10.5" customHeight="1" x14ac:dyDescent="0.25">
      <c r="A16" s="1"/>
      <c r="B16" s="12"/>
      <c r="C16" s="1"/>
      <c r="D16" s="1"/>
      <c r="E16" s="12"/>
    </row>
    <row r="17" spans="1:5" s="2" customFormat="1" ht="10.5" customHeight="1" x14ac:dyDescent="0.25">
      <c r="A17" s="1"/>
      <c r="B17" s="12"/>
      <c r="C17" s="1"/>
      <c r="D17" s="1"/>
      <c r="E17" s="12"/>
    </row>
    <row r="18" spans="1:5" s="2" customFormat="1" ht="10.5" customHeight="1" x14ac:dyDescent="0.25">
      <c r="A18" s="1"/>
      <c r="B18" s="12"/>
      <c r="C18" s="1"/>
      <c r="D18" s="1"/>
      <c r="E18" s="12"/>
    </row>
    <row r="19" spans="1:5" s="2" customFormat="1" ht="10.5" customHeight="1" x14ac:dyDescent="0.25">
      <c r="A19" s="1"/>
      <c r="B19" s="12"/>
      <c r="C19" s="1"/>
      <c r="D19" s="1"/>
      <c r="E19" s="12"/>
    </row>
    <row r="20" spans="1:5" s="2" customFormat="1" ht="10.5" customHeight="1" x14ac:dyDescent="0.25">
      <c r="A20" s="1"/>
      <c r="B20" s="12"/>
      <c r="C20" s="1"/>
      <c r="D20" s="1"/>
      <c r="E20" s="12"/>
    </row>
    <row r="21" spans="1:5" s="2" customFormat="1" ht="10.5" customHeight="1" x14ac:dyDescent="0.25">
      <c r="A21" s="1"/>
      <c r="B21" s="12"/>
      <c r="C21" s="1"/>
      <c r="D21" s="1"/>
      <c r="E21" s="12"/>
    </row>
    <row r="22" spans="1:5" s="2" customFormat="1" ht="10.5" customHeight="1" x14ac:dyDescent="0.25">
      <c r="A22" s="1"/>
      <c r="B22" s="12"/>
      <c r="C22" s="1"/>
      <c r="D22" s="1"/>
      <c r="E22" s="12"/>
    </row>
    <row r="23" spans="1:5" s="2" customFormat="1" ht="10.5" customHeight="1" x14ac:dyDescent="0.25">
      <c r="A23" s="1"/>
      <c r="B23" s="12"/>
      <c r="C23" s="1"/>
      <c r="D23" s="1"/>
      <c r="E23" s="12"/>
    </row>
    <row r="24" spans="1:5" s="2" customFormat="1" ht="10.5" customHeight="1" x14ac:dyDescent="0.25">
      <c r="A24" s="1"/>
      <c r="B24" s="12"/>
      <c r="C24" s="1"/>
      <c r="D24" s="1"/>
      <c r="E24" s="12"/>
    </row>
    <row r="25" spans="1:5" s="2" customFormat="1" ht="10.5" customHeight="1" x14ac:dyDescent="0.25">
      <c r="A25" s="1"/>
      <c r="B25" s="12"/>
      <c r="C25" s="1"/>
      <c r="D25" s="1"/>
      <c r="E25" s="12"/>
    </row>
    <row r="26" spans="1:5" s="2" customFormat="1" ht="10.5" customHeight="1" x14ac:dyDescent="0.25">
      <c r="A26" s="1"/>
      <c r="B26" s="12"/>
      <c r="C26" s="1"/>
      <c r="D26" s="1"/>
      <c r="E26" s="12"/>
    </row>
    <row r="27" spans="1:5" s="2" customFormat="1" ht="10.5" customHeight="1" x14ac:dyDescent="0.25">
      <c r="A27" s="1"/>
      <c r="B27" s="12"/>
      <c r="C27" s="1"/>
      <c r="D27" s="1"/>
      <c r="E27" s="12"/>
    </row>
    <row r="28" spans="1:5" s="2" customFormat="1" ht="10.5" customHeight="1" x14ac:dyDescent="0.25">
      <c r="A28" s="1"/>
      <c r="B28" s="12"/>
      <c r="C28" s="1"/>
      <c r="D28" s="1"/>
      <c r="E28" s="12"/>
    </row>
    <row r="29" spans="1:5" s="2" customFormat="1" ht="10.5" customHeight="1" x14ac:dyDescent="0.25">
      <c r="A29" s="1"/>
      <c r="B29" s="12"/>
      <c r="C29" s="1"/>
      <c r="D29" s="1"/>
      <c r="E29" s="12"/>
    </row>
    <row r="30" spans="1:5" s="2" customFormat="1" ht="10.5" customHeight="1" x14ac:dyDescent="0.25">
      <c r="A30" s="1"/>
      <c r="B30" s="12"/>
      <c r="C30" s="1"/>
      <c r="D30" s="1"/>
      <c r="E30" s="12"/>
    </row>
  </sheetData>
  <mergeCells count="4">
    <mergeCell ref="B3:B4"/>
    <mergeCell ref="B5:B7"/>
    <mergeCell ref="B8:B9"/>
    <mergeCell ref="B10:B14"/>
  </mergeCells>
  <conditionalFormatting sqref="D3:D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C011-0BCA-4AE2-AF3F-87EA77E03534}">
  <dimension ref="A1:BU264"/>
  <sheetViews>
    <sheetView topLeftCell="C1" zoomScale="70" zoomScaleNormal="70" workbookViewId="0">
      <selection activeCell="AC16" sqref="AC16"/>
    </sheetView>
  </sheetViews>
  <sheetFormatPr defaultRowHeight="15" x14ac:dyDescent="0.25"/>
  <cols>
    <col min="1" max="1" width="7" bestFit="1" customWidth="1"/>
    <col min="2" max="2" width="18.140625" bestFit="1" customWidth="1"/>
    <col min="3" max="3" width="14.5703125" bestFit="1" customWidth="1"/>
    <col min="4" max="4" width="9.85546875" bestFit="1" customWidth="1"/>
    <col min="5" max="20" width="7.5703125" customWidth="1"/>
    <col min="31" max="31" width="9.28515625" bestFit="1" customWidth="1"/>
    <col min="32" max="32" width="9.7109375" bestFit="1" customWidth="1"/>
  </cols>
  <sheetData>
    <row r="1" spans="1:40" x14ac:dyDescent="0.25">
      <c r="A1" s="13" t="str">
        <f>+'Data ROCK'!A1</f>
        <v>RockID</v>
      </c>
      <c r="B1" s="13" t="str">
        <f>+'Data ROCK'!B1</f>
        <v>LEVEL 4</v>
      </c>
      <c r="C1" s="13" t="str">
        <f>+'Data ROCK'!C1</f>
        <v>LEVEL 3</v>
      </c>
      <c r="D1" s="13" t="str">
        <f>+'Data ROCK'!D1</f>
        <v>γ [kN/m3]</v>
      </c>
      <c r="E1" s="13" t="str">
        <f>+'Data ROCK'!E1</f>
        <v>UCS</v>
      </c>
      <c r="F1" s="13" t="str">
        <f>+'Data ROCK'!F1</f>
        <v>GSI</v>
      </c>
      <c r="G1" s="13" t="str">
        <f>+'Data ROCK'!G1</f>
        <v>mi</v>
      </c>
      <c r="H1" s="22" t="str">
        <f>+'Data ROCK'!H1</f>
        <v>D</v>
      </c>
      <c r="I1" s="23" t="str">
        <f>+'Data ROCK'!I1</f>
        <v>Lmax</v>
      </c>
      <c r="J1" s="4" t="str">
        <f>+'Data ROCK'!J1</f>
        <v>φ [°]</v>
      </c>
      <c r="K1" s="5" t="str">
        <f>+'Data ROCK'!K1</f>
        <v>c [MPa]</v>
      </c>
      <c r="L1" s="23" t="str">
        <f>+'Data ROCK'!L1</f>
        <v>3L/4</v>
      </c>
      <c r="M1" s="4" t="str">
        <f>+'Data ROCK'!M1</f>
        <v>φ [°]</v>
      </c>
      <c r="N1" s="5" t="str">
        <f>+'Data ROCK'!N1</f>
        <v>c [MPa]</v>
      </c>
      <c r="O1" s="23" t="str">
        <f>+'Data ROCK'!O1</f>
        <v>L/2</v>
      </c>
      <c r="P1" s="4" t="str">
        <f>+'Data ROCK'!P1</f>
        <v>φ [°]</v>
      </c>
      <c r="Q1" s="5" t="str">
        <f>+'Data ROCK'!Q1</f>
        <v>c [MPa]</v>
      </c>
      <c r="R1" s="56" t="str">
        <f>+'Data ROCK'!R1</f>
        <v>L/4</v>
      </c>
      <c r="S1" s="57" t="str">
        <f>+'Data ROCK'!S1</f>
        <v>φ [°]</v>
      </c>
      <c r="T1" s="58" t="str">
        <f>+'Data ROCK'!T1</f>
        <v>c [MPa]</v>
      </c>
      <c r="W1" s="33"/>
      <c r="X1" s="34"/>
      <c r="Y1" s="34"/>
      <c r="Z1" s="34"/>
      <c r="AA1" s="34"/>
      <c r="AB1" s="34"/>
      <c r="AC1" s="35"/>
      <c r="AD1" s="33"/>
      <c r="AE1" s="34"/>
      <c r="AF1" s="34"/>
      <c r="AG1" s="34"/>
      <c r="AH1" s="35"/>
      <c r="AI1" s="33"/>
      <c r="AJ1" s="34" t="s">
        <v>43</v>
      </c>
      <c r="AK1" s="35"/>
      <c r="AL1" s="33"/>
      <c r="AM1" s="34"/>
      <c r="AN1" s="35"/>
    </row>
    <row r="2" spans="1:40" x14ac:dyDescent="0.25">
      <c r="A2" s="13">
        <f>+'Data ROCK'!A2</f>
        <v>0</v>
      </c>
      <c r="B2" s="13" t="str">
        <f>+'Data ROCK'!B2</f>
        <v>Calcareous rocks</v>
      </c>
      <c r="C2" s="13" t="str">
        <f>+'Data ROCK'!C2</f>
        <v>Limestones</v>
      </c>
      <c r="D2" s="13">
        <v>24</v>
      </c>
      <c r="E2" s="13">
        <f>+'Data ROCK'!E2</f>
        <v>100</v>
      </c>
      <c r="F2" s="13">
        <f>+'Data ROCK'!F2</f>
        <v>40</v>
      </c>
      <c r="G2" s="13">
        <f>+'Data ROCK'!G2</f>
        <v>10</v>
      </c>
      <c r="H2" s="22">
        <f>+'Data ROCK'!H2</f>
        <v>1</v>
      </c>
      <c r="I2" s="24">
        <f>+'Data ROCK'!I2</f>
        <v>20</v>
      </c>
      <c r="J2" s="13">
        <v>42.15</v>
      </c>
      <c r="K2" s="6">
        <v>0.16200000000000001</v>
      </c>
      <c r="L2" s="24">
        <f>+'Data ROCK'!L2</f>
        <v>15</v>
      </c>
      <c r="M2" s="13">
        <v>44.15</v>
      </c>
      <c r="N2" s="6">
        <v>0.14299999999999999</v>
      </c>
      <c r="O2" s="24">
        <f>+'Data ROCK'!O2</f>
        <v>10</v>
      </c>
      <c r="P2" s="13">
        <v>46.83</v>
      </c>
      <c r="Q2" s="6">
        <v>0.123</v>
      </c>
      <c r="R2" s="59">
        <f>+'Data ROCK'!R2</f>
        <v>5</v>
      </c>
      <c r="S2" s="60">
        <v>50.98</v>
      </c>
      <c r="T2" s="61">
        <v>0.10100000000000001</v>
      </c>
      <c r="W2" s="36"/>
      <c r="X2" s="29"/>
      <c r="Y2" s="29" t="s">
        <v>58</v>
      </c>
      <c r="AA2" s="29"/>
      <c r="AB2" s="29"/>
      <c r="AC2" s="32"/>
      <c r="AD2" s="36"/>
      <c r="AE2" s="29"/>
      <c r="AF2" s="29"/>
      <c r="AG2" s="29"/>
      <c r="AH2" s="32"/>
      <c r="AI2" s="36"/>
      <c r="AJ2" s="29"/>
      <c r="AK2" s="32"/>
      <c r="AL2" s="36"/>
      <c r="AM2" s="29"/>
      <c r="AN2" s="32"/>
    </row>
    <row r="3" spans="1:40" x14ac:dyDescent="0.25">
      <c r="A3" s="13">
        <f>+'Data ROCK'!A3</f>
        <v>0</v>
      </c>
      <c r="B3" s="13">
        <f>+'Data ROCK'!B3</f>
        <v>0</v>
      </c>
      <c r="C3" s="13" t="str">
        <f>+'Data ROCK'!C3</f>
        <v>Marlstones</v>
      </c>
      <c r="D3" s="13">
        <v>24</v>
      </c>
      <c r="E3" s="13">
        <f>+'Data ROCK'!E3</f>
        <v>50</v>
      </c>
      <c r="F3" s="13">
        <f>+'Data ROCK'!F3</f>
        <v>35</v>
      </c>
      <c r="G3" s="13">
        <f>+'Data ROCK'!G3</f>
        <v>5</v>
      </c>
      <c r="H3" s="22">
        <f>+'Data ROCK'!H3</f>
        <v>1</v>
      </c>
      <c r="I3" s="24">
        <f>+'Data ROCK'!I3</f>
        <v>30</v>
      </c>
      <c r="J3" s="13">
        <f>+'Data ROCK'!J3</f>
        <v>25.2</v>
      </c>
      <c r="K3" s="6">
        <f>+'Data ROCK'!K3</f>
        <v>9.2999999999999999E-2</v>
      </c>
      <c r="L3" s="24">
        <f>+'Data ROCK'!L3</f>
        <v>22.5</v>
      </c>
      <c r="M3" s="13">
        <f>+'Data ROCK'!M3</f>
        <v>27.11</v>
      </c>
      <c r="N3" s="6">
        <f>+'Data ROCK'!N3</f>
        <v>8.1000000000000003E-2</v>
      </c>
      <c r="O3" s="24">
        <f>+'Data ROCK'!O3</f>
        <v>15</v>
      </c>
      <c r="P3" s="13">
        <f>+'Data ROCK'!P3</f>
        <v>29.85</v>
      </c>
      <c r="Q3" s="6">
        <f>+'Data ROCK'!Q3</f>
        <v>6.8000000000000005E-2</v>
      </c>
      <c r="R3" s="59">
        <f>+'Data ROCK'!R3</f>
        <v>7.5</v>
      </c>
      <c r="S3" s="60">
        <f>+'Data ROCK'!S3</f>
        <v>34.54</v>
      </c>
      <c r="T3" s="61">
        <f>+'Data ROCK'!T3</f>
        <v>5.1999999999999998E-2</v>
      </c>
      <c r="W3" s="36"/>
      <c r="X3" s="29"/>
      <c r="Y3" s="29"/>
      <c r="Z3" s="29"/>
      <c r="AA3" s="29"/>
      <c r="AB3" s="29"/>
      <c r="AC3" s="32"/>
      <c r="AD3" s="36"/>
      <c r="AE3" s="29"/>
      <c r="AF3" s="29"/>
      <c r="AG3" s="29" t="s">
        <v>58</v>
      </c>
      <c r="AH3" s="32"/>
      <c r="AI3" s="36"/>
      <c r="AJ3" s="29"/>
      <c r="AK3" s="32"/>
      <c r="AL3" s="36"/>
      <c r="AM3" s="29"/>
      <c r="AN3" s="32"/>
    </row>
    <row r="4" spans="1:40" x14ac:dyDescent="0.25">
      <c r="A4" s="13">
        <f>+'Data ROCK'!A4</f>
        <v>0</v>
      </c>
      <c r="B4" s="13" t="str">
        <f>+'Data ROCK'!B4</f>
        <v>Siliciclastic rocks</v>
      </c>
      <c r="C4" s="13" t="str">
        <f>+'Data ROCK'!C4</f>
        <v>Conglomerates</v>
      </c>
      <c r="D4" s="13">
        <v>24</v>
      </c>
      <c r="E4" s="13">
        <f>+'Data ROCK'!E4</f>
        <v>50</v>
      </c>
      <c r="F4" s="13">
        <f>+'Data ROCK'!F4</f>
        <v>35</v>
      </c>
      <c r="G4" s="13">
        <f>+'Data ROCK'!G4</f>
        <v>20</v>
      </c>
      <c r="H4" s="22">
        <f>+'Data ROCK'!H4</f>
        <v>1</v>
      </c>
      <c r="I4" s="24">
        <f>+'Data ROCK'!I4</f>
        <v>30</v>
      </c>
      <c r="J4" s="13">
        <f>+'Data ROCK'!J4</f>
        <v>36.76</v>
      </c>
      <c r="K4" s="6">
        <f>+'Data ROCK'!K4</f>
        <v>0.14099999999999999</v>
      </c>
      <c r="L4" s="24">
        <f>+'Data ROCK'!L4</f>
        <v>22.5</v>
      </c>
      <c r="M4" s="13">
        <f>+'Data ROCK'!M4</f>
        <v>38.909999999999997</v>
      </c>
      <c r="N4" s="6">
        <f>+'Data ROCK'!N4</f>
        <v>0.11899999999999999</v>
      </c>
      <c r="O4" s="24">
        <f>+'Data ROCK'!O4</f>
        <v>15</v>
      </c>
      <c r="P4" s="13">
        <f>+'Data ROCK'!P4</f>
        <v>41.94</v>
      </c>
      <c r="Q4" s="6">
        <f>+'Data ROCK'!Q4</f>
        <v>9.2999999999999999E-2</v>
      </c>
      <c r="R4" s="59">
        <f>+'Data ROCK'!R4</f>
        <v>7.5</v>
      </c>
      <c r="S4" s="60">
        <f>+'Data ROCK'!S4</f>
        <v>46.96</v>
      </c>
      <c r="T4" s="61">
        <f>+'Data ROCK'!T4</f>
        <v>6.2E-2</v>
      </c>
      <c r="W4" s="36"/>
      <c r="X4" s="29"/>
      <c r="Y4" s="29"/>
      <c r="Z4" s="29"/>
      <c r="AA4" s="29"/>
      <c r="AB4" s="29"/>
      <c r="AC4" s="32"/>
      <c r="AD4" s="36"/>
      <c r="AE4" s="31" t="s">
        <v>10</v>
      </c>
      <c r="AF4" s="29"/>
      <c r="AG4" s="29"/>
      <c r="AH4" s="32"/>
      <c r="AI4" s="36" t="s">
        <v>10</v>
      </c>
      <c r="AJ4" s="31"/>
      <c r="AK4" s="32"/>
      <c r="AL4" s="36"/>
      <c r="AM4" s="45" t="s">
        <v>67</v>
      </c>
      <c r="AN4" s="32"/>
    </row>
    <row r="5" spans="1:40" x14ac:dyDescent="0.25">
      <c r="A5" s="13">
        <f>+'Data ROCK'!A5</f>
        <v>0</v>
      </c>
      <c r="B5" s="13">
        <f>+'Data ROCK'!B5</f>
        <v>0</v>
      </c>
      <c r="C5" s="13" t="str">
        <f>+'Data ROCK'!C5</f>
        <v>Sandstones</v>
      </c>
      <c r="D5" s="13">
        <v>24</v>
      </c>
      <c r="E5" s="13">
        <f>+'Data ROCK'!E5</f>
        <v>50</v>
      </c>
      <c r="F5" s="13">
        <f>+'Data ROCK'!F5</f>
        <v>35</v>
      </c>
      <c r="G5" s="13">
        <f>+'Data ROCK'!G5</f>
        <v>15</v>
      </c>
      <c r="H5" s="22">
        <f>+'Data ROCK'!H5</f>
        <v>1</v>
      </c>
      <c r="I5" s="24">
        <f>+'Data ROCK'!I5</f>
        <v>30</v>
      </c>
      <c r="J5" s="13">
        <f>+'Data ROCK'!J5</f>
        <v>34.299999999999997</v>
      </c>
      <c r="K5" s="6">
        <f>+'Data ROCK'!K5</f>
        <v>0.129</v>
      </c>
      <c r="L5" s="24">
        <f>+'Data ROCK'!L5</f>
        <v>22.5</v>
      </c>
      <c r="M5" s="13">
        <f>+'Data ROCK'!M5</f>
        <v>36.44</v>
      </c>
      <c r="N5" s="6">
        <f>+'Data ROCK'!N5</f>
        <v>0.109</v>
      </c>
      <c r="O5" s="24">
        <f>+'Data ROCK'!O5</f>
        <v>15</v>
      </c>
      <c r="P5" s="13">
        <f>+'Data ROCK'!P5</f>
        <v>39.450000000000003</v>
      </c>
      <c r="Q5" s="6">
        <f>+'Data ROCK'!Q5</f>
        <v>8.5999999999999993E-2</v>
      </c>
      <c r="R5" s="59">
        <f>+'Data ROCK'!R5</f>
        <v>7.5</v>
      </c>
      <c r="S5" s="60">
        <f>+'Data ROCK'!S5</f>
        <v>44.5</v>
      </c>
      <c r="T5" s="61">
        <f>+'Data ROCK'!T5</f>
        <v>5.8999999999999997E-2</v>
      </c>
      <c r="W5" s="36"/>
      <c r="X5" s="29"/>
      <c r="Y5" s="29"/>
      <c r="Z5" s="29"/>
      <c r="AA5" s="29"/>
      <c r="AB5" s="29"/>
      <c r="AC5" s="32"/>
      <c r="AD5" s="36"/>
      <c r="AE5" s="29"/>
      <c r="AF5" s="29"/>
      <c r="AG5" s="29"/>
      <c r="AH5" s="32"/>
      <c r="AI5" s="36"/>
      <c r="AJ5" s="30" t="s">
        <v>68</v>
      </c>
      <c r="AK5" s="32"/>
      <c r="AL5" s="36"/>
      <c r="AM5" s="31" t="s">
        <v>66</v>
      </c>
      <c r="AN5" s="32"/>
    </row>
    <row r="6" spans="1:40" x14ac:dyDescent="0.25">
      <c r="A6" s="13">
        <f>+'Data ROCK'!A6</f>
        <v>0</v>
      </c>
      <c r="B6" s="13">
        <f>+'Data ROCK'!B6</f>
        <v>0</v>
      </c>
      <c r="C6" s="13" t="str">
        <f>+'Data ROCK'!C6</f>
        <v>Shales</v>
      </c>
      <c r="D6" s="13">
        <v>24</v>
      </c>
      <c r="E6" s="13">
        <f>+'Data ROCK'!E6</f>
        <v>25</v>
      </c>
      <c r="F6" s="13">
        <f>+'Data ROCK'!F6</f>
        <v>35</v>
      </c>
      <c r="G6" s="13">
        <f>+'Data ROCK'!G6</f>
        <v>5</v>
      </c>
      <c r="H6" s="22">
        <f>+'Data ROCK'!H6</f>
        <v>1</v>
      </c>
      <c r="I6" s="24">
        <f>+'Data ROCK'!I6</f>
        <v>30</v>
      </c>
      <c r="J6" s="13">
        <f>+'Data ROCK'!J6</f>
        <v>20.81</v>
      </c>
      <c r="K6" s="6">
        <f>+'Data ROCK'!K6</f>
        <v>6.6000000000000003E-2</v>
      </c>
      <c r="L6" s="24">
        <f>+'Data ROCK'!L6</f>
        <v>22.5</v>
      </c>
      <c r="M6" s="13">
        <f>+'Data ROCK'!M6</f>
        <v>22.59</v>
      </c>
      <c r="N6" s="6">
        <f>+'Data ROCK'!N6</f>
        <v>5.7000000000000002E-2</v>
      </c>
      <c r="O6" s="24">
        <f>+'Data ROCK'!O6</f>
        <v>15</v>
      </c>
      <c r="P6" s="13">
        <f>+'Data ROCK'!P6</f>
        <v>25.2</v>
      </c>
      <c r="Q6" s="6">
        <f>+'Data ROCK'!Q6</f>
        <v>4.7E-2</v>
      </c>
      <c r="R6" s="59">
        <f>+'Data ROCK'!R6</f>
        <v>7.5</v>
      </c>
      <c r="S6" s="60">
        <f>+'Data ROCK'!S6</f>
        <v>25.2</v>
      </c>
      <c r="T6" s="61">
        <f>+'Data ROCK'!T6</f>
        <v>4.7E-2</v>
      </c>
      <c r="W6" s="36"/>
      <c r="X6" s="29" t="s">
        <v>10</v>
      </c>
      <c r="Y6" s="29"/>
      <c r="Z6" s="29"/>
      <c r="AA6" s="29"/>
      <c r="AB6" s="29"/>
      <c r="AC6" s="32"/>
      <c r="AD6" s="36"/>
      <c r="AE6" s="37"/>
      <c r="AF6" s="31"/>
      <c r="AG6" s="29"/>
      <c r="AH6" s="32"/>
      <c r="AI6" s="36"/>
      <c r="AJ6" s="37"/>
      <c r="AK6" s="43"/>
      <c r="AL6" s="36"/>
      <c r="AM6" s="37"/>
      <c r="AN6" s="43"/>
    </row>
    <row r="7" spans="1:40" x14ac:dyDescent="0.25">
      <c r="A7" s="13">
        <f>+'Data ROCK'!A7</f>
        <v>0</v>
      </c>
      <c r="B7" s="13" t="str">
        <f>+'Data ROCK'!B7</f>
        <v>Magmatic rocks</v>
      </c>
      <c r="C7" s="13" t="str">
        <f>+'Data ROCK'!C7</f>
        <v>Plutonic rocks</v>
      </c>
      <c r="D7" s="13">
        <v>27</v>
      </c>
      <c r="E7" s="13">
        <f>+'Data ROCK'!E7</f>
        <v>150</v>
      </c>
      <c r="F7" s="13">
        <f>+'Data ROCK'!F7</f>
        <v>50</v>
      </c>
      <c r="G7" s="13">
        <f>+'Data ROCK'!G7</f>
        <v>20</v>
      </c>
      <c r="H7" s="22">
        <f>+'Data ROCK'!H7</f>
        <v>1</v>
      </c>
      <c r="I7" s="24">
        <f>+'Data ROCK'!I7</f>
        <v>10</v>
      </c>
      <c r="J7" s="13">
        <f>+'Data ROCK'!J7</f>
        <v>59.16</v>
      </c>
      <c r="K7" s="6">
        <f>+'Data ROCK'!K7</f>
        <v>0.29399999999999998</v>
      </c>
      <c r="L7" s="24">
        <f>+'Data ROCK'!L7</f>
        <v>7.5</v>
      </c>
      <c r="M7" s="13">
        <f>+'Data ROCK'!M7</f>
        <v>60.53</v>
      </c>
      <c r="N7" s="6">
        <f>+'Data ROCK'!N7</f>
        <v>0.27400000000000002</v>
      </c>
      <c r="O7" s="24">
        <f>+'Data ROCK'!O7</f>
        <v>5</v>
      </c>
      <c r="P7" s="13">
        <f>+'Data ROCK'!P7</f>
        <v>62.25</v>
      </c>
      <c r="Q7" s="6">
        <f>+'Data ROCK'!Q7</f>
        <v>0.253</v>
      </c>
      <c r="R7" s="59">
        <f>+'Data ROCK'!R7</f>
        <v>2.5</v>
      </c>
      <c r="S7" s="60">
        <f>+'Data ROCK'!S7</f>
        <v>64.61</v>
      </c>
      <c r="T7" s="61">
        <f>+'Data ROCK'!T7</f>
        <v>0.23300000000000001</v>
      </c>
      <c r="W7" s="36"/>
      <c r="X7" s="29"/>
      <c r="Y7" s="29"/>
      <c r="Z7" s="29"/>
      <c r="AA7" s="29" t="s">
        <v>54</v>
      </c>
      <c r="AB7" s="29"/>
      <c r="AC7" s="32"/>
      <c r="AD7" s="36"/>
      <c r="AE7" s="29"/>
      <c r="AF7" s="30" t="s">
        <v>54</v>
      </c>
      <c r="AG7" s="38"/>
      <c r="AH7" s="32"/>
      <c r="AI7" s="36"/>
      <c r="AJ7" s="29"/>
      <c r="AK7" s="44"/>
      <c r="AL7" s="36"/>
      <c r="AM7" s="29"/>
      <c r="AN7" s="44"/>
    </row>
    <row r="8" spans="1:40" x14ac:dyDescent="0.25">
      <c r="A8" s="13">
        <f>+'Data ROCK'!A8</f>
        <v>0</v>
      </c>
      <c r="B8" s="13">
        <f>+'Data ROCK'!B8</f>
        <v>0</v>
      </c>
      <c r="C8" s="13" t="str">
        <f>+'Data ROCK'!C8</f>
        <v>Volcanic rocks</v>
      </c>
      <c r="D8" s="13">
        <v>27</v>
      </c>
      <c r="E8" s="13">
        <f>+'Data ROCK'!E8</f>
        <v>150</v>
      </c>
      <c r="F8" s="13">
        <f>+'Data ROCK'!F8</f>
        <v>50</v>
      </c>
      <c r="G8" s="13">
        <f>+'Data ROCK'!G8</f>
        <v>20</v>
      </c>
      <c r="H8" s="22">
        <f>+'Data ROCK'!H8</f>
        <v>1</v>
      </c>
      <c r="I8" s="24">
        <f>+'Data ROCK'!I8</f>
        <v>10</v>
      </c>
      <c r="J8" s="13">
        <f>+'Data ROCK'!J8</f>
        <v>59.16</v>
      </c>
      <c r="K8" s="6">
        <f>+'Data ROCK'!K8</f>
        <v>0.29399999999999998</v>
      </c>
      <c r="L8" s="24">
        <f>+'Data ROCK'!L8</f>
        <v>7.5</v>
      </c>
      <c r="M8" s="13">
        <f>+'Data ROCK'!M8</f>
        <v>60.53</v>
      </c>
      <c r="N8" s="6">
        <f>+'Data ROCK'!N8</f>
        <v>0.27400000000000002</v>
      </c>
      <c r="O8" s="24">
        <f>+'Data ROCK'!O8</f>
        <v>5</v>
      </c>
      <c r="P8" s="13">
        <f>+'Data ROCK'!P8</f>
        <v>62.25</v>
      </c>
      <c r="Q8" s="6">
        <f>+'Data ROCK'!Q8</f>
        <v>0.253</v>
      </c>
      <c r="R8" s="59">
        <f>+'Data ROCK'!R8</f>
        <v>2.5</v>
      </c>
      <c r="S8" s="60">
        <f>+'Data ROCK'!S8</f>
        <v>64.61</v>
      </c>
      <c r="T8" s="61">
        <f>+'Data ROCK'!T8</f>
        <v>0.23300000000000001</v>
      </c>
      <c r="W8" s="36"/>
      <c r="X8" s="29"/>
      <c r="Y8" s="29"/>
      <c r="Z8" s="29"/>
      <c r="AA8" s="29"/>
      <c r="AB8" s="29"/>
      <c r="AC8" s="32"/>
      <c r="AD8" s="36"/>
      <c r="AE8" s="29"/>
      <c r="AF8" s="29"/>
      <c r="AG8" s="29"/>
      <c r="AH8" s="32"/>
      <c r="AI8" s="42" t="s">
        <v>70</v>
      </c>
      <c r="AJ8" s="29"/>
      <c r="AK8" s="32"/>
      <c r="AL8" s="42"/>
      <c r="AM8" s="29" t="s">
        <v>68</v>
      </c>
      <c r="AN8" s="32" t="s">
        <v>54</v>
      </c>
    </row>
    <row r="9" spans="1:40" x14ac:dyDescent="0.25">
      <c r="A9" s="13">
        <f>+'Data ROCK'!A9</f>
        <v>0</v>
      </c>
      <c r="B9" s="13" t="str">
        <f>+'Data ROCK'!B9</f>
        <v>Metamorphic rocks</v>
      </c>
      <c r="C9" s="13" t="str">
        <f>+'Data ROCK'!C9</f>
        <v>Gneiss</v>
      </c>
      <c r="D9" s="13">
        <v>27</v>
      </c>
      <c r="E9" s="13">
        <f>+'Data ROCK'!E9</f>
        <v>200</v>
      </c>
      <c r="F9" s="13">
        <f>+'Data ROCK'!F9</f>
        <v>50</v>
      </c>
      <c r="G9" s="13">
        <f>+'Data ROCK'!G9</f>
        <v>25</v>
      </c>
      <c r="H9" s="22">
        <f>+'Data ROCK'!H9</f>
        <v>1</v>
      </c>
      <c r="I9" s="24">
        <f>+'Data ROCK'!I9</f>
        <v>10</v>
      </c>
      <c r="J9" s="13">
        <f>+'Data ROCK'!J9</f>
        <v>62.22</v>
      </c>
      <c r="K9" s="6">
        <f>+'Data ROCK'!K9</f>
        <v>0.35099999999999998</v>
      </c>
      <c r="L9" s="24">
        <f>+'Data ROCK'!L9</f>
        <v>7.5</v>
      </c>
      <c r="M9" s="13">
        <f>+'Data ROCK'!M9</f>
        <v>63.48</v>
      </c>
      <c r="N9" s="6">
        <f>+'Data ROCK'!N9</f>
        <v>0.32700000000000001</v>
      </c>
      <c r="O9" s="24">
        <f>+'Data ROCK'!O9</f>
        <v>5</v>
      </c>
      <c r="P9" s="13">
        <f>+'Data ROCK'!P9</f>
        <v>65.05</v>
      </c>
      <c r="Q9" s="6">
        <f>+'Data ROCK'!Q9</f>
        <v>0.30199999999999999</v>
      </c>
      <c r="R9" s="59">
        <f>+'Data ROCK'!R9</f>
        <v>2.5</v>
      </c>
      <c r="S9" s="60">
        <f>+'Data ROCK'!S9</f>
        <v>67.19</v>
      </c>
      <c r="T9" s="61">
        <f>+'Data ROCK'!T9</f>
        <v>0.27900000000000003</v>
      </c>
      <c r="W9" s="36"/>
      <c r="X9" s="29"/>
      <c r="Y9" s="30" t="s">
        <v>56</v>
      </c>
      <c r="Z9" s="29"/>
      <c r="AA9" s="29"/>
      <c r="AB9" s="29"/>
      <c r="AC9" s="32"/>
      <c r="AD9" s="36"/>
      <c r="AE9" s="29"/>
      <c r="AF9" s="30"/>
      <c r="AG9" s="29"/>
      <c r="AH9" s="32"/>
      <c r="AI9" s="36"/>
      <c r="AJ9" s="29"/>
      <c r="AK9" s="44"/>
      <c r="AL9" s="36"/>
      <c r="AM9" s="29"/>
      <c r="AN9" s="44"/>
    </row>
    <row r="10" spans="1:40" x14ac:dyDescent="0.25">
      <c r="A10" s="13">
        <f>+'Data ROCK'!A10</f>
        <v>0</v>
      </c>
      <c r="B10" s="13">
        <f>+'Data ROCK'!B10</f>
        <v>0</v>
      </c>
      <c r="C10" s="13" t="str">
        <f>+'Data ROCK'!C10</f>
        <v>Marbles</v>
      </c>
      <c r="D10" s="13">
        <v>27</v>
      </c>
      <c r="E10" s="13">
        <f>+'Data ROCK'!E10</f>
        <v>100</v>
      </c>
      <c r="F10" s="13">
        <f>+'Data ROCK'!F10</f>
        <v>40</v>
      </c>
      <c r="G10" s="13">
        <f>+'Data ROCK'!G10</f>
        <v>10</v>
      </c>
      <c r="H10" s="22">
        <f>+'Data ROCK'!H10</f>
        <v>1</v>
      </c>
      <c r="I10" s="24">
        <f>+'Data ROCK'!I10</f>
        <v>10</v>
      </c>
      <c r="J10" s="13">
        <f>+'Data ROCK'!J10</f>
        <v>46.31</v>
      </c>
      <c r="K10" s="6">
        <v>0.128</v>
      </c>
      <c r="L10" s="24">
        <f>+'Data ROCK'!L10</f>
        <v>7.5</v>
      </c>
      <c r="M10" s="13">
        <f>+'Data ROCK'!M10</f>
        <v>48.14</v>
      </c>
      <c r="N10" s="6">
        <v>0.11600000000000001</v>
      </c>
      <c r="O10" s="24">
        <f>+'Data ROCK'!O10</f>
        <v>5</v>
      </c>
      <c r="P10" s="13">
        <f>+'Data ROCK'!P10</f>
        <v>50.53</v>
      </c>
      <c r="Q10" s="6">
        <v>0.104</v>
      </c>
      <c r="R10" s="59">
        <f>+'Data ROCK'!R10</f>
        <v>2.5</v>
      </c>
      <c r="S10" s="60">
        <f>+'Data ROCK'!S10</f>
        <v>54.05</v>
      </c>
      <c r="T10" s="61">
        <f>+'Data ROCK'!T10</f>
        <v>0.09</v>
      </c>
      <c r="W10" s="36"/>
      <c r="X10" s="29"/>
      <c r="Y10" s="29"/>
      <c r="Z10" s="29"/>
      <c r="AA10" s="29"/>
      <c r="AB10" s="29"/>
      <c r="AC10" s="32"/>
      <c r="AD10" s="36"/>
      <c r="AE10" s="29"/>
      <c r="AF10" s="29"/>
      <c r="AG10" s="29"/>
      <c r="AH10" s="32"/>
      <c r="AI10" s="36"/>
      <c r="AJ10" s="31" t="s">
        <v>71</v>
      </c>
      <c r="AL10" s="36"/>
      <c r="AN10" s="32"/>
    </row>
    <row r="11" spans="1:40" x14ac:dyDescent="0.25">
      <c r="A11" s="13">
        <f>+'Data ROCK'!A11</f>
        <v>0</v>
      </c>
      <c r="B11" s="13">
        <f>+'Data ROCK'!B11</f>
        <v>0</v>
      </c>
      <c r="C11" s="13" t="str">
        <f>+'Data ROCK'!C11</f>
        <v>Phyllites</v>
      </c>
      <c r="D11" s="13">
        <v>27</v>
      </c>
      <c r="E11" s="13">
        <f>+'Data ROCK'!E11</f>
        <v>100</v>
      </c>
      <c r="F11" s="13">
        <f>+'Data ROCK'!F11</f>
        <v>40</v>
      </c>
      <c r="G11" s="13">
        <f>+'Data ROCK'!G11</f>
        <v>10</v>
      </c>
      <c r="H11" s="22">
        <f>+'Data ROCK'!H11</f>
        <v>1</v>
      </c>
      <c r="I11" s="24">
        <f>+'Data ROCK'!I11</f>
        <v>20</v>
      </c>
      <c r="J11" s="13">
        <f>+'Data ROCK'!J11</f>
        <v>41.59</v>
      </c>
      <c r="K11" s="6">
        <v>0.17</v>
      </c>
      <c r="L11" s="24">
        <f>+'Data ROCK'!L11</f>
        <v>15</v>
      </c>
      <c r="M11" s="13">
        <f>+'Data ROCK'!M11</f>
        <v>43.6</v>
      </c>
      <c r="N11" s="6">
        <v>0.15</v>
      </c>
      <c r="O11" s="24">
        <f>+'Data ROCK'!O11</f>
        <v>10</v>
      </c>
      <c r="P11" s="13">
        <f>+'Data ROCK'!P11</f>
        <v>46.31</v>
      </c>
      <c r="Q11" s="6">
        <v>0.128</v>
      </c>
      <c r="R11" s="59">
        <f>+'Data ROCK'!R11</f>
        <v>5</v>
      </c>
      <c r="S11" s="60">
        <f>+'Data ROCK'!S11</f>
        <v>50.53</v>
      </c>
      <c r="T11" s="61">
        <f>+'Data ROCK'!T11</f>
        <v>0.10299999999999999</v>
      </c>
      <c r="W11" s="36"/>
      <c r="X11" s="29"/>
      <c r="Y11" s="31" t="s">
        <v>52</v>
      </c>
      <c r="Z11" s="29"/>
      <c r="AA11" s="29"/>
      <c r="AB11" s="29" t="s">
        <v>55</v>
      </c>
      <c r="AC11" s="32"/>
      <c r="AD11" s="36"/>
      <c r="AE11" s="29"/>
      <c r="AF11" s="31"/>
      <c r="AG11" s="29"/>
      <c r="AH11" s="32"/>
      <c r="AI11" s="36"/>
      <c r="AJ11" s="30" t="s">
        <v>53</v>
      </c>
      <c r="AK11" s="44" t="s">
        <v>67</v>
      </c>
      <c r="AL11" s="36"/>
      <c r="AM11" s="29"/>
      <c r="AN11" s="43"/>
    </row>
    <row r="12" spans="1:40" x14ac:dyDescent="0.25">
      <c r="A12" s="13">
        <f>+'Data ROCK'!A12</f>
        <v>0</v>
      </c>
      <c r="B12" s="13">
        <f>+'Data ROCK'!B12</f>
        <v>0</v>
      </c>
      <c r="C12" s="13" t="str">
        <f>+'Data ROCK'!C12</f>
        <v>Quartzites</v>
      </c>
      <c r="D12" s="13">
        <v>27</v>
      </c>
      <c r="E12" s="13">
        <f>+'Data ROCK'!E12</f>
        <v>200</v>
      </c>
      <c r="F12" s="13">
        <f>+'Data ROCK'!F12</f>
        <v>50</v>
      </c>
      <c r="G12" s="13">
        <f>+'Data ROCK'!G12</f>
        <v>20</v>
      </c>
      <c r="H12" s="22">
        <f>+'Data ROCK'!H12</f>
        <v>1</v>
      </c>
      <c r="I12" s="24">
        <f>+'Data ROCK'!I12</f>
        <v>20</v>
      </c>
      <c r="J12" s="13">
        <f>+'Data ROCK'!J12</f>
        <v>57.04</v>
      </c>
      <c r="K12" s="6">
        <f>+'Data ROCK'!K12</f>
        <v>0.44500000000000001</v>
      </c>
      <c r="L12" s="24">
        <f>+'Data ROCK'!L12</f>
        <v>15</v>
      </c>
      <c r="M12" s="13">
        <f>+'Data ROCK'!M12</f>
        <v>58.57</v>
      </c>
      <c r="N12" s="6">
        <f>+'Data ROCK'!N12</f>
        <v>0.40600000000000003</v>
      </c>
      <c r="O12" s="24">
        <f>+'Data ROCK'!O12</f>
        <v>10</v>
      </c>
      <c r="P12" s="13">
        <f>+'Data ROCK'!P12</f>
        <v>60.53</v>
      </c>
      <c r="Q12" s="6">
        <f>+'Data ROCK'!Q12</f>
        <v>0.36499999999999999</v>
      </c>
      <c r="R12" s="59">
        <f>+'Data ROCK'!R12</f>
        <v>5</v>
      </c>
      <c r="S12" s="60">
        <f>+'Data ROCK'!S12</f>
        <v>63.32</v>
      </c>
      <c r="T12" s="61">
        <f>+'Data ROCK'!T12</f>
        <v>0.32400000000000001</v>
      </c>
      <c r="W12" s="36"/>
      <c r="X12" s="29"/>
      <c r="Y12" s="29"/>
      <c r="Z12" s="29"/>
      <c r="AA12" s="29"/>
      <c r="AB12" s="29" t="s">
        <v>57</v>
      </c>
      <c r="AC12" s="32"/>
      <c r="AD12" s="36"/>
      <c r="AE12" s="29"/>
      <c r="AF12" s="29"/>
      <c r="AG12" s="29"/>
      <c r="AH12" s="32"/>
      <c r="AI12" s="36"/>
      <c r="AJ12" s="29"/>
      <c r="AK12" s="32"/>
      <c r="AL12" s="36"/>
      <c r="AM12" s="29"/>
      <c r="AN12" s="32"/>
    </row>
    <row r="13" spans="1:40" ht="15.75" thickBot="1" x14ac:dyDescent="0.3">
      <c r="A13" s="13">
        <f>+'Data ROCK'!A13</f>
        <v>0</v>
      </c>
      <c r="B13" s="13">
        <f>+'Data ROCK'!B13</f>
        <v>0</v>
      </c>
      <c r="C13" s="13" t="str">
        <f>+'Data ROCK'!C13</f>
        <v>Schists</v>
      </c>
      <c r="D13" s="13">
        <v>24</v>
      </c>
      <c r="E13" s="13">
        <f>+'Data ROCK'!E13</f>
        <v>25</v>
      </c>
      <c r="F13" s="13">
        <f>+'Data ROCK'!F13</f>
        <v>35</v>
      </c>
      <c r="G13" s="13">
        <f>+'Data ROCK'!G13</f>
        <v>10</v>
      </c>
      <c r="H13" s="22">
        <f>+'Data ROCK'!H13</f>
        <v>1</v>
      </c>
      <c r="I13" s="25">
        <f>+'Data ROCK'!I13</f>
        <v>30</v>
      </c>
      <c r="J13" s="7">
        <f>+'Data ROCK'!J13</f>
        <v>25.98</v>
      </c>
      <c r="K13" s="8">
        <f>+'Data ROCK'!K13</f>
        <v>8.4000000000000005E-2</v>
      </c>
      <c r="L13" s="25">
        <f>+'Data ROCK'!L13</f>
        <v>22.5</v>
      </c>
      <c r="M13" s="7">
        <f>+'Data ROCK'!M13</f>
        <v>27.98</v>
      </c>
      <c r="N13" s="8">
        <f>+'Data ROCK'!N13</f>
        <v>7.0999999999999994E-2</v>
      </c>
      <c r="O13" s="25">
        <f>+'Data ROCK'!O13</f>
        <v>15</v>
      </c>
      <c r="P13" s="7">
        <f>+'Data ROCK'!P13</f>
        <v>30.87</v>
      </c>
      <c r="Q13" s="8">
        <f>+'Data ROCK'!Q13</f>
        <v>5.7000000000000002E-2</v>
      </c>
      <c r="R13" s="62">
        <f>+'Data ROCK'!R13</f>
        <v>7.5</v>
      </c>
      <c r="S13" s="63">
        <f>+'Data ROCK'!S13</f>
        <v>35.92</v>
      </c>
      <c r="T13" s="64">
        <f>+'Data ROCK'!T13</f>
        <v>3.9E-2</v>
      </c>
      <c r="W13" s="39"/>
      <c r="X13" s="40"/>
      <c r="Y13" s="40"/>
      <c r="Z13" s="40"/>
      <c r="AA13" s="40"/>
      <c r="AB13" s="40"/>
      <c r="AC13" s="41"/>
      <c r="AD13" s="39"/>
      <c r="AE13" s="40"/>
      <c r="AF13" s="40"/>
      <c r="AG13" s="40"/>
      <c r="AH13" s="41"/>
      <c r="AI13" s="39"/>
      <c r="AJ13" s="40"/>
      <c r="AK13" s="41" t="s">
        <v>43</v>
      </c>
      <c r="AL13" s="39"/>
      <c r="AM13" s="40"/>
      <c r="AN13" s="41"/>
    </row>
    <row r="14" spans="1:40" ht="15.75" thickBot="1" x14ac:dyDescent="0.3">
      <c r="R14" s="65"/>
      <c r="S14" s="65"/>
      <c r="T14" s="65"/>
      <c r="AI14" t="s">
        <v>68</v>
      </c>
      <c r="AJ14" t="s">
        <v>69</v>
      </c>
      <c r="AM14" t="s">
        <v>72</v>
      </c>
      <c r="AN14" t="s">
        <v>66</v>
      </c>
    </row>
    <row r="15" spans="1:40" x14ac:dyDescent="0.25">
      <c r="A15" s="13" t="str">
        <f>+A1</f>
        <v>RockID</v>
      </c>
      <c r="B15" s="13" t="str">
        <f t="shared" ref="B15:C15" si="0">+B1</f>
        <v>LEVEL 4</v>
      </c>
      <c r="C15" s="13" t="str">
        <f t="shared" si="0"/>
        <v>LEVEL 3</v>
      </c>
      <c r="I15" s="23" t="s">
        <v>56</v>
      </c>
      <c r="J15" s="4" t="s">
        <v>53</v>
      </c>
      <c r="K15" s="5" t="s">
        <v>54</v>
      </c>
      <c r="L15" s="23" t="s">
        <v>56</v>
      </c>
      <c r="M15" s="4" t="s">
        <v>53</v>
      </c>
      <c r="N15" s="5" t="s">
        <v>54</v>
      </c>
      <c r="O15" s="23" t="s">
        <v>56</v>
      </c>
      <c r="P15" s="4" t="s">
        <v>53</v>
      </c>
      <c r="Q15" s="5" t="s">
        <v>54</v>
      </c>
      <c r="R15" s="56" t="s">
        <v>56</v>
      </c>
      <c r="S15" s="57" t="s">
        <v>53</v>
      </c>
      <c r="T15" s="58" t="s">
        <v>54</v>
      </c>
      <c r="V15" s="23"/>
      <c r="W15" s="4" t="s">
        <v>73</v>
      </c>
      <c r="X15" s="5" t="s">
        <v>65</v>
      </c>
      <c r="Y15" s="23"/>
      <c r="Z15" s="4" t="s">
        <v>73</v>
      </c>
      <c r="AA15" s="5" t="s">
        <v>65</v>
      </c>
      <c r="AB15" s="23"/>
      <c r="AC15" s="4" t="s">
        <v>73</v>
      </c>
      <c r="AD15" s="5" t="s">
        <v>65</v>
      </c>
      <c r="AE15" s="56"/>
      <c r="AF15" s="57" t="s">
        <v>73</v>
      </c>
      <c r="AG15" s="58" t="s">
        <v>65</v>
      </c>
      <c r="AI15">
        <f>+(I2^2+(I2/2)^2)^0.5</f>
        <v>22.360679774997898</v>
      </c>
      <c r="AJ15">
        <f>+(J16^2+(I2/2)^2)^0.5</f>
        <v>24.253196577126069</v>
      </c>
      <c r="AM15">
        <f>+AI15+AJ15+K16</f>
        <v>76.416855132922365</v>
      </c>
      <c r="AN15">
        <f>+(AM15/2*(AM15/2-AI15)+(AM15/2-AJ15)+(AM15/2-K16))^0.5</f>
        <v>25.057497946855506</v>
      </c>
    </row>
    <row r="16" spans="1:40" x14ac:dyDescent="0.25">
      <c r="A16" s="13">
        <f t="shared" ref="A16:C16" si="1">+A2</f>
        <v>0</v>
      </c>
      <c r="B16" s="13" t="str">
        <f t="shared" si="1"/>
        <v>Calcareous rocks</v>
      </c>
      <c r="C16" s="13" t="str">
        <f t="shared" si="1"/>
        <v>Limestones</v>
      </c>
      <c r="I16" s="24">
        <f>90-J2</f>
        <v>47.85</v>
      </c>
      <c r="J16" s="13">
        <f>+I2*TAN(RADIANS(I16))</f>
        <v>22.095645367554205</v>
      </c>
      <c r="K16" s="6">
        <f>+SQRT(J16^2+I2^2)</f>
        <v>29.802978780798398</v>
      </c>
      <c r="L16" s="24">
        <f>90-M2</f>
        <v>45.85</v>
      </c>
      <c r="M16" s="13">
        <f>+L2*TAN(RADIANS(L16))</f>
        <v>15.451794612312629</v>
      </c>
      <c r="N16" s="6">
        <f>+SQRT(M16^2+L2^2)</f>
        <v>21.535040207556928</v>
      </c>
      <c r="O16" s="24">
        <f>90-P2</f>
        <v>43.17</v>
      </c>
      <c r="P16" s="13">
        <f>+O2*TAN(RADIANS(O16))</f>
        <v>9.3807766169065925</v>
      </c>
      <c r="Q16" s="6">
        <f>+SQRT(P16^2+O2^2)</f>
        <v>13.71127163819248</v>
      </c>
      <c r="R16" s="59">
        <f>90-S2</f>
        <v>39.020000000000003</v>
      </c>
      <c r="S16" s="60">
        <f>+R2*TAN(RADIANS(R16))</f>
        <v>4.0518108124094274</v>
      </c>
      <c r="T16" s="61">
        <f>+SQRT(S16^2+R2^2)</f>
        <v>6.4356173642905423</v>
      </c>
      <c r="V16" s="24">
        <f>+X16</f>
        <v>25.057497946855506</v>
      </c>
      <c r="W16" s="13">
        <f>+(I2^2+(I2/2)^2)^0.5+(J16^2+(I2/2)^2)^0.5+K16</f>
        <v>76.416855132922365</v>
      </c>
      <c r="X16" s="6">
        <f>+(W16/2*(W16/2-(I2^2+(I2/2)^2)^0.5)+(W16/2-(J16^2+(I2/2)^2)^0.5)+(W16/2-K16))^0.5</f>
        <v>25.057497946855506</v>
      </c>
      <c r="Y16" s="24">
        <f t="shared" ref="Y16:Y27" si="2">+V16*$AL$19</f>
        <v>12.528748973427753</v>
      </c>
      <c r="Z16" s="13">
        <f>+(L2^2+(L2/2)^2)^0.5+(M16^2+(L2/2)^2)^0.5+N16</f>
        <v>55.481345704249605</v>
      </c>
      <c r="AA16" s="6">
        <f>+(Z16/2*(Z16/2-(L2^2+(L2/2)^2)^0.5)+(Z16/2-(M16^2+(L2/2)^2)^0.5)+(Z16/2-N16))^0.5</f>
        <v>17.918990298782386</v>
      </c>
      <c r="AB16" s="24">
        <f t="shared" ref="AB16:AB27" si="3">+V16*$AM$19</f>
        <v>3.1321872433569382</v>
      </c>
      <c r="AC16" s="13">
        <f>+(O2^2+(O2/2)^2)^0.5+(P16^2+(O2/2)^2)^0.5+Q16</f>
        <v>35.521708888194816</v>
      </c>
      <c r="AD16" s="6">
        <f>+(AC16/2*(AC16/2-(O2^2+(O2/2)^2)^0.5)+(AC16/2-(P16^2+(O2/2)^2)^0.5)+(AC16/2-Q16))^0.5</f>
        <v>11.316178731997315</v>
      </c>
      <c r="AE16" s="59"/>
      <c r="AF16" s="60">
        <f>+(R2^2+(R2/2)^2)^0.5+(S16^2+(R2/2)^2)^0.5+T16</f>
        <v>16.786792544285611</v>
      </c>
      <c r="AG16" s="61">
        <f>+(AF16/2*(AF16/2-(R2^2+(R2/2)^2)^0.5)+(AF16/2-(S16^2+(R2/2)^2)^0.5)+(AF16/2-T16))^0.5</f>
        <v>5.3961800709815666</v>
      </c>
      <c r="AM16" t="s">
        <v>72</v>
      </c>
      <c r="AN16" t="s">
        <v>66</v>
      </c>
    </row>
    <row r="17" spans="1:42" x14ac:dyDescent="0.25">
      <c r="A17" s="13">
        <f t="shared" ref="A17:C17" si="4">+A3</f>
        <v>0</v>
      </c>
      <c r="B17" s="13">
        <f t="shared" si="4"/>
        <v>0</v>
      </c>
      <c r="C17" s="13" t="str">
        <f t="shared" si="4"/>
        <v>Marlstones</v>
      </c>
      <c r="I17" s="24">
        <f>90-J3</f>
        <v>64.8</v>
      </c>
      <c r="J17" s="13">
        <f>+I3*TAN(RADIANS(I17))</f>
        <v>63.753245194716087</v>
      </c>
      <c r="K17" s="6">
        <f>+SQRT(J17^2+I3^2)</f>
        <v>70.459039681630557</v>
      </c>
      <c r="L17" s="24">
        <f t="shared" ref="L17:L27" si="5">90-M3</f>
        <v>62.89</v>
      </c>
      <c r="M17" s="13">
        <f t="shared" ref="M17:M27" si="6">+L3*TAN(RADIANS(L17))</f>
        <v>43.949938413646933</v>
      </c>
      <c r="N17" s="6">
        <f t="shared" ref="N17:N27" si="7">+SQRT(M17^2+L3^2)</f>
        <v>49.374559102470556</v>
      </c>
      <c r="O17" s="24">
        <f t="shared" ref="O17:O27" si="8">90-P3</f>
        <v>60.15</v>
      </c>
      <c r="P17" s="13">
        <f t="shared" ref="P17:P27" si="9">+O3*TAN(RADIANS(O17))</f>
        <v>26.138557630236974</v>
      </c>
      <c r="Q17" s="6">
        <f t="shared" ref="Q17:Q27" si="10">+SQRT(P17^2+O3^2)</f>
        <v>30.136758203051958</v>
      </c>
      <c r="R17" s="59">
        <f t="shared" ref="R17:R27" si="11">90-S3</f>
        <v>55.46</v>
      </c>
      <c r="S17" s="60">
        <f t="shared" ref="S17:S27" si="12">+R3*TAN(RADIANS(R17))</f>
        <v>10.896263431785693</v>
      </c>
      <c r="T17" s="61">
        <f t="shared" ref="T17:T27" si="13">+SQRT(S17^2+R3^2)</f>
        <v>13.22794605276534</v>
      </c>
      <c r="V17" s="24">
        <f t="shared" ref="V17:V27" si="14">+X17</f>
        <v>66.129453495956824</v>
      </c>
      <c r="W17" s="13">
        <f t="shared" ref="W17:W27" si="15">+(I3^2+(I3/2)^2)^0.5+(J17^2+(I3/2)^2)^0.5+K17</f>
        <v>169.49415276374492</v>
      </c>
      <c r="X17" s="6">
        <f t="shared" ref="X17:X27" si="16">+(W17/2*(W17/2-(I3^2+(I3/2)^2)^0.5)+(W17/2-(J17^2+(I3/2)^2)^0.5)+(W17/2-K17))^0.5</f>
        <v>66.129453495956824</v>
      </c>
      <c r="Y17" s="24">
        <f t="shared" si="2"/>
        <v>33.064726747978412</v>
      </c>
      <c r="Z17" s="13">
        <f t="shared" ref="Z17:Z27" si="17">+(L3^2+(L3/2)^2)^0.5+(M17^2+(L3/2)^2)^0.5+N17</f>
        <v>119.89726761419645</v>
      </c>
      <c r="AA17" s="6">
        <f t="shared" ref="AA17:AA27" si="18">+(Z17/2*(Z17/2-(L3^2+(L3/2)^2)^0.5)+(Z17/2-(M17^2+(L3/2)^2)^0.5)+(Z17/2-N17))^0.5</f>
        <v>45.944975036848746</v>
      </c>
      <c r="AB17" s="24">
        <f t="shared" si="3"/>
        <v>8.266181686994603</v>
      </c>
      <c r="AC17" s="13">
        <f t="shared" ref="AC17:AC27" si="19">+(O3^2+(O3/2)^2)^0.5+(P17^2+(O3/2)^2)^0.5+Q17</f>
        <v>74.100542846084622</v>
      </c>
      <c r="AD17" s="6">
        <f t="shared" ref="AD17:AD27" si="20">+(AC17/2*(AC17/2-(O3^2+(O3/2)^2)^0.5)+(AC17/2-(P17^2+(O3/2)^2)^0.5)+(AC17/2-Q17))^0.5</f>
        <v>27.715360022951181</v>
      </c>
      <c r="AE17" s="59"/>
      <c r="AF17" s="60">
        <f t="shared" ref="AF17:AF27" si="21">+(R3^2+(R3/2)^2)^0.5+(S17^2+(R3/2)^2)^0.5+T17</f>
        <v>33.136701164721835</v>
      </c>
      <c r="AG17" s="61">
        <f t="shared" ref="AG17:AG27" si="22">+(AF17/2*(AF17/2-(R3^2+(R3/2)^2)^0.5)+(AF17/2-(S17^2+(R3/2)^2)^0.5)+(AF17/2-T17))^0.5</f>
        <v>11.998568780113587</v>
      </c>
      <c r="AM17">
        <f>+(I2^2+(I2/2)^2)^0.5+(J16^2+(I2/2)^2)^0.5+K16</f>
        <v>76.416855132922365</v>
      </c>
      <c r="AN17">
        <f>+(AM17/2*(AM17/2-(I2^2+(I2/2)^2)^0.5)+(AM17/2-(J16^2+(I2/2)^2)^0.5)+(AM17/2-K16))^0.5</f>
        <v>25.057497946855506</v>
      </c>
    </row>
    <row r="18" spans="1:42" x14ac:dyDescent="0.25">
      <c r="A18" s="13">
        <f t="shared" ref="A18:C18" si="23">+A4</f>
        <v>0</v>
      </c>
      <c r="B18" s="13" t="str">
        <f t="shared" si="23"/>
        <v>Siliciclastic rocks</v>
      </c>
      <c r="C18" s="13" t="str">
        <f t="shared" si="23"/>
        <v>Conglomerates</v>
      </c>
      <c r="I18" s="24">
        <f t="shared" ref="I18:I27" si="24">90-J4</f>
        <v>53.24</v>
      </c>
      <c r="J18" s="13">
        <f t="shared" ref="J18:J27" si="25">+I4*TAN(RADIANS(I18))</f>
        <v>40.160249671214324</v>
      </c>
      <c r="K18" s="6">
        <f t="shared" ref="K18:K27" si="26">+SQRT(J18^2+I4^2)</f>
        <v>50.128291948302703</v>
      </c>
      <c r="L18" s="24">
        <f t="shared" si="5"/>
        <v>51.09</v>
      </c>
      <c r="M18" s="13">
        <f t="shared" si="6"/>
        <v>27.874599378014864</v>
      </c>
      <c r="N18" s="6">
        <f t="shared" si="7"/>
        <v>35.822385326563982</v>
      </c>
      <c r="O18" s="24">
        <f t="shared" si="8"/>
        <v>48.06</v>
      </c>
      <c r="P18" s="13">
        <f t="shared" si="9"/>
        <v>16.6943116956603</v>
      </c>
      <c r="Q18" s="6">
        <f t="shared" si="10"/>
        <v>22.44326275281427</v>
      </c>
      <c r="R18" s="59">
        <f t="shared" si="11"/>
        <v>43.04</v>
      </c>
      <c r="S18" s="60">
        <f t="shared" si="12"/>
        <v>7.003658645626996</v>
      </c>
      <c r="T18" s="61">
        <f t="shared" si="13"/>
        <v>10.261638973598018</v>
      </c>
      <c r="V18" s="24">
        <f t="shared" si="14"/>
        <v>43.754615108933422</v>
      </c>
      <c r="W18" s="13">
        <f t="shared" si="15"/>
        <v>126.53941370601585</v>
      </c>
      <c r="X18" s="6">
        <f t="shared" si="16"/>
        <v>43.754615108933422</v>
      </c>
      <c r="Y18" s="24">
        <f t="shared" si="2"/>
        <v>21.877307554466711</v>
      </c>
      <c r="Z18" s="13">
        <f t="shared" si="17"/>
        <v>91.037354828134085</v>
      </c>
      <c r="AA18" s="6">
        <f t="shared" si="18"/>
        <v>30.855285084661176</v>
      </c>
      <c r="AB18" s="24">
        <f t="shared" si="3"/>
        <v>5.4693268886166777</v>
      </c>
      <c r="AC18" s="13">
        <f t="shared" si="19"/>
        <v>57.515413029439721</v>
      </c>
      <c r="AD18" s="6">
        <f t="shared" si="20"/>
        <v>19.013016435819523</v>
      </c>
      <c r="AE18" s="59"/>
      <c r="AF18" s="60">
        <f t="shared" si="21"/>
        <v>26.591309187056662</v>
      </c>
      <c r="AG18" s="61">
        <f t="shared" si="22"/>
        <v>8.5832530516821048</v>
      </c>
    </row>
    <row r="19" spans="1:42" x14ac:dyDescent="0.25">
      <c r="A19" s="13">
        <f t="shared" ref="A19:C19" si="27">+A5</f>
        <v>0</v>
      </c>
      <c r="B19" s="13">
        <f t="shared" si="27"/>
        <v>0</v>
      </c>
      <c r="C19" s="13" t="str">
        <f t="shared" si="27"/>
        <v>Sandstones</v>
      </c>
      <c r="I19" s="24">
        <f t="shared" si="24"/>
        <v>55.7</v>
      </c>
      <c r="J19" s="13">
        <f t="shared" si="25"/>
        <v>43.978355360141336</v>
      </c>
      <c r="K19" s="6">
        <f t="shared" si="26"/>
        <v>53.236225825868537</v>
      </c>
      <c r="L19" s="24">
        <f t="shared" si="5"/>
        <v>53.56</v>
      </c>
      <c r="M19" s="13">
        <f t="shared" si="6"/>
        <v>30.473693384936777</v>
      </c>
      <c r="N19" s="6">
        <f t="shared" si="7"/>
        <v>37.88002096777587</v>
      </c>
      <c r="O19" s="24">
        <f t="shared" si="8"/>
        <v>50.55</v>
      </c>
      <c r="P19" s="13">
        <f t="shared" si="9"/>
        <v>18.228842581085445</v>
      </c>
      <c r="Q19" s="6">
        <f t="shared" si="10"/>
        <v>23.6070053553176</v>
      </c>
      <c r="R19" s="59">
        <f t="shared" si="11"/>
        <v>45.5</v>
      </c>
      <c r="S19" s="60">
        <f t="shared" si="12"/>
        <v>7.6320554472909388</v>
      </c>
      <c r="T19" s="61">
        <f t="shared" si="13"/>
        <v>10.700386457998762</v>
      </c>
      <c r="V19" s="24">
        <f t="shared" si="14"/>
        <v>47.301458859575035</v>
      </c>
      <c r="W19" s="13">
        <f t="shared" si="15"/>
        <v>133.24331633778056</v>
      </c>
      <c r="X19" s="6">
        <f t="shared" si="16"/>
        <v>47.301458859575035</v>
      </c>
      <c r="Y19" s="24">
        <f t="shared" si="2"/>
        <v>23.650729429787518</v>
      </c>
      <c r="Z19" s="13">
        <f t="shared" si="17"/>
        <v>95.519758509230442</v>
      </c>
      <c r="AA19" s="6">
        <f t="shared" si="18"/>
        <v>33.237411817019613</v>
      </c>
      <c r="AB19" s="24">
        <f t="shared" si="3"/>
        <v>5.9126823574468794</v>
      </c>
      <c r="AC19" s="13">
        <f t="shared" si="19"/>
        <v>60.088951000478559</v>
      </c>
      <c r="AD19" s="6">
        <f t="shared" si="20"/>
        <v>20.385775584074832</v>
      </c>
      <c r="AE19" s="59"/>
      <c r="AF19" s="60">
        <f t="shared" si="21"/>
        <v>27.589215348753861</v>
      </c>
      <c r="AG19" s="61">
        <f t="shared" si="22"/>
        <v>9.1107164369728082</v>
      </c>
      <c r="AL19" s="12">
        <f>ROUNDUP(3^3/4^3,1)</f>
        <v>0.5</v>
      </c>
      <c r="AM19" s="12">
        <f>0.5^3</f>
        <v>0.125</v>
      </c>
    </row>
    <row r="20" spans="1:42" x14ac:dyDescent="0.25">
      <c r="A20" s="13">
        <f t="shared" ref="A20:C20" si="28">+A6</f>
        <v>0</v>
      </c>
      <c r="B20" s="13">
        <f t="shared" si="28"/>
        <v>0</v>
      </c>
      <c r="C20" s="13" t="str">
        <f t="shared" si="28"/>
        <v>Shales</v>
      </c>
      <c r="I20" s="24">
        <f t="shared" si="24"/>
        <v>69.19</v>
      </c>
      <c r="J20" s="13">
        <f t="shared" si="25"/>
        <v>78.934054276419332</v>
      </c>
      <c r="K20" s="6">
        <f t="shared" si="26"/>
        <v>84.442790838014787</v>
      </c>
      <c r="L20" s="24">
        <f t="shared" si="5"/>
        <v>67.41</v>
      </c>
      <c r="M20" s="13">
        <f t="shared" si="6"/>
        <v>54.079380168846328</v>
      </c>
      <c r="N20" s="6">
        <f t="shared" si="7"/>
        <v>58.573281958983735</v>
      </c>
      <c r="O20" s="24">
        <f t="shared" si="8"/>
        <v>64.8</v>
      </c>
      <c r="P20" s="13">
        <f t="shared" si="9"/>
        <v>31.876622597358043</v>
      </c>
      <c r="Q20" s="6">
        <f t="shared" si="10"/>
        <v>35.229519840815279</v>
      </c>
      <c r="R20" s="59">
        <f t="shared" si="11"/>
        <v>64.8</v>
      </c>
      <c r="S20" s="60">
        <f t="shared" si="12"/>
        <v>15.938311298679022</v>
      </c>
      <c r="T20" s="61">
        <f t="shared" si="13"/>
        <v>17.614759920407639</v>
      </c>
      <c r="V20" s="24">
        <f t="shared" si="14"/>
        <v>80.877570199645348</v>
      </c>
      <c r="W20" s="13">
        <f t="shared" si="15"/>
        <v>198.33046521937788</v>
      </c>
      <c r="X20" s="6">
        <f t="shared" si="16"/>
        <v>80.877570199645348</v>
      </c>
      <c r="Y20" s="24">
        <f t="shared" si="2"/>
        <v>40.438785099822674</v>
      </c>
      <c r="Z20" s="13">
        <f t="shared" si="17"/>
        <v>138.96618873408417</v>
      </c>
      <c r="AA20" s="6">
        <f t="shared" si="18"/>
        <v>55.72392477010289</v>
      </c>
      <c r="AB20" s="24">
        <f t="shared" si="3"/>
        <v>10.109696274955668</v>
      </c>
      <c r="AC20" s="13">
        <f t="shared" si="19"/>
        <v>84.747076381872461</v>
      </c>
      <c r="AD20" s="6">
        <f t="shared" si="20"/>
        <v>33.191285148877604</v>
      </c>
      <c r="AE20" s="59"/>
      <c r="AF20" s="60">
        <f t="shared" si="21"/>
        <v>42.37353819093623</v>
      </c>
      <c r="AG20" s="61">
        <f t="shared" si="22"/>
        <v>16.721482587268927</v>
      </c>
    </row>
    <row r="21" spans="1:42" x14ac:dyDescent="0.25">
      <c r="A21" s="13">
        <f t="shared" ref="A21:C21" si="29">+A7</f>
        <v>0</v>
      </c>
      <c r="B21" s="13" t="str">
        <f t="shared" si="29"/>
        <v>Magmatic rocks</v>
      </c>
      <c r="C21" s="13" t="str">
        <f t="shared" si="29"/>
        <v>Plutonic rocks</v>
      </c>
      <c r="I21" s="24">
        <f t="shared" si="24"/>
        <v>30.840000000000003</v>
      </c>
      <c r="J21" s="13">
        <f t="shared" si="25"/>
        <v>5.9706625332153127</v>
      </c>
      <c r="K21" s="6">
        <f t="shared" si="26"/>
        <v>11.64683695625302</v>
      </c>
      <c r="L21" s="24">
        <f t="shared" si="5"/>
        <v>29.47</v>
      </c>
      <c r="M21" s="13">
        <f t="shared" si="6"/>
        <v>4.2381133551736045</v>
      </c>
      <c r="N21" s="6">
        <f t="shared" si="7"/>
        <v>8.6146157668987691</v>
      </c>
      <c r="O21" s="24">
        <f t="shared" si="8"/>
        <v>27.75</v>
      </c>
      <c r="P21" s="13">
        <f t="shared" si="9"/>
        <v>2.6306272574601701</v>
      </c>
      <c r="Q21" s="6">
        <f t="shared" si="10"/>
        <v>5.6497964359516901</v>
      </c>
      <c r="R21" s="59">
        <f t="shared" si="11"/>
        <v>25.39</v>
      </c>
      <c r="S21" s="60">
        <f t="shared" si="12"/>
        <v>1.186552610470355</v>
      </c>
      <c r="T21" s="61">
        <f t="shared" si="13"/>
        <v>2.767292376568478</v>
      </c>
      <c r="V21" s="24">
        <f t="shared" si="14"/>
        <v>8.6229915536158561</v>
      </c>
      <c r="W21" s="13">
        <f t="shared" si="15"/>
        <v>30.614911500604443</v>
      </c>
      <c r="X21" s="6">
        <f t="shared" si="16"/>
        <v>8.6229915536158561</v>
      </c>
      <c r="Y21" s="24">
        <f t="shared" si="2"/>
        <v>4.3114957768079281</v>
      </c>
      <c r="Z21" s="13">
        <f t="shared" si="17"/>
        <v>22.658855115378479</v>
      </c>
      <c r="AA21" s="6">
        <f t="shared" si="18"/>
        <v>6.4607310407747578</v>
      </c>
      <c r="AB21" s="24">
        <f t="shared" si="3"/>
        <v>1.077873944201982</v>
      </c>
      <c r="AC21" s="13">
        <f t="shared" si="19"/>
        <v>14.869043365339856</v>
      </c>
      <c r="AD21" s="6">
        <f t="shared" si="20"/>
        <v>4.3934090336802889</v>
      </c>
      <c r="AE21" s="59"/>
      <c r="AF21" s="60">
        <f t="shared" si="21"/>
        <v>7.2858642492968348</v>
      </c>
      <c r="AG21" s="61">
        <f t="shared" si="22"/>
        <v>2.4256410702133304</v>
      </c>
      <c r="AK21" s="79">
        <f t="shared" ref="AK21:AK32" si="30">+V16/$V16</f>
        <v>1</v>
      </c>
      <c r="AL21" s="27">
        <f t="shared" ref="AL21:AL32" si="31">+Y16/$V16</f>
        <v>0.5</v>
      </c>
      <c r="AM21" s="79">
        <f t="shared" ref="AM21:AM32" si="32">+AB16/$V16</f>
        <v>0.125</v>
      </c>
    </row>
    <row r="22" spans="1:42" x14ac:dyDescent="0.25">
      <c r="A22" s="13">
        <f t="shared" ref="A22:C22" si="33">+A8</f>
        <v>0</v>
      </c>
      <c r="B22" s="13">
        <f t="shared" si="33"/>
        <v>0</v>
      </c>
      <c r="C22" s="13" t="str">
        <f t="shared" si="33"/>
        <v>Volcanic rocks</v>
      </c>
      <c r="I22" s="24">
        <f t="shared" si="24"/>
        <v>30.840000000000003</v>
      </c>
      <c r="J22" s="13">
        <f t="shared" si="25"/>
        <v>5.9706625332153127</v>
      </c>
      <c r="K22" s="6">
        <f t="shared" si="26"/>
        <v>11.64683695625302</v>
      </c>
      <c r="L22" s="24">
        <f t="shared" si="5"/>
        <v>29.47</v>
      </c>
      <c r="M22" s="13">
        <f t="shared" si="6"/>
        <v>4.2381133551736045</v>
      </c>
      <c r="N22" s="6">
        <f t="shared" si="7"/>
        <v>8.6146157668987691</v>
      </c>
      <c r="O22" s="24">
        <f t="shared" si="8"/>
        <v>27.75</v>
      </c>
      <c r="P22" s="13">
        <f t="shared" si="9"/>
        <v>2.6306272574601701</v>
      </c>
      <c r="Q22" s="6">
        <f t="shared" si="10"/>
        <v>5.6497964359516901</v>
      </c>
      <c r="R22" s="59">
        <f t="shared" si="11"/>
        <v>25.39</v>
      </c>
      <c r="S22" s="60">
        <f t="shared" si="12"/>
        <v>1.186552610470355</v>
      </c>
      <c r="T22" s="61">
        <f t="shared" si="13"/>
        <v>2.767292376568478</v>
      </c>
      <c r="V22" s="24">
        <f t="shared" si="14"/>
        <v>8.6229915536158561</v>
      </c>
      <c r="W22" s="13">
        <f t="shared" si="15"/>
        <v>30.614911500604443</v>
      </c>
      <c r="X22" s="6">
        <f t="shared" si="16"/>
        <v>8.6229915536158561</v>
      </c>
      <c r="Y22" s="24">
        <f t="shared" si="2"/>
        <v>4.3114957768079281</v>
      </c>
      <c r="Z22" s="13">
        <f t="shared" si="17"/>
        <v>22.658855115378479</v>
      </c>
      <c r="AA22" s="6">
        <f t="shared" si="18"/>
        <v>6.4607310407747578</v>
      </c>
      <c r="AB22" s="24">
        <f t="shared" si="3"/>
        <v>1.077873944201982</v>
      </c>
      <c r="AC22" s="13">
        <f t="shared" si="19"/>
        <v>14.869043365339856</v>
      </c>
      <c r="AD22" s="6">
        <f t="shared" si="20"/>
        <v>4.3934090336802889</v>
      </c>
      <c r="AE22" s="59"/>
      <c r="AF22" s="60">
        <f t="shared" si="21"/>
        <v>7.2858642492968348</v>
      </c>
      <c r="AG22" s="61">
        <f t="shared" si="22"/>
        <v>2.4256410702133304</v>
      </c>
      <c r="AK22" s="79">
        <f t="shared" si="30"/>
        <v>1</v>
      </c>
      <c r="AL22" s="27">
        <f t="shared" si="31"/>
        <v>0.5</v>
      </c>
      <c r="AM22" s="79">
        <f t="shared" si="32"/>
        <v>0.125</v>
      </c>
    </row>
    <row r="23" spans="1:42" x14ac:dyDescent="0.25">
      <c r="A23" s="13">
        <f t="shared" ref="A23:C23" si="34">+A9</f>
        <v>0</v>
      </c>
      <c r="B23" s="13" t="str">
        <f t="shared" si="34"/>
        <v>Metamorphic rocks</v>
      </c>
      <c r="C23" s="13" t="str">
        <f t="shared" si="34"/>
        <v>Gneiss</v>
      </c>
      <c r="I23" s="24">
        <f t="shared" si="24"/>
        <v>27.78</v>
      </c>
      <c r="J23" s="13">
        <f t="shared" si="25"/>
        <v>5.2679417087166049</v>
      </c>
      <c r="K23" s="6">
        <f t="shared" si="26"/>
        <v>11.30270807578591</v>
      </c>
      <c r="L23" s="24">
        <f t="shared" si="5"/>
        <v>26.520000000000003</v>
      </c>
      <c r="M23" s="13">
        <f t="shared" si="6"/>
        <v>3.7426314137976693</v>
      </c>
      <c r="N23" s="6">
        <f t="shared" si="7"/>
        <v>8.3819621747861124</v>
      </c>
      <c r="O23" s="24">
        <f t="shared" si="8"/>
        <v>24.950000000000003</v>
      </c>
      <c r="P23" s="13">
        <f t="shared" si="9"/>
        <v>2.3262283537322732</v>
      </c>
      <c r="Q23" s="6">
        <f t="shared" si="10"/>
        <v>5.5146476182715389</v>
      </c>
      <c r="R23" s="59">
        <f t="shared" si="11"/>
        <v>22.810000000000002</v>
      </c>
      <c r="S23" s="60">
        <f t="shared" si="12"/>
        <v>1.0514167042083116</v>
      </c>
      <c r="T23" s="61">
        <f t="shared" si="13"/>
        <v>2.7120982810156913</v>
      </c>
      <c r="V23" s="24">
        <f t="shared" si="14"/>
        <v>8.1302979698947659</v>
      </c>
      <c r="W23" s="13">
        <f t="shared" si="15"/>
        <v>29.746050775237777</v>
      </c>
      <c r="X23" s="6">
        <f t="shared" si="16"/>
        <v>8.1302979698947659</v>
      </c>
      <c r="Y23" s="24">
        <f t="shared" si="2"/>
        <v>4.065148984947383</v>
      </c>
      <c r="Z23" s="13">
        <f t="shared" si="17"/>
        <v>22.06531013409549</v>
      </c>
      <c r="AA23" s="6">
        <f t="shared" si="18"/>
        <v>6.1313218485682217</v>
      </c>
      <c r="AB23" s="24">
        <f t="shared" si="3"/>
        <v>1.0162872462368457</v>
      </c>
      <c r="AC23" s="13">
        <f t="shared" si="19"/>
        <v>14.519687743112524</v>
      </c>
      <c r="AD23" s="6">
        <f t="shared" si="20"/>
        <v>4.2085320452664785</v>
      </c>
      <c r="AE23" s="59"/>
      <c r="AF23" s="60">
        <f t="shared" si="21"/>
        <v>7.1405775977711343</v>
      </c>
      <c r="AG23" s="61">
        <f t="shared" si="22"/>
        <v>2.35855602271914</v>
      </c>
      <c r="AK23" s="79">
        <f t="shared" si="30"/>
        <v>1</v>
      </c>
      <c r="AL23" s="27">
        <f t="shared" si="31"/>
        <v>0.5</v>
      </c>
      <c r="AM23" s="79">
        <f t="shared" si="32"/>
        <v>0.125</v>
      </c>
    </row>
    <row r="24" spans="1:42" x14ac:dyDescent="0.25">
      <c r="A24" s="13">
        <f t="shared" ref="A24:C24" si="35">+A10</f>
        <v>0</v>
      </c>
      <c r="B24" s="13">
        <f t="shared" si="35"/>
        <v>0</v>
      </c>
      <c r="C24" s="13" t="str">
        <f t="shared" si="35"/>
        <v>Marbles</v>
      </c>
      <c r="I24" s="24">
        <f t="shared" si="24"/>
        <v>43.69</v>
      </c>
      <c r="J24" s="13">
        <f t="shared" si="25"/>
        <v>9.5528689410929797</v>
      </c>
      <c r="K24" s="6">
        <f t="shared" si="26"/>
        <v>13.829580796455796</v>
      </c>
      <c r="L24" s="24">
        <f t="shared" si="5"/>
        <v>41.86</v>
      </c>
      <c r="M24" s="13">
        <f t="shared" si="6"/>
        <v>6.7199197993687854</v>
      </c>
      <c r="N24" s="6">
        <f t="shared" si="7"/>
        <v>10.070120262933736</v>
      </c>
      <c r="O24" s="24">
        <f t="shared" si="8"/>
        <v>39.47</v>
      </c>
      <c r="P24" s="13">
        <f t="shared" si="9"/>
        <v>4.1172868252006207</v>
      </c>
      <c r="Q24" s="6">
        <f t="shared" si="10"/>
        <v>6.4770402809439602</v>
      </c>
      <c r="R24" s="59">
        <f t="shared" si="11"/>
        <v>35.950000000000003</v>
      </c>
      <c r="S24" s="60">
        <f t="shared" si="12"/>
        <v>1.8130251489598788</v>
      </c>
      <c r="T24" s="61">
        <f t="shared" si="13"/>
        <v>3.0882131064356599</v>
      </c>
      <c r="V24" s="24">
        <f t="shared" si="14"/>
        <v>11.461505843441191</v>
      </c>
      <c r="W24" s="13">
        <f t="shared" si="15"/>
        <v>35.792188766584616</v>
      </c>
      <c r="X24" s="6">
        <f t="shared" si="16"/>
        <v>11.461505843441191</v>
      </c>
      <c r="Y24" s="24">
        <f t="shared" si="2"/>
        <v>5.7307529217205957</v>
      </c>
      <c r="Z24" s="13">
        <f t="shared" si="17"/>
        <v>26.150816823450633</v>
      </c>
      <c r="AA24" s="6">
        <f t="shared" si="18"/>
        <v>8.3493070006334964</v>
      </c>
      <c r="AB24" s="24">
        <f t="shared" si="3"/>
        <v>1.4326882304301489</v>
      </c>
      <c r="AC24" s="13">
        <f t="shared" si="19"/>
        <v>16.884060938694297</v>
      </c>
      <c r="AD24" s="6">
        <f t="shared" si="20"/>
        <v>5.4466194465166566</v>
      </c>
      <c r="AE24" s="59"/>
      <c r="AF24" s="60">
        <f t="shared" si="21"/>
        <v>8.0854697770571118</v>
      </c>
      <c r="AG24" s="61">
        <f t="shared" si="22"/>
        <v>2.7998219262304658</v>
      </c>
      <c r="AK24" s="79">
        <f t="shared" si="30"/>
        <v>1</v>
      </c>
      <c r="AL24" s="27">
        <f t="shared" si="31"/>
        <v>0.5</v>
      </c>
      <c r="AM24" s="79">
        <f t="shared" si="32"/>
        <v>0.125</v>
      </c>
    </row>
    <row r="25" spans="1:42" x14ac:dyDescent="0.25">
      <c r="A25" s="13">
        <f t="shared" ref="A25:C25" si="36">+A11</f>
        <v>0</v>
      </c>
      <c r="B25" s="13">
        <f t="shared" si="36"/>
        <v>0</v>
      </c>
      <c r="C25" s="13" t="str">
        <f t="shared" si="36"/>
        <v>Phyllites</v>
      </c>
      <c r="I25" s="24">
        <f t="shared" si="24"/>
        <v>48.41</v>
      </c>
      <c r="J25" s="13">
        <f t="shared" si="25"/>
        <v>22.534462653731332</v>
      </c>
      <c r="K25" s="6">
        <f t="shared" si="26"/>
        <v>30.12975285481798</v>
      </c>
      <c r="L25" s="24">
        <f t="shared" si="5"/>
        <v>46.4</v>
      </c>
      <c r="M25" s="13">
        <f t="shared" si="6"/>
        <v>15.751551736366718</v>
      </c>
      <c r="N25" s="6">
        <f t="shared" si="7"/>
        <v>21.751123697488307</v>
      </c>
      <c r="O25" s="24">
        <f t="shared" si="8"/>
        <v>43.69</v>
      </c>
      <c r="P25" s="13">
        <f t="shared" si="9"/>
        <v>9.5528689410929797</v>
      </c>
      <c r="Q25" s="6">
        <f t="shared" si="10"/>
        <v>13.829580796455796</v>
      </c>
      <c r="R25" s="59">
        <f t="shared" si="11"/>
        <v>39.47</v>
      </c>
      <c r="S25" s="60">
        <f t="shared" si="12"/>
        <v>4.1172868252006207</v>
      </c>
      <c r="T25" s="61">
        <f t="shared" si="13"/>
        <v>6.4770402809439602</v>
      </c>
      <c r="V25" s="24">
        <f t="shared" si="14"/>
        <v>25.449277714530236</v>
      </c>
      <c r="W25" s="13">
        <f t="shared" si="15"/>
        <v>77.144073478429135</v>
      </c>
      <c r="X25" s="6">
        <f t="shared" si="16"/>
        <v>25.449277714530236</v>
      </c>
      <c r="Y25" s="24">
        <f t="shared" si="2"/>
        <v>12.724638857265118</v>
      </c>
      <c r="Z25" s="13">
        <f t="shared" si="17"/>
        <v>55.967589567413356</v>
      </c>
      <c r="AA25" s="6">
        <f t="shared" si="18"/>
        <v>18.181330391147572</v>
      </c>
      <c r="AB25" s="24">
        <f t="shared" si="3"/>
        <v>3.1811597143162795</v>
      </c>
      <c r="AC25" s="13">
        <f t="shared" si="19"/>
        <v>35.792188766584616</v>
      </c>
      <c r="AD25" s="6">
        <f t="shared" si="20"/>
        <v>11.461505843441191</v>
      </c>
      <c r="AE25" s="59"/>
      <c r="AF25" s="60">
        <f t="shared" si="21"/>
        <v>16.884060938694297</v>
      </c>
      <c r="AG25" s="61">
        <f t="shared" si="22"/>
        <v>5.4466194465166566</v>
      </c>
      <c r="AK25" s="79">
        <f t="shared" si="30"/>
        <v>1</v>
      </c>
      <c r="AL25" s="27">
        <f t="shared" si="31"/>
        <v>0.5</v>
      </c>
      <c r="AM25" s="79">
        <f t="shared" si="32"/>
        <v>0.125</v>
      </c>
    </row>
    <row r="26" spans="1:42" x14ac:dyDescent="0.25">
      <c r="A26" s="13">
        <f t="shared" ref="A26:C26" si="37">+A12</f>
        <v>0</v>
      </c>
      <c r="B26" s="13">
        <f t="shared" si="37"/>
        <v>0</v>
      </c>
      <c r="C26" s="13" t="str">
        <f t="shared" si="37"/>
        <v>Quartzites</v>
      </c>
      <c r="I26" s="24">
        <f t="shared" si="24"/>
        <v>32.96</v>
      </c>
      <c r="J26" s="13">
        <f t="shared" si="25"/>
        <v>12.968309757821858</v>
      </c>
      <c r="K26" s="6">
        <f t="shared" si="26"/>
        <v>23.836464879986245</v>
      </c>
      <c r="L26" s="24">
        <f t="shared" si="5"/>
        <v>31.43</v>
      </c>
      <c r="M26" s="13">
        <f t="shared" si="6"/>
        <v>9.1668228593266186</v>
      </c>
      <c r="N26" s="6">
        <f t="shared" si="7"/>
        <v>17.579267371943377</v>
      </c>
      <c r="O26" s="24">
        <f t="shared" si="8"/>
        <v>29.47</v>
      </c>
      <c r="P26" s="13">
        <f t="shared" si="9"/>
        <v>5.6508178068981394</v>
      </c>
      <c r="Q26" s="6">
        <f t="shared" si="10"/>
        <v>11.486154355865025</v>
      </c>
      <c r="R26" s="59">
        <f t="shared" si="11"/>
        <v>26.68</v>
      </c>
      <c r="S26" s="60">
        <f t="shared" si="12"/>
        <v>2.5125515789967157</v>
      </c>
      <c r="T26" s="61">
        <f t="shared" si="13"/>
        <v>5.5957944420000709</v>
      </c>
      <c r="V26" s="24">
        <f t="shared" si="14"/>
        <v>17.367311911778359</v>
      </c>
      <c r="W26" s="13">
        <f t="shared" si="15"/>
        <v>62.573257074444925</v>
      </c>
      <c r="X26" s="6">
        <f t="shared" si="16"/>
        <v>17.367311911778359</v>
      </c>
      <c r="Y26" s="24">
        <f t="shared" si="2"/>
        <v>8.6836559558891793</v>
      </c>
      <c r="Z26" s="13">
        <f t="shared" si="17"/>
        <v>46.193790093013945</v>
      </c>
      <c r="AA26" s="6">
        <f t="shared" si="18"/>
        <v>12.762850981338323</v>
      </c>
      <c r="AB26" s="24">
        <f t="shared" si="3"/>
        <v>2.1709139889722948</v>
      </c>
      <c r="AC26" s="13">
        <f t="shared" si="19"/>
        <v>30.211806820504638</v>
      </c>
      <c r="AD26" s="6">
        <f t="shared" si="20"/>
        <v>8.395208353163202</v>
      </c>
      <c r="AE26" s="59"/>
      <c r="AF26" s="60">
        <f t="shared" si="21"/>
        <v>14.730384710304591</v>
      </c>
      <c r="AG26" s="61">
        <f t="shared" si="22"/>
        <v>4.3201332662821326</v>
      </c>
      <c r="AK26" s="79">
        <f t="shared" si="30"/>
        <v>1</v>
      </c>
      <c r="AL26" s="27">
        <f t="shared" si="31"/>
        <v>0.5</v>
      </c>
      <c r="AM26" s="79">
        <f t="shared" si="32"/>
        <v>0.125</v>
      </c>
      <c r="AO26" s="12" t="s">
        <v>61</v>
      </c>
      <c r="AP26" s="12" t="s">
        <v>51</v>
      </c>
    </row>
    <row r="27" spans="1:42" x14ac:dyDescent="0.25">
      <c r="A27" s="13">
        <f t="shared" ref="A27:C27" si="38">+A13</f>
        <v>0</v>
      </c>
      <c r="B27" s="13">
        <f t="shared" si="38"/>
        <v>0</v>
      </c>
      <c r="C27" s="13" t="str">
        <f t="shared" si="38"/>
        <v>Schists</v>
      </c>
      <c r="I27" s="24">
        <f t="shared" si="24"/>
        <v>64.02</v>
      </c>
      <c r="J27" s="13">
        <f t="shared" si="25"/>
        <v>61.563647777073655</v>
      </c>
      <c r="K27" s="6">
        <f t="shared" si="26"/>
        <v>68.484178666459783</v>
      </c>
      <c r="L27" s="24">
        <f t="shared" si="5"/>
        <v>62.019999999999996</v>
      </c>
      <c r="M27" s="13">
        <f t="shared" si="6"/>
        <v>42.352003432792877</v>
      </c>
      <c r="N27" s="6">
        <f t="shared" si="7"/>
        <v>47.957712568170926</v>
      </c>
      <c r="O27" s="24">
        <f t="shared" si="8"/>
        <v>59.129999999999995</v>
      </c>
      <c r="P27" s="13">
        <f t="shared" si="9"/>
        <v>25.092980743163054</v>
      </c>
      <c r="Q27" s="6">
        <f t="shared" si="10"/>
        <v>29.234528943985943</v>
      </c>
      <c r="R27" s="59">
        <f t="shared" si="11"/>
        <v>54.08</v>
      </c>
      <c r="S27" s="60">
        <f t="shared" si="12"/>
        <v>10.353233156351443</v>
      </c>
      <c r="T27" s="61">
        <f t="shared" si="13"/>
        <v>12.784343424273883</v>
      </c>
      <c r="V27" s="24">
        <f t="shared" si="14"/>
        <v>64.018133616707374</v>
      </c>
      <c r="W27" s="13">
        <f t="shared" si="15"/>
        <v>165.38987877176788</v>
      </c>
      <c r="X27" s="6">
        <f t="shared" si="16"/>
        <v>64.018133616707374</v>
      </c>
      <c r="Y27" s="24">
        <f t="shared" si="2"/>
        <v>32.009066808353687</v>
      </c>
      <c r="Z27" s="13">
        <f t="shared" si="17"/>
        <v>116.93418811223739</v>
      </c>
      <c r="AA27" s="6">
        <f t="shared" si="18"/>
        <v>44.41590242925281</v>
      </c>
      <c r="AB27" s="24">
        <f t="shared" si="3"/>
        <v>8.0022667020884217</v>
      </c>
      <c r="AC27" s="13">
        <f t="shared" si="19"/>
        <v>72.19487807555754</v>
      </c>
      <c r="AD27" s="6">
        <f t="shared" si="20"/>
        <v>26.728695416189765</v>
      </c>
      <c r="AE27" s="59"/>
      <c r="AF27" s="60">
        <f t="shared" si="21"/>
        <v>32.18104405741289</v>
      </c>
      <c r="AG27" s="61">
        <f t="shared" si="22"/>
        <v>11.505086924301843</v>
      </c>
      <c r="AK27" s="79">
        <f t="shared" si="30"/>
        <v>1</v>
      </c>
      <c r="AL27" s="27">
        <f t="shared" si="31"/>
        <v>0.5</v>
      </c>
      <c r="AM27" s="79">
        <f t="shared" si="32"/>
        <v>0.125</v>
      </c>
      <c r="AO27" s="12">
        <v>69.069999999999993</v>
      </c>
      <c r="AP27" s="27">
        <v>23.788563191533793</v>
      </c>
    </row>
    <row r="28" spans="1:42" ht="15.75" thickBot="1" x14ac:dyDescent="0.3">
      <c r="R28" s="65"/>
      <c r="S28" s="65"/>
      <c r="T28" s="65"/>
      <c r="AE28" s="65"/>
      <c r="AF28" s="65"/>
      <c r="AG28" s="65"/>
      <c r="AK28" s="79">
        <f t="shared" si="30"/>
        <v>1</v>
      </c>
      <c r="AL28" s="27">
        <f t="shared" si="31"/>
        <v>0.5</v>
      </c>
      <c r="AM28" s="79">
        <f t="shared" si="32"/>
        <v>0.125</v>
      </c>
      <c r="AO28" s="12">
        <v>48.14</v>
      </c>
      <c r="AP28" s="27">
        <v>13.3253636336939</v>
      </c>
    </row>
    <row r="29" spans="1:42" x14ac:dyDescent="0.25">
      <c r="A29" s="13" t="str">
        <f t="shared" ref="A29:D41" si="39">+A1</f>
        <v>RockID</v>
      </c>
      <c r="B29" s="13" t="str">
        <f t="shared" si="39"/>
        <v>LEVEL 4</v>
      </c>
      <c r="C29" s="13" t="str">
        <f t="shared" si="39"/>
        <v>LEVEL 3</v>
      </c>
      <c r="D29" s="13" t="str">
        <f t="shared" si="39"/>
        <v>γ [kN/m3]</v>
      </c>
      <c r="I29" s="23" t="s">
        <v>48</v>
      </c>
      <c r="J29" s="4" t="s">
        <v>49</v>
      </c>
      <c r="K29" s="5" t="s">
        <v>50</v>
      </c>
      <c r="L29" s="23" t="s">
        <v>48</v>
      </c>
      <c r="M29" s="4" t="s">
        <v>49</v>
      </c>
      <c r="N29" s="5" t="s">
        <v>50</v>
      </c>
      <c r="O29" s="23" t="s">
        <v>48</v>
      </c>
      <c r="P29" s="4" t="s">
        <v>49</v>
      </c>
      <c r="Q29" s="5" t="s">
        <v>50</v>
      </c>
      <c r="R29" s="56" t="s">
        <v>48</v>
      </c>
      <c r="S29" s="57" t="s">
        <v>49</v>
      </c>
      <c r="T29" s="58" t="s">
        <v>50</v>
      </c>
      <c r="V29" s="23" t="s">
        <v>59</v>
      </c>
      <c r="W29" s="4" t="s">
        <v>60</v>
      </c>
      <c r="X29" s="5" t="s">
        <v>51</v>
      </c>
      <c r="Y29" s="23" t="s">
        <v>59</v>
      </c>
      <c r="Z29" s="4" t="s">
        <v>60</v>
      </c>
      <c r="AA29" s="5" t="s">
        <v>51</v>
      </c>
      <c r="AB29" s="23" t="s">
        <v>59</v>
      </c>
      <c r="AC29" s="4" t="s">
        <v>60</v>
      </c>
      <c r="AD29" s="5" t="s">
        <v>51</v>
      </c>
      <c r="AE29" s="56" t="s">
        <v>59</v>
      </c>
      <c r="AF29" s="57" t="s">
        <v>60</v>
      </c>
      <c r="AG29" s="58" t="s">
        <v>51</v>
      </c>
      <c r="AK29" s="79">
        <f t="shared" si="30"/>
        <v>1</v>
      </c>
      <c r="AL29" s="27">
        <f t="shared" si="31"/>
        <v>0.5</v>
      </c>
      <c r="AM29" s="79">
        <f t="shared" si="32"/>
        <v>0.125</v>
      </c>
      <c r="AO29" s="12">
        <v>52.954000000000008</v>
      </c>
      <c r="AP29" s="27">
        <v>14.590249354945406</v>
      </c>
    </row>
    <row r="30" spans="1:42" x14ac:dyDescent="0.25">
      <c r="A30" s="13">
        <f t="shared" si="39"/>
        <v>0</v>
      </c>
      <c r="B30" s="13" t="str">
        <f t="shared" si="39"/>
        <v>Calcareous rocks</v>
      </c>
      <c r="C30" s="13" t="str">
        <f t="shared" si="39"/>
        <v>Limestones</v>
      </c>
      <c r="D30" s="13">
        <f t="shared" si="39"/>
        <v>24</v>
      </c>
      <c r="I30" s="24">
        <f>+ROUNDUP((I2*J16/2)*I2/3,-1)*$D2</f>
        <v>35520</v>
      </c>
      <c r="J30" s="13">
        <f>+I30*COS(RADIANS(J2))</f>
        <v>26334.190593095482</v>
      </c>
      <c r="K30" s="6">
        <f>+K2*1000*MROUND(V16,5)*2</f>
        <v>8100</v>
      </c>
      <c r="L30" s="24">
        <f>+ROUNDUP((L2*M16/2)*L2/3,0)*$D2</f>
        <v>13920</v>
      </c>
      <c r="M30" s="13">
        <f>+L30*COS(RADIANS(M2))</f>
        <v>9987.8606647743454</v>
      </c>
      <c r="N30" s="6">
        <f>+N2*1000*MROUND(Y16,5)*2</f>
        <v>4290</v>
      </c>
      <c r="O30" s="24">
        <f>+ROUNDUP((O2*P16/2)*O2/3,0)*$D2</f>
        <v>3768</v>
      </c>
      <c r="P30" s="13">
        <f>+O30*COS(RADIANS(P2))</f>
        <v>2577.9349447097457</v>
      </c>
      <c r="Q30" s="6">
        <f>+Q2*1000*MROUND(AB16,5)*2</f>
        <v>1230</v>
      </c>
      <c r="R30" s="59">
        <f>+(R2*S16/2)*R2/3*$D2</f>
        <v>405.18108124094283</v>
      </c>
      <c r="S30" s="60">
        <f>+R30*COS(RADIANS(S2))</f>
        <v>255.09861650029541</v>
      </c>
      <c r="T30" s="61">
        <f>+T2*1000*ROUNDDOWN(AG16,0)*2</f>
        <v>1010</v>
      </c>
      <c r="V30" s="24">
        <f>+J30*TAN(RADIANS(J2))+K30</f>
        <v>31936.543495366972</v>
      </c>
      <c r="W30" s="13">
        <f>+I30*SIN(RADIANS(J2))</f>
        <v>23836.543495366972</v>
      </c>
      <c r="X30" s="77">
        <f>+V30/W30</f>
        <v>1.3398143695445763</v>
      </c>
      <c r="Y30" s="24">
        <f t="shared" ref="Y30:Y41" si="40">+M30*TAN(RADIANS(M2))+N30</f>
        <v>13985.825872046869</v>
      </c>
      <c r="Z30" s="13">
        <f>+L30*SIN(RADIANS(M2))</f>
        <v>9695.8258720468675</v>
      </c>
      <c r="AA30" s="77">
        <f>+Y30/Z30</f>
        <v>1.4424584410460692</v>
      </c>
      <c r="AB30" s="24">
        <f t="shared" ref="AB30:AB41" si="41">+P30*TAN(RADIANS(P2))+Q30</f>
        <v>3978.1039683469689</v>
      </c>
      <c r="AC30" s="13">
        <f>+O30*SIN(RADIANS(P2))</f>
        <v>2748.1039683469689</v>
      </c>
      <c r="AD30" s="77">
        <f>+AB30/AC30</f>
        <v>1.4475813193995952</v>
      </c>
      <c r="AE30" s="59">
        <f t="shared" ref="AE30:AE41" si="42">+S30*TAN(RADIANS(S2))+T30</f>
        <v>1324.7958139099292</v>
      </c>
      <c r="AF30" s="60">
        <f>+R30*SIN(RADIANS(S2))</f>
        <v>314.79581390992911</v>
      </c>
      <c r="AG30" s="67">
        <f>+AE30/AF30</f>
        <v>4.2084289414629446</v>
      </c>
      <c r="AK30" s="79">
        <f t="shared" si="30"/>
        <v>1</v>
      </c>
      <c r="AL30" s="27">
        <f t="shared" si="31"/>
        <v>0.5</v>
      </c>
      <c r="AM30" s="79">
        <f t="shared" si="32"/>
        <v>0.125</v>
      </c>
      <c r="AO30" s="12">
        <v>60.174999999999997</v>
      </c>
      <c r="AP30" s="27">
        <v>17.385111414122889</v>
      </c>
    </row>
    <row r="31" spans="1:42" x14ac:dyDescent="0.25">
      <c r="A31" s="13">
        <f t="shared" si="39"/>
        <v>0</v>
      </c>
      <c r="B31" s="13">
        <f t="shared" si="39"/>
        <v>0</v>
      </c>
      <c r="C31" s="13" t="str">
        <f t="shared" si="39"/>
        <v>Marlstones</v>
      </c>
      <c r="D31" s="13">
        <f t="shared" si="39"/>
        <v>24</v>
      </c>
      <c r="I31" s="24">
        <f t="shared" ref="I31:I41" si="43">+ROUNDUP((I3*J17/2)*I3/3,0)*$D3</f>
        <v>229512</v>
      </c>
      <c r="J31" s="13">
        <f t="shared" ref="J31:J41" si="44">+I31*COS(RADIANS(J3))</f>
        <v>207668.66646558107</v>
      </c>
      <c r="K31" s="6">
        <f t="shared" ref="K31:K41" si="45">+K3*1000*MROUND(V17,5)*2</f>
        <v>12090</v>
      </c>
      <c r="L31" s="24">
        <f t="shared" ref="L31:L41" si="46">+ROUNDUP((L3*M17/2)*L3/3,0)*$D3</f>
        <v>89016</v>
      </c>
      <c r="M31" s="13">
        <f t="shared" ref="M31:M41" si="47">+L31*COS(RADIANS(M3))</f>
        <v>79236.104361151403</v>
      </c>
      <c r="N31" s="6">
        <f t="shared" ref="N31:N41" si="48">+N3*1000*MROUND(Y17,5)*2</f>
        <v>5670</v>
      </c>
      <c r="O31" s="24">
        <f t="shared" ref="O31:O41" si="49">+ROUNDUP((O3*P17/2)*O3/3,0)*$D3</f>
        <v>23544</v>
      </c>
      <c r="P31" s="13">
        <f t="shared" ref="P31:P41" si="50">+O31*COS(RADIANS(P3))</f>
        <v>20420.451221059899</v>
      </c>
      <c r="Q31" s="6">
        <f t="shared" ref="Q31:Q41" si="51">+Q3*1000*MROUND(AB17,5)*2</f>
        <v>1360</v>
      </c>
      <c r="R31" s="59">
        <f t="shared" ref="R31:R41" si="52">+(R3*S17/2)*R3/3*$D3</f>
        <v>2451.6592721517809</v>
      </c>
      <c r="S31" s="60">
        <f t="shared" ref="S31:S41" si="53">+R31*COS(RADIANS(S3))</f>
        <v>2019.5066692732057</v>
      </c>
      <c r="T31" s="61">
        <f t="shared" ref="T31:T41" si="54">+T3*1000*ROUNDDOWN(AG17,0)*2</f>
        <v>1144</v>
      </c>
      <c r="V31" s="24">
        <f t="shared" ref="V31:V41" si="55">+J31*TAN(RADIANS(J3))+K31</f>
        <v>109811.45676568295</v>
      </c>
      <c r="W31" s="13">
        <f t="shared" ref="W31:W41" si="56">+I31*SIN(RADIANS(J3))</f>
        <v>97721.45676568296</v>
      </c>
      <c r="X31" s="77">
        <f t="shared" ref="X31:X41" si="57">+V31/W31</f>
        <v>1.1237189906919773</v>
      </c>
      <c r="Y31" s="24">
        <f t="shared" si="40"/>
        <v>46234.615389138387</v>
      </c>
      <c r="Z31" s="13">
        <f t="shared" ref="Z31:Z41" si="58">+L31*SIN(RADIANS(M3))</f>
        <v>40564.615389138387</v>
      </c>
      <c r="AA31" s="77">
        <f t="shared" ref="AA31:AA41" si="59">+Y31/Z31</f>
        <v>1.1397769939541496</v>
      </c>
      <c r="AB31" s="24">
        <f t="shared" si="41"/>
        <v>13078.579603702541</v>
      </c>
      <c r="AC31" s="13">
        <f t="shared" ref="AC31:AC41" si="60">+O31*SIN(RADIANS(P3))</f>
        <v>11718.579603702541</v>
      </c>
      <c r="AD31" s="77">
        <f t="shared" ref="AD31:AD41" si="61">+AB31/AC31</f>
        <v>1.1160550208295126</v>
      </c>
      <c r="AE31" s="59">
        <f t="shared" si="42"/>
        <v>2534.0453228182323</v>
      </c>
      <c r="AF31" s="60">
        <f t="shared" ref="AF31:AF41" si="62">+R31*SIN(RADIANS(S3))</f>
        <v>1390.0453228182323</v>
      </c>
      <c r="AG31" s="67">
        <f t="shared" ref="AG31:AG41" si="63">+AE31/AF31</f>
        <v>1.8229947478839104</v>
      </c>
      <c r="AK31" s="79">
        <f t="shared" si="30"/>
        <v>1</v>
      </c>
      <c r="AL31" s="27">
        <f t="shared" si="31"/>
        <v>0.5</v>
      </c>
      <c r="AM31" s="79">
        <f t="shared" si="32"/>
        <v>0.125</v>
      </c>
      <c r="AO31" s="12">
        <v>72.210000000000008</v>
      </c>
      <c r="AP31" s="27">
        <v>27.674606276674176</v>
      </c>
    </row>
    <row r="32" spans="1:42" x14ac:dyDescent="0.25">
      <c r="A32" s="13">
        <f t="shared" si="39"/>
        <v>0</v>
      </c>
      <c r="B32" s="13" t="str">
        <f t="shared" si="39"/>
        <v>Siliciclastic rocks</v>
      </c>
      <c r="C32" s="13" t="str">
        <f t="shared" si="39"/>
        <v>Conglomerates</v>
      </c>
      <c r="D32" s="13">
        <f t="shared" si="39"/>
        <v>24</v>
      </c>
      <c r="I32" s="24">
        <f t="shared" si="43"/>
        <v>144600</v>
      </c>
      <c r="J32" s="13">
        <f t="shared" si="44"/>
        <v>115846.19935677294</v>
      </c>
      <c r="K32" s="6">
        <f t="shared" si="45"/>
        <v>12690</v>
      </c>
      <c r="L32" s="24">
        <f t="shared" si="46"/>
        <v>56448</v>
      </c>
      <c r="M32" s="13">
        <f t="shared" si="47"/>
        <v>43924.081865184577</v>
      </c>
      <c r="N32" s="6">
        <f t="shared" si="48"/>
        <v>4760</v>
      </c>
      <c r="O32" s="24">
        <f t="shared" si="49"/>
        <v>15048</v>
      </c>
      <c r="P32" s="13">
        <f t="shared" si="50"/>
        <v>11193.381513336113</v>
      </c>
      <c r="Q32" s="6">
        <f t="shared" si="51"/>
        <v>930</v>
      </c>
      <c r="R32" s="59">
        <f t="shared" si="52"/>
        <v>1575.823195266074</v>
      </c>
      <c r="S32" s="60">
        <f t="shared" si="53"/>
        <v>1075.5131586582297</v>
      </c>
      <c r="T32" s="61">
        <f t="shared" si="54"/>
        <v>992</v>
      </c>
      <c r="V32" s="24">
        <f t="shared" si="55"/>
        <v>99227.957536510075</v>
      </c>
      <c r="W32" s="13">
        <f t="shared" si="56"/>
        <v>86537.957536510075</v>
      </c>
      <c r="X32" s="77">
        <f t="shared" si="57"/>
        <v>1.1466408540396407</v>
      </c>
      <c r="Y32" s="24">
        <f t="shared" si="40"/>
        <v>40214.925416654929</v>
      </c>
      <c r="Z32" s="13">
        <f t="shared" si="58"/>
        <v>35454.925416654922</v>
      </c>
      <c r="AA32" s="77">
        <f t="shared" si="59"/>
        <v>1.1342549714619905</v>
      </c>
      <c r="AB32" s="24">
        <f t="shared" si="41"/>
        <v>10987.361199484949</v>
      </c>
      <c r="AC32" s="13">
        <f t="shared" si="60"/>
        <v>10057.361199484949</v>
      </c>
      <c r="AD32" s="77">
        <f t="shared" si="61"/>
        <v>1.0924695833781555</v>
      </c>
      <c r="AE32" s="59">
        <f t="shared" si="42"/>
        <v>2143.7335578559723</v>
      </c>
      <c r="AF32" s="60">
        <f t="shared" si="62"/>
        <v>1151.7335578559725</v>
      </c>
      <c r="AG32" s="67">
        <f t="shared" si="63"/>
        <v>1.8613103206323802</v>
      </c>
      <c r="AK32" s="79">
        <f t="shared" si="30"/>
        <v>1</v>
      </c>
      <c r="AL32" s="27">
        <f t="shared" si="31"/>
        <v>0.5</v>
      </c>
      <c r="AM32" s="79">
        <f t="shared" si="32"/>
        <v>0.125</v>
      </c>
    </row>
    <row r="33" spans="1:39" x14ac:dyDescent="0.25">
      <c r="A33" s="13">
        <f t="shared" si="39"/>
        <v>0</v>
      </c>
      <c r="B33" s="13">
        <f t="shared" si="39"/>
        <v>0</v>
      </c>
      <c r="C33" s="13" t="str">
        <f t="shared" si="39"/>
        <v>Sandstones</v>
      </c>
      <c r="D33" s="13">
        <f t="shared" si="39"/>
        <v>24</v>
      </c>
      <c r="I33" s="24">
        <f t="shared" si="43"/>
        <v>158328</v>
      </c>
      <c r="J33" s="13">
        <f t="shared" si="44"/>
        <v>130794.4907709253</v>
      </c>
      <c r="K33" s="6">
        <f t="shared" si="45"/>
        <v>11610</v>
      </c>
      <c r="L33" s="24">
        <f t="shared" si="46"/>
        <v>61728</v>
      </c>
      <c r="M33" s="13">
        <f t="shared" si="47"/>
        <v>49658.899261581515</v>
      </c>
      <c r="N33" s="6">
        <f t="shared" si="48"/>
        <v>5450</v>
      </c>
      <c r="O33" s="24">
        <f t="shared" si="49"/>
        <v>16416</v>
      </c>
      <c r="P33" s="13">
        <f t="shared" si="50"/>
        <v>12676.096578412147</v>
      </c>
      <c r="Q33" s="6">
        <f t="shared" si="51"/>
        <v>860</v>
      </c>
      <c r="R33" s="59">
        <f t="shared" si="52"/>
        <v>1717.2124756404614</v>
      </c>
      <c r="S33" s="60">
        <f t="shared" si="53"/>
        <v>1224.8025695437232</v>
      </c>
      <c r="T33" s="61">
        <f t="shared" si="54"/>
        <v>1062</v>
      </c>
      <c r="V33" s="24">
        <f t="shared" si="55"/>
        <v>100831.9522761878</v>
      </c>
      <c r="W33" s="13">
        <f t="shared" si="56"/>
        <v>89221.952276187803</v>
      </c>
      <c r="X33" s="77">
        <f t="shared" si="57"/>
        <v>1.1301249267003382</v>
      </c>
      <c r="Y33" s="24">
        <f t="shared" si="40"/>
        <v>42115.238416354237</v>
      </c>
      <c r="Z33" s="13">
        <f t="shared" si="58"/>
        <v>36665.238416354245</v>
      </c>
      <c r="AA33" s="77">
        <f t="shared" si="59"/>
        <v>1.1486421535873352</v>
      </c>
      <c r="AB33" s="24">
        <f t="shared" si="41"/>
        <v>11290.802056158858</v>
      </c>
      <c r="AC33" s="13">
        <f t="shared" si="60"/>
        <v>10430.802056158858</v>
      </c>
      <c r="AD33" s="77">
        <f t="shared" si="61"/>
        <v>1.0824481181187993</v>
      </c>
      <c r="AE33" s="59">
        <f t="shared" si="42"/>
        <v>2265.6101329476814</v>
      </c>
      <c r="AF33" s="60">
        <f t="shared" si="62"/>
        <v>1203.6101329476814</v>
      </c>
      <c r="AG33" s="67">
        <f t="shared" si="63"/>
        <v>1.8823455128274191</v>
      </c>
    </row>
    <row r="34" spans="1:39" x14ac:dyDescent="0.25">
      <c r="A34" s="13">
        <f t="shared" si="39"/>
        <v>0</v>
      </c>
      <c r="B34" s="13">
        <f t="shared" si="39"/>
        <v>0</v>
      </c>
      <c r="C34" s="13" t="str">
        <f t="shared" si="39"/>
        <v>Shales</v>
      </c>
      <c r="D34" s="13">
        <f t="shared" si="39"/>
        <v>24</v>
      </c>
      <c r="I34" s="24">
        <f t="shared" si="43"/>
        <v>284184</v>
      </c>
      <c r="J34" s="13">
        <f t="shared" si="44"/>
        <v>265644.88285945565</v>
      </c>
      <c r="K34" s="6">
        <f t="shared" si="45"/>
        <v>10560</v>
      </c>
      <c r="L34" s="24">
        <f t="shared" si="46"/>
        <v>109512</v>
      </c>
      <c r="M34" s="13">
        <f t="shared" si="47"/>
        <v>101109.94096588017</v>
      </c>
      <c r="N34" s="6">
        <f t="shared" si="48"/>
        <v>4560</v>
      </c>
      <c r="O34" s="24">
        <f t="shared" si="49"/>
        <v>28704</v>
      </c>
      <c r="P34" s="13">
        <f t="shared" si="50"/>
        <v>25972.155713984626</v>
      </c>
      <c r="Q34" s="6">
        <f t="shared" si="51"/>
        <v>940</v>
      </c>
      <c r="R34" s="59">
        <f t="shared" si="52"/>
        <v>3586.1200422027796</v>
      </c>
      <c r="S34" s="60">
        <f t="shared" si="53"/>
        <v>3244.8184275756589</v>
      </c>
      <c r="T34" s="61">
        <f t="shared" si="54"/>
        <v>1504</v>
      </c>
      <c r="V34" s="24">
        <f t="shared" si="55"/>
        <v>111522.0823209688</v>
      </c>
      <c r="W34" s="13">
        <f t="shared" si="56"/>
        <v>100962.0823209688</v>
      </c>
      <c r="X34" s="77">
        <f t="shared" si="57"/>
        <v>1.1045937222890141</v>
      </c>
      <c r="Y34" s="24">
        <f t="shared" si="40"/>
        <v>46627.30300216817</v>
      </c>
      <c r="Z34" s="13">
        <f t="shared" si="58"/>
        <v>42067.303002168162</v>
      </c>
      <c r="AA34" s="77">
        <f t="shared" si="59"/>
        <v>1.1083977263711198</v>
      </c>
      <c r="AB34" s="24">
        <f t="shared" si="41"/>
        <v>13161.568785083846</v>
      </c>
      <c r="AC34" s="13">
        <f t="shared" si="60"/>
        <v>12221.568785083846</v>
      </c>
      <c r="AD34" s="77">
        <f t="shared" si="61"/>
        <v>1.0769132029226272</v>
      </c>
      <c r="AE34" s="59">
        <f t="shared" si="42"/>
        <v>3030.8956510364078</v>
      </c>
      <c r="AF34" s="60">
        <f t="shared" si="62"/>
        <v>1526.895651036408</v>
      </c>
      <c r="AG34" s="67">
        <f t="shared" si="63"/>
        <v>1.9850050977479257</v>
      </c>
      <c r="AK34" s="79">
        <f t="shared" ref="AK34:AK45" si="64">+$X30/X30</f>
        <v>1</v>
      </c>
      <c r="AL34" s="27">
        <f>+$X30/AA30</f>
        <v>0.92884088124781217</v>
      </c>
      <c r="AM34" s="27">
        <f>+$X30/AD30</f>
        <v>0.92555378519272635</v>
      </c>
    </row>
    <row r="35" spans="1:39" x14ac:dyDescent="0.25">
      <c r="A35" s="13">
        <f t="shared" si="39"/>
        <v>0</v>
      </c>
      <c r="B35" s="13" t="str">
        <f t="shared" si="39"/>
        <v>Magmatic rocks</v>
      </c>
      <c r="C35" s="13" t="str">
        <f t="shared" si="39"/>
        <v>Plutonic rocks</v>
      </c>
      <c r="D35" s="13">
        <f t="shared" si="39"/>
        <v>27</v>
      </c>
      <c r="I35" s="24">
        <f t="shared" si="43"/>
        <v>2700</v>
      </c>
      <c r="J35" s="13">
        <f t="shared" si="44"/>
        <v>1384.1344993694897</v>
      </c>
      <c r="K35" s="6">
        <f t="shared" si="45"/>
        <v>5880</v>
      </c>
      <c r="L35" s="24">
        <f t="shared" si="46"/>
        <v>1080</v>
      </c>
      <c r="M35" s="13">
        <f t="shared" si="47"/>
        <v>531.32519748298137</v>
      </c>
      <c r="N35" s="6">
        <f t="shared" si="48"/>
        <v>2740</v>
      </c>
      <c r="O35" s="24">
        <f t="shared" si="49"/>
        <v>297</v>
      </c>
      <c r="P35" s="13">
        <f t="shared" si="50"/>
        <v>138.28751253655813</v>
      </c>
      <c r="Q35" s="6">
        <f t="shared" si="51"/>
        <v>0</v>
      </c>
      <c r="R35" s="59">
        <f t="shared" si="52"/>
        <v>33.371792169478731</v>
      </c>
      <c r="S35" s="60">
        <f t="shared" si="53"/>
        <v>14.309072452933593</v>
      </c>
      <c r="T35" s="61">
        <f t="shared" si="54"/>
        <v>932</v>
      </c>
      <c r="V35" s="24">
        <f t="shared" si="55"/>
        <v>8198.2259785567003</v>
      </c>
      <c r="W35" s="13">
        <f t="shared" si="56"/>
        <v>2318.2259785567003</v>
      </c>
      <c r="X35" s="77">
        <f t="shared" si="57"/>
        <v>3.53642227047288</v>
      </c>
      <c r="Y35" s="24">
        <f t="shared" si="40"/>
        <v>3680.2624817143724</v>
      </c>
      <c r="Z35" s="13">
        <f t="shared" si="58"/>
        <v>940.2624817143726</v>
      </c>
      <c r="AA35" s="77">
        <f t="shared" si="59"/>
        <v>3.914079901395386</v>
      </c>
      <c r="AB35" s="24">
        <f t="shared" si="41"/>
        <v>262.84132832652341</v>
      </c>
      <c r="AC35" s="13">
        <f t="shared" si="60"/>
        <v>262.84132832652341</v>
      </c>
      <c r="AD35" s="77">
        <f t="shared" si="61"/>
        <v>1</v>
      </c>
      <c r="AE35" s="59">
        <f t="shared" si="42"/>
        <v>962.14841551623533</v>
      </c>
      <c r="AF35" s="60">
        <f t="shared" si="62"/>
        <v>30.148415516235325</v>
      </c>
      <c r="AG35" s="67">
        <f t="shared" si="63"/>
        <v>31.913730756367794</v>
      </c>
      <c r="AK35" s="79">
        <f t="shared" si="64"/>
        <v>1</v>
      </c>
      <c r="AL35" s="27">
        <f>+$X31/AA31</f>
        <v>0.98591127619933505</v>
      </c>
      <c r="AM35" s="27">
        <f>+$X31/AD31</f>
        <v>1.0068670179511119</v>
      </c>
    </row>
    <row r="36" spans="1:39" x14ac:dyDescent="0.25">
      <c r="A36" s="13">
        <f t="shared" si="39"/>
        <v>0</v>
      </c>
      <c r="B36" s="13">
        <f t="shared" si="39"/>
        <v>0</v>
      </c>
      <c r="C36" s="13" t="str">
        <f t="shared" si="39"/>
        <v>Volcanic rocks</v>
      </c>
      <c r="D36" s="13">
        <f t="shared" si="39"/>
        <v>27</v>
      </c>
      <c r="I36" s="24">
        <f t="shared" si="43"/>
        <v>2700</v>
      </c>
      <c r="J36" s="13">
        <f t="shared" si="44"/>
        <v>1384.1344993694897</v>
      </c>
      <c r="K36" s="6">
        <f t="shared" si="45"/>
        <v>5880</v>
      </c>
      <c r="L36" s="24">
        <f t="shared" si="46"/>
        <v>1080</v>
      </c>
      <c r="M36" s="13">
        <f t="shared" si="47"/>
        <v>531.32519748298137</v>
      </c>
      <c r="N36" s="6">
        <f t="shared" si="48"/>
        <v>2740</v>
      </c>
      <c r="O36" s="24">
        <f t="shared" si="49"/>
        <v>297</v>
      </c>
      <c r="P36" s="13">
        <f t="shared" si="50"/>
        <v>138.28751253655813</v>
      </c>
      <c r="Q36" s="6">
        <f t="shared" si="51"/>
        <v>0</v>
      </c>
      <c r="R36" s="59">
        <f t="shared" si="52"/>
        <v>33.371792169478731</v>
      </c>
      <c r="S36" s="60">
        <f t="shared" si="53"/>
        <v>14.309072452933593</v>
      </c>
      <c r="T36" s="61">
        <f t="shared" si="54"/>
        <v>932</v>
      </c>
      <c r="V36" s="24">
        <f t="shared" si="55"/>
        <v>8198.2259785567003</v>
      </c>
      <c r="W36" s="13">
        <f t="shared" si="56"/>
        <v>2318.2259785567003</v>
      </c>
      <c r="X36" s="77">
        <f t="shared" si="57"/>
        <v>3.53642227047288</v>
      </c>
      <c r="Y36" s="24">
        <f t="shared" si="40"/>
        <v>3680.2624817143724</v>
      </c>
      <c r="Z36" s="13">
        <f t="shared" si="58"/>
        <v>940.2624817143726</v>
      </c>
      <c r="AA36" s="77">
        <f t="shared" si="59"/>
        <v>3.914079901395386</v>
      </c>
      <c r="AB36" s="24">
        <f t="shared" si="41"/>
        <v>262.84132832652341</v>
      </c>
      <c r="AC36" s="13">
        <f t="shared" si="60"/>
        <v>262.84132832652341</v>
      </c>
      <c r="AD36" s="77">
        <f t="shared" si="61"/>
        <v>1</v>
      </c>
      <c r="AE36" s="59">
        <f t="shared" si="42"/>
        <v>962.14841551623533</v>
      </c>
      <c r="AF36" s="60">
        <f t="shared" si="62"/>
        <v>30.148415516235325</v>
      </c>
      <c r="AG36" s="67">
        <f t="shared" si="63"/>
        <v>31.913730756367794</v>
      </c>
      <c r="AK36" s="79">
        <f t="shared" si="64"/>
        <v>1</v>
      </c>
      <c r="AL36" s="27">
        <f>+$X32/AA32</f>
        <v>1.0109198397972949</v>
      </c>
      <c r="AM36" s="27">
        <f>+$X32/AD32</f>
        <v>1.0495860676449917</v>
      </c>
    </row>
    <row r="37" spans="1:39" x14ac:dyDescent="0.25">
      <c r="A37" s="13">
        <f t="shared" si="39"/>
        <v>0</v>
      </c>
      <c r="B37" s="13" t="str">
        <f t="shared" si="39"/>
        <v>Metamorphic rocks</v>
      </c>
      <c r="C37" s="13" t="str">
        <f t="shared" si="39"/>
        <v>Gneiss</v>
      </c>
      <c r="D37" s="13">
        <f t="shared" si="39"/>
        <v>27</v>
      </c>
      <c r="I37" s="24">
        <f t="shared" si="43"/>
        <v>2376</v>
      </c>
      <c r="J37" s="13">
        <f t="shared" si="44"/>
        <v>1107.4009357744417</v>
      </c>
      <c r="K37" s="6">
        <f t="shared" si="45"/>
        <v>7020</v>
      </c>
      <c r="L37" s="24">
        <f t="shared" si="46"/>
        <v>972</v>
      </c>
      <c r="M37" s="13">
        <f t="shared" si="47"/>
        <v>434.00789198910502</v>
      </c>
      <c r="N37" s="6">
        <f t="shared" si="48"/>
        <v>3270</v>
      </c>
      <c r="O37" s="24">
        <f t="shared" si="49"/>
        <v>270</v>
      </c>
      <c r="P37" s="13">
        <f t="shared" si="50"/>
        <v>113.89334350697351</v>
      </c>
      <c r="Q37" s="6">
        <f t="shared" si="51"/>
        <v>0</v>
      </c>
      <c r="R37" s="59">
        <f t="shared" si="52"/>
        <v>29.571094805858763</v>
      </c>
      <c r="S37" s="60">
        <f t="shared" si="53"/>
        <v>11.464017826434979</v>
      </c>
      <c r="T37" s="61">
        <f t="shared" si="54"/>
        <v>1116</v>
      </c>
      <c r="V37" s="24">
        <f t="shared" si="55"/>
        <v>9122.1510810229338</v>
      </c>
      <c r="W37" s="13">
        <f t="shared" si="56"/>
        <v>2102.1510810229342</v>
      </c>
      <c r="X37" s="77">
        <f t="shared" si="57"/>
        <v>4.3394364769367462</v>
      </c>
      <c r="Y37" s="24">
        <f t="shared" si="40"/>
        <v>4139.7247551330092</v>
      </c>
      <c r="Z37" s="13">
        <f t="shared" si="58"/>
        <v>869.72475513300947</v>
      </c>
      <c r="AA37" s="77">
        <f t="shared" si="59"/>
        <v>4.759810193628339</v>
      </c>
      <c r="AB37" s="24">
        <f t="shared" si="41"/>
        <v>244.8025863932049</v>
      </c>
      <c r="AC37" s="13">
        <f t="shared" si="60"/>
        <v>244.80258639320488</v>
      </c>
      <c r="AD37" s="77">
        <f t="shared" si="61"/>
        <v>1.0000000000000002</v>
      </c>
      <c r="AE37" s="59">
        <f t="shared" si="42"/>
        <v>1143.2585022202663</v>
      </c>
      <c r="AF37" s="60">
        <f t="shared" si="62"/>
        <v>27.258502220266397</v>
      </c>
      <c r="AG37" s="67">
        <f t="shared" si="63"/>
        <v>41.941354406856078</v>
      </c>
      <c r="AK37" s="79">
        <f t="shared" si="64"/>
        <v>1</v>
      </c>
      <c r="AL37" s="27">
        <f>+$X33/AA33</f>
        <v>0.98387902896549129</v>
      </c>
      <c r="AM37" s="27">
        <f>+$X33/AD33</f>
        <v>1.0440453521822339</v>
      </c>
    </row>
    <row r="38" spans="1:39" x14ac:dyDescent="0.25">
      <c r="A38" s="13">
        <f t="shared" si="39"/>
        <v>0</v>
      </c>
      <c r="B38" s="13">
        <f t="shared" si="39"/>
        <v>0</v>
      </c>
      <c r="C38" s="13" t="str">
        <f t="shared" si="39"/>
        <v>Marbles</v>
      </c>
      <c r="D38" s="13">
        <f t="shared" si="39"/>
        <v>27</v>
      </c>
      <c r="I38" s="24">
        <f t="shared" si="43"/>
        <v>4320</v>
      </c>
      <c r="J38" s="13">
        <f t="shared" si="44"/>
        <v>2984.0668660107049</v>
      </c>
      <c r="K38" s="6">
        <f t="shared" si="45"/>
        <v>2560</v>
      </c>
      <c r="L38" s="24">
        <f t="shared" si="46"/>
        <v>1701</v>
      </c>
      <c r="M38" s="13">
        <f t="shared" si="47"/>
        <v>1135.0990137426843</v>
      </c>
      <c r="N38" s="6">
        <f t="shared" si="48"/>
        <v>1160</v>
      </c>
      <c r="O38" s="24">
        <f t="shared" si="49"/>
        <v>486</v>
      </c>
      <c r="P38" s="13">
        <f t="shared" si="50"/>
        <v>308.93761814862103</v>
      </c>
      <c r="Q38" s="6">
        <f t="shared" si="51"/>
        <v>0</v>
      </c>
      <c r="R38" s="59">
        <f t="shared" si="52"/>
        <v>50.991332314496589</v>
      </c>
      <c r="S38" s="60">
        <f t="shared" si="53"/>
        <v>29.93594181453842</v>
      </c>
      <c r="T38" s="61">
        <f t="shared" si="54"/>
        <v>360</v>
      </c>
      <c r="V38" s="24">
        <f t="shared" si="55"/>
        <v>5683.7389358230703</v>
      </c>
      <c r="W38" s="13">
        <f t="shared" si="56"/>
        <v>3123.7389358230707</v>
      </c>
      <c r="X38" s="77">
        <f t="shared" si="57"/>
        <v>1.8195307138640469</v>
      </c>
      <c r="Y38" s="24">
        <f t="shared" si="40"/>
        <v>2426.8666974075786</v>
      </c>
      <c r="Z38" s="13">
        <f t="shared" si="58"/>
        <v>1266.8666974075786</v>
      </c>
      <c r="AA38" s="77">
        <f t="shared" si="59"/>
        <v>1.915644875955566</v>
      </c>
      <c r="AB38" s="24">
        <f t="shared" si="41"/>
        <v>375.17135830531743</v>
      </c>
      <c r="AC38" s="13">
        <f t="shared" si="60"/>
        <v>375.17135830531737</v>
      </c>
      <c r="AD38" s="77">
        <f t="shared" si="61"/>
        <v>1.0000000000000002</v>
      </c>
      <c r="AE38" s="59">
        <f t="shared" si="42"/>
        <v>401.27899416027469</v>
      </c>
      <c r="AF38" s="60">
        <f t="shared" si="62"/>
        <v>41.278994160274713</v>
      </c>
      <c r="AG38" s="67">
        <f t="shared" si="63"/>
        <v>9.7211427342977714</v>
      </c>
      <c r="AK38" s="79">
        <f t="shared" si="64"/>
        <v>1</v>
      </c>
      <c r="AL38" s="27">
        <f>+$X34/AA34</f>
        <v>0.99656801526058703</v>
      </c>
      <c r="AM38" s="27">
        <f>+$X34/AD34</f>
        <v>1.0257035750803918</v>
      </c>
    </row>
    <row r="39" spans="1:39" x14ac:dyDescent="0.25">
      <c r="A39" s="13">
        <f t="shared" si="39"/>
        <v>0</v>
      </c>
      <c r="B39" s="13">
        <f t="shared" si="39"/>
        <v>0</v>
      </c>
      <c r="C39" s="13" t="str">
        <f t="shared" si="39"/>
        <v>Phyllites</v>
      </c>
      <c r="D39" s="13">
        <f t="shared" si="39"/>
        <v>27</v>
      </c>
      <c r="I39" s="24">
        <f t="shared" si="43"/>
        <v>40581</v>
      </c>
      <c r="J39" s="13">
        <f t="shared" si="44"/>
        <v>30351.096252183175</v>
      </c>
      <c r="K39" s="6">
        <f t="shared" si="45"/>
        <v>8500</v>
      </c>
      <c r="L39" s="24">
        <f t="shared" si="46"/>
        <v>15957</v>
      </c>
      <c r="M39" s="13">
        <f t="shared" si="47"/>
        <v>11555.610392957669</v>
      </c>
      <c r="N39" s="6">
        <f t="shared" si="48"/>
        <v>4500</v>
      </c>
      <c r="O39" s="24">
        <f t="shared" si="49"/>
        <v>4320</v>
      </c>
      <c r="P39" s="13">
        <f t="shared" si="50"/>
        <v>2984.0668660107049</v>
      </c>
      <c r="Q39" s="6">
        <f t="shared" si="51"/>
        <v>1280</v>
      </c>
      <c r="R39" s="59">
        <f t="shared" si="52"/>
        <v>463.1947678350698</v>
      </c>
      <c r="S39" s="60">
        <f t="shared" si="53"/>
        <v>294.44092245652251</v>
      </c>
      <c r="T39" s="61">
        <f t="shared" si="54"/>
        <v>1030</v>
      </c>
      <c r="V39" s="24">
        <f t="shared" si="55"/>
        <v>35437.492780337081</v>
      </c>
      <c r="W39" s="13">
        <f t="shared" si="56"/>
        <v>26937.492780337081</v>
      </c>
      <c r="X39" s="77">
        <f t="shared" si="57"/>
        <v>1.3155453281904745</v>
      </c>
      <c r="Y39" s="24">
        <f t="shared" si="40"/>
        <v>15504.259059390084</v>
      </c>
      <c r="Z39" s="13">
        <f t="shared" si="58"/>
        <v>11004.259059390082</v>
      </c>
      <c r="AA39" s="77">
        <f t="shared" si="59"/>
        <v>1.4089325756248978</v>
      </c>
      <c r="AB39" s="24">
        <f t="shared" si="41"/>
        <v>4403.7389358230703</v>
      </c>
      <c r="AC39" s="13">
        <f t="shared" si="60"/>
        <v>3123.7389358230707</v>
      </c>
      <c r="AD39" s="77">
        <f t="shared" si="61"/>
        <v>1.4097653569320234</v>
      </c>
      <c r="AE39" s="59">
        <f t="shared" si="42"/>
        <v>1387.566687672015</v>
      </c>
      <c r="AF39" s="60">
        <f t="shared" si="62"/>
        <v>357.56668767201495</v>
      </c>
      <c r="AG39" s="67">
        <f t="shared" si="63"/>
        <v>3.8805815404839605</v>
      </c>
      <c r="AK39" s="79">
        <f t="shared" si="64"/>
        <v>1</v>
      </c>
      <c r="AL39" s="27"/>
      <c r="AM39" s="27"/>
    </row>
    <row r="40" spans="1:39" x14ac:dyDescent="0.25">
      <c r="A40" s="13">
        <f t="shared" si="39"/>
        <v>0</v>
      </c>
      <c r="B40" s="13">
        <f t="shared" si="39"/>
        <v>0</v>
      </c>
      <c r="C40" s="13" t="str">
        <f t="shared" si="39"/>
        <v>Quartzites</v>
      </c>
      <c r="D40" s="13">
        <f t="shared" si="39"/>
        <v>27</v>
      </c>
      <c r="I40" s="24">
        <f t="shared" si="43"/>
        <v>23355</v>
      </c>
      <c r="J40" s="13">
        <f t="shared" si="44"/>
        <v>12706.36715296787</v>
      </c>
      <c r="K40" s="6">
        <f t="shared" si="45"/>
        <v>13350</v>
      </c>
      <c r="L40" s="24">
        <f t="shared" si="46"/>
        <v>9288</v>
      </c>
      <c r="M40" s="13">
        <f t="shared" si="47"/>
        <v>4843.2877728062749</v>
      </c>
      <c r="N40" s="6">
        <f t="shared" si="48"/>
        <v>8120</v>
      </c>
      <c r="O40" s="24">
        <f t="shared" si="49"/>
        <v>2565</v>
      </c>
      <c r="P40" s="13">
        <f t="shared" si="50"/>
        <v>1261.8973440220809</v>
      </c>
      <c r="Q40" s="6">
        <f t="shared" si="51"/>
        <v>0</v>
      </c>
      <c r="R40" s="59">
        <f t="shared" si="52"/>
        <v>282.6620526371305</v>
      </c>
      <c r="S40" s="60">
        <f t="shared" si="53"/>
        <v>126.91727582867239</v>
      </c>
      <c r="T40" s="61">
        <f t="shared" si="54"/>
        <v>2592</v>
      </c>
      <c r="V40" s="24">
        <f t="shared" si="55"/>
        <v>32946.026606788917</v>
      </c>
      <c r="W40" s="13">
        <f t="shared" si="56"/>
        <v>19596.026606788917</v>
      </c>
      <c r="X40" s="77">
        <f t="shared" si="57"/>
        <v>1.6812605569424457</v>
      </c>
      <c r="Y40" s="24">
        <f t="shared" si="40"/>
        <v>16045.244952036828</v>
      </c>
      <c r="Z40" s="13">
        <f t="shared" si="58"/>
        <v>7925.2449520368282</v>
      </c>
      <c r="AA40" s="77">
        <f t="shared" si="59"/>
        <v>2.0245740099065479</v>
      </c>
      <c r="AB40" s="24">
        <f t="shared" si="41"/>
        <v>2233.1233940716347</v>
      </c>
      <c r="AC40" s="13">
        <f t="shared" si="60"/>
        <v>2233.1233940716347</v>
      </c>
      <c r="AD40" s="77">
        <f t="shared" si="61"/>
        <v>1</v>
      </c>
      <c r="AE40" s="59">
        <f t="shared" si="42"/>
        <v>2844.566508265179</v>
      </c>
      <c r="AF40" s="60">
        <f t="shared" si="62"/>
        <v>252.56650826517878</v>
      </c>
      <c r="AG40" s="67">
        <f t="shared" si="63"/>
        <v>11.26264336393551</v>
      </c>
      <c r="AK40" s="79">
        <f t="shared" si="64"/>
        <v>1</v>
      </c>
      <c r="AL40" s="27"/>
      <c r="AM40" s="27"/>
    </row>
    <row r="41" spans="1:39" x14ac:dyDescent="0.25">
      <c r="A41" s="13">
        <f t="shared" si="39"/>
        <v>0</v>
      </c>
      <c r="B41" s="13">
        <f t="shared" si="39"/>
        <v>0</v>
      </c>
      <c r="C41" s="13" t="str">
        <f t="shared" si="39"/>
        <v>Schists</v>
      </c>
      <c r="D41" s="13">
        <f t="shared" si="39"/>
        <v>24</v>
      </c>
      <c r="I41" s="24">
        <f t="shared" si="43"/>
        <v>221640</v>
      </c>
      <c r="J41" s="13">
        <f t="shared" si="44"/>
        <v>199242.615725393</v>
      </c>
      <c r="K41" s="6">
        <f t="shared" si="45"/>
        <v>10920</v>
      </c>
      <c r="L41" s="24">
        <f t="shared" si="46"/>
        <v>85776</v>
      </c>
      <c r="M41" s="13">
        <f t="shared" si="47"/>
        <v>75749.764780530561</v>
      </c>
      <c r="N41" s="6">
        <f t="shared" si="48"/>
        <v>4260</v>
      </c>
      <c r="O41" s="24">
        <f t="shared" si="49"/>
        <v>22584</v>
      </c>
      <c r="P41" s="13">
        <f t="shared" si="50"/>
        <v>19384.607776284167</v>
      </c>
      <c r="Q41" s="6">
        <f t="shared" si="51"/>
        <v>1140</v>
      </c>
      <c r="R41" s="59">
        <f t="shared" si="52"/>
        <v>2329.4774601790746</v>
      </c>
      <c r="S41" s="60">
        <f t="shared" si="53"/>
        <v>1886.4968248511489</v>
      </c>
      <c r="T41" s="61">
        <f t="shared" si="54"/>
        <v>858</v>
      </c>
      <c r="V41" s="24">
        <f t="shared" si="55"/>
        <v>108011.03809777387</v>
      </c>
      <c r="W41" s="13">
        <f t="shared" si="56"/>
        <v>97091.038097773853</v>
      </c>
      <c r="X41" s="77">
        <f t="shared" si="57"/>
        <v>1.112471760668613</v>
      </c>
      <c r="Y41" s="24">
        <f t="shared" si="40"/>
        <v>44502.953565739816</v>
      </c>
      <c r="Z41" s="13">
        <f t="shared" si="58"/>
        <v>40242.953565739823</v>
      </c>
      <c r="AA41" s="77">
        <f t="shared" si="59"/>
        <v>1.1058570413585815</v>
      </c>
      <c r="AB41" s="24">
        <f t="shared" si="41"/>
        <v>12727.667468460744</v>
      </c>
      <c r="AC41" s="13">
        <f t="shared" si="60"/>
        <v>11587.667468460744</v>
      </c>
      <c r="AD41" s="77">
        <f t="shared" si="61"/>
        <v>1.098380455178132</v>
      </c>
      <c r="AE41" s="59">
        <f t="shared" si="42"/>
        <v>2224.5997831511927</v>
      </c>
      <c r="AF41" s="60">
        <f t="shared" si="62"/>
        <v>1366.5997831511925</v>
      </c>
      <c r="AG41" s="67">
        <f t="shared" si="63"/>
        <v>1.6278356037943817</v>
      </c>
      <c r="AK41" s="79">
        <f t="shared" si="64"/>
        <v>1</v>
      </c>
      <c r="AL41" s="27"/>
      <c r="AM41" s="27"/>
    </row>
    <row r="42" spans="1:39" ht="15.75" thickBot="1" x14ac:dyDescent="0.3">
      <c r="R42" s="65"/>
      <c r="S42" s="65"/>
      <c r="T42" s="65"/>
      <c r="AE42" s="65"/>
      <c r="AF42" s="65"/>
      <c r="AG42" s="65"/>
      <c r="AK42" s="79">
        <f t="shared" si="64"/>
        <v>1</v>
      </c>
      <c r="AL42" s="27"/>
      <c r="AM42" s="27"/>
    </row>
    <row r="43" spans="1:39" x14ac:dyDescent="0.25">
      <c r="J43" s="28">
        <f>+K43/$K43</f>
        <v>1</v>
      </c>
      <c r="K43" s="28">
        <f>+K2*1000</f>
        <v>162</v>
      </c>
      <c r="M43" s="28">
        <f>+N43/$K43</f>
        <v>0.88271604938271608</v>
      </c>
      <c r="N43" s="28">
        <f>+N2*1000</f>
        <v>143</v>
      </c>
      <c r="P43" s="28">
        <f>+Q43/$K43</f>
        <v>0.7592592592592593</v>
      </c>
      <c r="Q43" s="28">
        <f>+Q2*1000</f>
        <v>123</v>
      </c>
      <c r="R43" s="65"/>
      <c r="S43" s="66">
        <f>+T43/$K43</f>
        <v>0.62345679012345678</v>
      </c>
      <c r="T43" s="66">
        <f>+T2*1000</f>
        <v>101</v>
      </c>
      <c r="V43" s="12" t="s">
        <v>64</v>
      </c>
      <c r="W43" s="12" t="s">
        <v>63</v>
      </c>
      <c r="X43" s="5" t="s">
        <v>62</v>
      </c>
      <c r="Y43" s="12" t="s">
        <v>64</v>
      </c>
      <c r="Z43" s="12" t="s">
        <v>63</v>
      </c>
      <c r="AA43" s="5" t="s">
        <v>62</v>
      </c>
      <c r="AB43" s="12" t="s">
        <v>64</v>
      </c>
      <c r="AC43" s="12" t="s">
        <v>63</v>
      </c>
      <c r="AD43" s="5" t="s">
        <v>62</v>
      </c>
      <c r="AE43" s="68" t="s">
        <v>64</v>
      </c>
      <c r="AF43" s="68" t="s">
        <v>63</v>
      </c>
      <c r="AG43" s="58" t="s">
        <v>62</v>
      </c>
      <c r="AI43" s="58" t="s">
        <v>100</v>
      </c>
      <c r="AK43" s="79">
        <f t="shared" si="64"/>
        <v>1</v>
      </c>
      <c r="AL43" s="27">
        <f>+$X39/AA39</f>
        <v>0.93371773138753378</v>
      </c>
      <c r="AM43" s="27">
        <f>+$X39/AD39</f>
        <v>0.9331661625260862</v>
      </c>
    </row>
    <row r="44" spans="1:39" x14ac:dyDescent="0.25">
      <c r="A44" s="48" t="s">
        <v>81</v>
      </c>
      <c r="B44" s="17"/>
      <c r="J44" s="28">
        <f t="shared" ref="J44:J54" si="65">+K44/$K44</f>
        <v>1</v>
      </c>
      <c r="K44" s="28">
        <f t="shared" ref="K44:K54" si="66">+K3*1000</f>
        <v>93</v>
      </c>
      <c r="M44" s="28">
        <f t="shared" ref="M44:M54" si="67">+N44/$K44</f>
        <v>0.87096774193548387</v>
      </c>
      <c r="N44" s="28">
        <f t="shared" ref="N44:N54" si="68">+N3*1000</f>
        <v>81</v>
      </c>
      <c r="P44" s="28">
        <f t="shared" ref="P44:P54" si="69">+Q44/$K44</f>
        <v>0.73118279569892475</v>
      </c>
      <c r="Q44" s="28">
        <f t="shared" ref="Q44:Q54" si="70">+Q3*1000</f>
        <v>68</v>
      </c>
      <c r="R44" s="65"/>
      <c r="S44" s="66">
        <f t="shared" ref="S44:S54" si="71">+T44/$K44</f>
        <v>0.55913978494623651</v>
      </c>
      <c r="T44" s="66">
        <f t="shared" ref="T44:T54" si="72">+T3*1000</f>
        <v>52</v>
      </c>
      <c r="V44" s="46">
        <f>+(W44)^(1/3)</f>
        <v>11.378154081201652</v>
      </c>
      <c r="W44" s="27">
        <f>+(I2*J16/2)*I2/3</f>
        <v>1473.0430245036134</v>
      </c>
      <c r="X44" s="26">
        <f>+IF(X30&lt;1,"",(X30-1)*SIN(RADIANS(J2)))</f>
        <v>0.22804054054054052</v>
      </c>
      <c r="Y44" s="46">
        <f>+(Z44)^(1/3)</f>
        <v>8.3368770785825657</v>
      </c>
      <c r="Z44" s="27">
        <f>+(L2*M16/2)*L2/3</f>
        <v>579.44229796172351</v>
      </c>
      <c r="AA44" s="26">
        <f>+IF(AA30&lt;1,"",(AA30-1)*SIN(RADIANS(M2)))</f>
        <v>0.30818965517241392</v>
      </c>
      <c r="AB44" s="46">
        <f>+(AC44)^(1/3)</f>
        <v>5.3871927507303612</v>
      </c>
      <c r="AC44" s="27">
        <f>+(O2*P16/2)*O2/3</f>
        <v>156.3462769484432</v>
      </c>
      <c r="AD44" s="26">
        <f>+IF(AD30&lt;1,"",(AD30-1)*SIN(RADIANS(P2)))</f>
        <v>0.32643312101910826</v>
      </c>
      <c r="AE44" s="69">
        <f>+(AF44)^(1/3)</f>
        <v>2.5653461402978124</v>
      </c>
      <c r="AF44" s="70">
        <f>+(R2*S16/2)*R2/3</f>
        <v>16.88254505170595</v>
      </c>
      <c r="AG44" s="67">
        <f>+IF(AG30&lt;1,"",(AG30-1)*SIN(RADIANS(S2)))</f>
        <v>2.4927126333408416</v>
      </c>
      <c r="AI44" s="67">
        <f>+AVERAGE(X44,AA44,AD44)</f>
        <v>0.2875544389106876</v>
      </c>
      <c r="AK44" s="79">
        <f t="shared" si="64"/>
        <v>1</v>
      </c>
      <c r="AL44" s="27">
        <f>+$X40/AA40</f>
        <v>0.83042682002030188</v>
      </c>
      <c r="AM44" s="27">
        <f>+$X40/AD40</f>
        <v>1.6812605569424457</v>
      </c>
    </row>
    <row r="45" spans="1:39" x14ac:dyDescent="0.25">
      <c r="A45" s="17"/>
      <c r="B45" s="13">
        <v>0.41</v>
      </c>
      <c r="J45" s="28">
        <f t="shared" si="65"/>
        <v>1</v>
      </c>
      <c r="K45" s="28">
        <f t="shared" si="66"/>
        <v>141</v>
      </c>
      <c r="M45" s="28">
        <f t="shared" si="67"/>
        <v>0.84397163120567376</v>
      </c>
      <c r="N45" s="28">
        <f t="shared" si="68"/>
        <v>119</v>
      </c>
      <c r="P45" s="28">
        <f t="shared" si="69"/>
        <v>0.65957446808510634</v>
      </c>
      <c r="Q45" s="28">
        <f t="shared" si="70"/>
        <v>93</v>
      </c>
      <c r="R45" s="65"/>
      <c r="S45" s="66">
        <f t="shared" si="71"/>
        <v>0.43971631205673761</v>
      </c>
      <c r="T45" s="66">
        <f t="shared" si="72"/>
        <v>62</v>
      </c>
      <c r="V45" s="46">
        <f t="shared" ref="V45:V55" si="73">+(W45)^(1/3)</f>
        <v>21.225822026647119</v>
      </c>
      <c r="W45" s="27">
        <f t="shared" ref="W45:W55" si="74">+(I3*J17/2)*I3/3</f>
        <v>9562.9867792074128</v>
      </c>
      <c r="X45" s="26">
        <f t="shared" ref="X45:X55" si="75">+IF(X31&lt;1,"",(X31-1)*SIN(RADIANS(J3)))</f>
        <v>5.2676984209975929E-2</v>
      </c>
      <c r="Y45" s="46">
        <f t="shared" ref="Y45:Y55" si="76">+(Z45)^(1/3)</f>
        <v>15.478327050994363</v>
      </c>
      <c r="Z45" s="27">
        <f t="shared" ref="Z45:Z55" si="77">+(L3*M17/2)*L3/3</f>
        <v>3708.2760536514597</v>
      </c>
      <c r="AA45" s="26">
        <f t="shared" ref="AA45:AA55" si="78">+IF(AA31&lt;1,"",(AA31-1)*SIN(RADIANS(M3)))</f>
        <v>6.3696414127797238E-2</v>
      </c>
      <c r="AB45" s="46">
        <f t="shared" ref="AB45:AB55" si="79">+(AC45)^(1/3)</f>
        <v>9.9335457317133713</v>
      </c>
      <c r="AC45" s="27">
        <f t="shared" ref="AC45:AC55" si="80">+(O3*P17/2)*O3/3</f>
        <v>980.19591113388651</v>
      </c>
      <c r="AD45" s="26">
        <f t="shared" ref="AD45:AD55" si="81">+IF(AD31&lt;1,"",(AD31-1)*SIN(RADIANS(P3)))</f>
        <v>5.7764186204553168E-2</v>
      </c>
      <c r="AE45" s="69">
        <f t="shared" ref="AE45:AE55" si="82">+(AF45)^(1/3)</f>
        <v>4.6746556360945375</v>
      </c>
      <c r="AF45" s="70">
        <f t="shared" ref="AF45:AF55" si="83">+(R3*S17/2)*R3/3</f>
        <v>102.15246967299088</v>
      </c>
      <c r="AG45" s="67">
        <f t="shared" ref="AG45:AG55" si="84">+IF(AG31&lt;1,"",(AG31-1)*SIN(RADIANS(S3)))</f>
        <v>0.46662275341219417</v>
      </c>
      <c r="AI45" s="67">
        <f t="shared" ref="AI45:AI55" si="85">+AVERAGE(X45,AA45,AD45)</f>
        <v>5.8045861514108781E-2</v>
      </c>
      <c r="AK45" s="79">
        <f t="shared" si="64"/>
        <v>1</v>
      </c>
      <c r="AL45" s="27">
        <f>+$X41/AA41</f>
        <v>1.0059815320268748</v>
      </c>
      <c r="AM45" s="27">
        <f>+$X41/AD41</f>
        <v>1.0128291662729885</v>
      </c>
    </row>
    <row r="46" spans="1:39" x14ac:dyDescent="0.25">
      <c r="A46" s="17"/>
      <c r="B46" s="13">
        <v>0.45</v>
      </c>
      <c r="J46" s="28">
        <f t="shared" si="65"/>
        <v>1</v>
      </c>
      <c r="K46" s="28">
        <f t="shared" si="66"/>
        <v>129</v>
      </c>
      <c r="M46" s="28">
        <f t="shared" si="67"/>
        <v>0.84496124031007747</v>
      </c>
      <c r="N46" s="28">
        <f t="shared" si="68"/>
        <v>109</v>
      </c>
      <c r="P46" s="28">
        <f t="shared" si="69"/>
        <v>0.66666666666666663</v>
      </c>
      <c r="Q46" s="28">
        <f t="shared" si="70"/>
        <v>86</v>
      </c>
      <c r="R46" s="65"/>
      <c r="S46" s="66">
        <f t="shared" si="71"/>
        <v>0.4573643410852713</v>
      </c>
      <c r="T46" s="66">
        <f t="shared" si="72"/>
        <v>59</v>
      </c>
      <c r="V46" s="46">
        <f t="shared" si="73"/>
        <v>18.195439676453429</v>
      </c>
      <c r="W46" s="27">
        <f t="shared" si="74"/>
        <v>6024.037450682149</v>
      </c>
      <c r="X46" s="26">
        <f t="shared" si="75"/>
        <v>8.7759336099585042E-2</v>
      </c>
      <c r="Y46" s="46">
        <f t="shared" si="76"/>
        <v>13.29864746364262</v>
      </c>
      <c r="Z46" s="27">
        <f t="shared" si="77"/>
        <v>2351.9193225200042</v>
      </c>
      <c r="AA46" s="26">
        <f t="shared" si="78"/>
        <v>8.4325396825396984E-2</v>
      </c>
      <c r="AB46" s="46">
        <f t="shared" si="79"/>
        <v>8.5546043555616507</v>
      </c>
      <c r="AC46" s="27">
        <f t="shared" si="80"/>
        <v>626.03668858726121</v>
      </c>
      <c r="AD46" s="26">
        <f t="shared" si="81"/>
        <v>6.1802232854864386E-2</v>
      </c>
      <c r="AE46" s="69">
        <f t="shared" si="82"/>
        <v>4.0342742264348388</v>
      </c>
      <c r="AF46" s="70">
        <f t="shared" si="83"/>
        <v>65.659299802753083</v>
      </c>
      <c r="AG46" s="67">
        <f t="shared" si="84"/>
        <v>0.62951224666578331</v>
      </c>
      <c r="AI46" s="67">
        <f t="shared" si="85"/>
        <v>7.7962321926615466E-2</v>
      </c>
      <c r="AK46" s="79"/>
    </row>
    <row r="47" spans="1:39" x14ac:dyDescent="0.25">
      <c r="A47" s="17"/>
      <c r="B47" s="13">
        <v>0.51</v>
      </c>
      <c r="J47" s="28">
        <f t="shared" si="65"/>
        <v>1</v>
      </c>
      <c r="K47" s="28">
        <f t="shared" si="66"/>
        <v>66</v>
      </c>
      <c r="M47" s="28">
        <f t="shared" si="67"/>
        <v>0.86363636363636365</v>
      </c>
      <c r="N47" s="28">
        <f t="shared" si="68"/>
        <v>57</v>
      </c>
      <c r="P47" s="28">
        <f t="shared" si="69"/>
        <v>0.71212121212121215</v>
      </c>
      <c r="Q47" s="28">
        <f t="shared" si="70"/>
        <v>47</v>
      </c>
      <c r="R47" s="65"/>
      <c r="S47" s="66">
        <f t="shared" si="71"/>
        <v>0.71212121212121215</v>
      </c>
      <c r="T47" s="66">
        <f t="shared" si="72"/>
        <v>47</v>
      </c>
      <c r="V47" s="46">
        <f t="shared" si="73"/>
        <v>18.754698251642555</v>
      </c>
      <c r="W47" s="27">
        <f t="shared" si="74"/>
        <v>6596.7533040212002</v>
      </c>
      <c r="X47" s="26">
        <f t="shared" si="75"/>
        <v>7.3328785811732647E-2</v>
      </c>
      <c r="Y47" s="46">
        <f t="shared" si="76"/>
        <v>13.699760024485723</v>
      </c>
      <c r="Z47" s="27">
        <f t="shared" si="77"/>
        <v>2571.2178793540406</v>
      </c>
      <c r="AA47" s="26">
        <f t="shared" si="78"/>
        <v>8.8290565059616244E-2</v>
      </c>
      <c r="AB47" s="46">
        <f t="shared" si="79"/>
        <v>8.8090712107053264</v>
      </c>
      <c r="AC47" s="27">
        <f t="shared" si="80"/>
        <v>683.58159679070411</v>
      </c>
      <c r="AD47" s="26">
        <f t="shared" si="81"/>
        <v>5.2387914230019476E-2</v>
      </c>
      <c r="AE47" s="69">
        <f t="shared" si="82"/>
        <v>4.151492564562882</v>
      </c>
      <c r="AF47" s="70">
        <f t="shared" si="83"/>
        <v>71.550519818352555</v>
      </c>
      <c r="AG47" s="67">
        <f t="shared" si="84"/>
        <v>0.61844414425414096</v>
      </c>
      <c r="AI47" s="67">
        <f t="shared" si="85"/>
        <v>7.1335755033789458E-2</v>
      </c>
      <c r="AL47" s="27">
        <f>+AVERAGE(AL34:AL45)</f>
        <v>0.95953064061315385</v>
      </c>
      <c r="AM47" s="27">
        <f>+AVERAGE(AM34:AM45)</f>
        <v>1.0848764604741221</v>
      </c>
    </row>
    <row r="48" spans="1:39" x14ac:dyDescent="0.25">
      <c r="A48" s="17"/>
      <c r="B48" s="13">
        <v>0.19</v>
      </c>
      <c r="J48" s="28">
        <f t="shared" si="65"/>
        <v>1</v>
      </c>
      <c r="K48" s="28">
        <f t="shared" si="66"/>
        <v>294</v>
      </c>
      <c r="M48" s="28">
        <f t="shared" si="67"/>
        <v>0.93197278911564629</v>
      </c>
      <c r="N48" s="28">
        <f t="shared" si="68"/>
        <v>274</v>
      </c>
      <c r="P48" s="28">
        <f t="shared" si="69"/>
        <v>0.86054421768707479</v>
      </c>
      <c r="Q48" s="28">
        <f t="shared" si="70"/>
        <v>253</v>
      </c>
      <c r="R48" s="65"/>
      <c r="S48" s="66">
        <f t="shared" si="71"/>
        <v>0.79251700680272108</v>
      </c>
      <c r="T48" s="66">
        <f t="shared" si="72"/>
        <v>233</v>
      </c>
      <c r="V48" s="46">
        <f t="shared" si="73"/>
        <v>22.792146252015034</v>
      </c>
      <c r="W48" s="27">
        <f t="shared" si="74"/>
        <v>11840.108141462899</v>
      </c>
      <c r="X48" s="26">
        <f t="shared" si="75"/>
        <v>3.7159023731103753E-2</v>
      </c>
      <c r="Y48" s="46">
        <f t="shared" si="76"/>
        <v>16.586261073433736</v>
      </c>
      <c r="Z48" s="27">
        <f t="shared" si="77"/>
        <v>4562.9477017464087</v>
      </c>
      <c r="AA48" s="26">
        <f t="shared" si="78"/>
        <v>4.1639272408503271E-2</v>
      </c>
      <c r="AB48" s="46">
        <f t="shared" si="79"/>
        <v>10.612911013323563</v>
      </c>
      <c r="AC48" s="27">
        <f t="shared" si="80"/>
        <v>1195.3733474009266</v>
      </c>
      <c r="AD48" s="26">
        <f t="shared" si="81"/>
        <v>3.2748049052396866E-2</v>
      </c>
      <c r="AE48" s="69">
        <f t="shared" si="82"/>
        <v>5.3064555066617807</v>
      </c>
      <c r="AF48" s="70">
        <f t="shared" si="83"/>
        <v>149.42166842511583</v>
      </c>
      <c r="AG48" s="67">
        <f t="shared" si="84"/>
        <v>0.41939477270709691</v>
      </c>
      <c r="AI48" s="67">
        <f t="shared" si="85"/>
        <v>3.7182115064001299E-2</v>
      </c>
    </row>
    <row r="49" spans="1:73" x14ac:dyDescent="0.25">
      <c r="A49" s="17"/>
      <c r="B49" s="13">
        <v>0.23</v>
      </c>
      <c r="J49" s="28">
        <f t="shared" si="65"/>
        <v>1</v>
      </c>
      <c r="K49" s="28">
        <f t="shared" si="66"/>
        <v>294</v>
      </c>
      <c r="M49" s="28">
        <f t="shared" si="67"/>
        <v>0.93197278911564629</v>
      </c>
      <c r="N49" s="28">
        <f t="shared" si="68"/>
        <v>274</v>
      </c>
      <c r="P49" s="28">
        <f t="shared" si="69"/>
        <v>0.86054421768707479</v>
      </c>
      <c r="Q49" s="28">
        <f t="shared" si="70"/>
        <v>253</v>
      </c>
      <c r="R49" s="65"/>
      <c r="S49" s="66">
        <f t="shared" si="71"/>
        <v>0.79251700680272108</v>
      </c>
      <c r="T49" s="66">
        <f t="shared" si="72"/>
        <v>233</v>
      </c>
      <c r="V49" s="46">
        <f t="shared" si="73"/>
        <v>4.6340113333327988</v>
      </c>
      <c r="W49" s="27">
        <f t="shared" si="74"/>
        <v>99.511042220255206</v>
      </c>
      <c r="X49" s="26">
        <f t="shared" si="75"/>
        <v>2.177777777777778</v>
      </c>
      <c r="Y49" s="46">
        <f t="shared" si="76"/>
        <v>3.4123058310199372</v>
      </c>
      <c r="Z49" s="27">
        <f t="shared" si="77"/>
        <v>39.732312704752545</v>
      </c>
      <c r="AA49" s="26">
        <f t="shared" si="78"/>
        <v>2.5370370370370368</v>
      </c>
      <c r="AB49" s="46">
        <f t="shared" si="79"/>
        <v>2.2213450514448536</v>
      </c>
      <c r="AC49" s="27">
        <f t="shared" si="80"/>
        <v>10.960946906084041</v>
      </c>
      <c r="AD49" s="26">
        <f t="shared" si="81"/>
        <v>0</v>
      </c>
      <c r="AE49" s="69">
        <f t="shared" si="82"/>
        <v>1.0731783976374623</v>
      </c>
      <c r="AF49" s="70">
        <f t="shared" si="83"/>
        <v>1.2359923025732864</v>
      </c>
      <c r="AG49" s="67">
        <f t="shared" si="84"/>
        <v>27.927777904969432</v>
      </c>
      <c r="AI49" s="67">
        <f t="shared" si="85"/>
        <v>1.5716049382716051</v>
      </c>
    </row>
    <row r="50" spans="1:73" x14ac:dyDescent="0.25">
      <c r="A50" s="17"/>
      <c r="B50" s="13">
        <v>0.72</v>
      </c>
      <c r="J50" s="28">
        <f t="shared" si="65"/>
        <v>1</v>
      </c>
      <c r="K50" s="28">
        <f t="shared" si="66"/>
        <v>351</v>
      </c>
      <c r="M50" s="28">
        <f t="shared" si="67"/>
        <v>0.93162393162393164</v>
      </c>
      <c r="N50" s="28">
        <f t="shared" si="68"/>
        <v>327</v>
      </c>
      <c r="P50" s="28">
        <f t="shared" si="69"/>
        <v>0.86039886039886038</v>
      </c>
      <c r="Q50" s="28">
        <f t="shared" si="70"/>
        <v>302</v>
      </c>
      <c r="R50" s="65"/>
      <c r="S50" s="66">
        <f t="shared" si="71"/>
        <v>0.79487179487179482</v>
      </c>
      <c r="T50" s="66">
        <f t="shared" si="72"/>
        <v>279</v>
      </c>
      <c r="V50" s="46">
        <f t="shared" si="73"/>
        <v>4.6340113333327988</v>
      </c>
      <c r="W50" s="27">
        <f t="shared" si="74"/>
        <v>99.511042220255206</v>
      </c>
      <c r="X50" s="26">
        <f t="shared" si="75"/>
        <v>2.177777777777778</v>
      </c>
      <c r="Y50" s="46">
        <f t="shared" si="76"/>
        <v>3.4123058310199372</v>
      </c>
      <c r="Z50" s="27">
        <f t="shared" si="77"/>
        <v>39.732312704752545</v>
      </c>
      <c r="AA50" s="26">
        <f t="shared" si="78"/>
        <v>2.5370370370370368</v>
      </c>
      <c r="AB50" s="46">
        <f t="shared" si="79"/>
        <v>2.2213450514448536</v>
      </c>
      <c r="AC50" s="27">
        <f t="shared" si="80"/>
        <v>10.960946906084041</v>
      </c>
      <c r="AD50" s="26">
        <f t="shared" si="81"/>
        <v>0</v>
      </c>
      <c r="AE50" s="69">
        <f t="shared" si="82"/>
        <v>1.0731783976374623</v>
      </c>
      <c r="AF50" s="70">
        <f t="shared" si="83"/>
        <v>1.2359923025732864</v>
      </c>
      <c r="AG50" s="67">
        <f t="shared" si="84"/>
        <v>27.927777904969432</v>
      </c>
      <c r="AI50" s="67">
        <f t="shared" si="85"/>
        <v>1.5716049382716051</v>
      </c>
    </row>
    <row r="51" spans="1:73" x14ac:dyDescent="0.25">
      <c r="A51" s="17"/>
      <c r="B51" s="13">
        <v>0.43</v>
      </c>
      <c r="J51" s="28">
        <f t="shared" si="65"/>
        <v>1</v>
      </c>
      <c r="K51" s="28">
        <f t="shared" si="66"/>
        <v>128</v>
      </c>
      <c r="M51" s="28">
        <f t="shared" si="67"/>
        <v>0.90625</v>
      </c>
      <c r="N51" s="28">
        <f t="shared" si="68"/>
        <v>116</v>
      </c>
      <c r="P51" s="28">
        <f t="shared" si="69"/>
        <v>0.8125</v>
      </c>
      <c r="Q51" s="28">
        <f t="shared" si="70"/>
        <v>104</v>
      </c>
      <c r="R51" s="65"/>
      <c r="S51" s="66">
        <f t="shared" si="71"/>
        <v>0.703125</v>
      </c>
      <c r="T51" s="66">
        <f t="shared" si="72"/>
        <v>90</v>
      </c>
      <c r="V51" s="46">
        <f t="shared" si="73"/>
        <v>4.4445715649035602</v>
      </c>
      <c r="W51" s="27">
        <f t="shared" si="74"/>
        <v>87.799028478610083</v>
      </c>
      <c r="X51" s="26">
        <f t="shared" si="75"/>
        <v>2.9545454545454546</v>
      </c>
      <c r="Y51" s="46">
        <f t="shared" si="76"/>
        <v>3.2737796515132396</v>
      </c>
      <c r="Z51" s="27">
        <f t="shared" si="77"/>
        <v>35.087169504353149</v>
      </c>
      <c r="AA51" s="26">
        <f t="shared" si="78"/>
        <v>3.3641975308641978</v>
      </c>
      <c r="AB51" s="46">
        <f t="shared" si="79"/>
        <v>2.1321300989223424</v>
      </c>
      <c r="AC51" s="27">
        <f t="shared" si="80"/>
        <v>9.6926181405511382</v>
      </c>
      <c r="AD51" s="26">
        <f t="shared" si="81"/>
        <v>2.0132256881594452E-16</v>
      </c>
      <c r="AE51" s="69">
        <f t="shared" si="82"/>
        <v>1.0307845010061456</v>
      </c>
      <c r="AF51" s="70">
        <f t="shared" si="83"/>
        <v>1.0952257335503246</v>
      </c>
      <c r="AG51" s="67">
        <f t="shared" si="84"/>
        <v>37.739556392037699</v>
      </c>
      <c r="AI51" s="67">
        <f t="shared" si="85"/>
        <v>2.1062476618032178</v>
      </c>
    </row>
    <row r="52" spans="1:73" x14ac:dyDescent="0.25">
      <c r="A52" s="17"/>
      <c r="B52" s="13">
        <v>0.4</v>
      </c>
      <c r="J52" s="28">
        <f t="shared" si="65"/>
        <v>1</v>
      </c>
      <c r="K52" s="28">
        <f t="shared" si="66"/>
        <v>170</v>
      </c>
      <c r="M52" s="28">
        <f t="shared" si="67"/>
        <v>0.88235294117647056</v>
      </c>
      <c r="N52" s="28">
        <f t="shared" si="68"/>
        <v>150</v>
      </c>
      <c r="P52" s="28">
        <f t="shared" si="69"/>
        <v>0.75294117647058822</v>
      </c>
      <c r="Q52" s="28">
        <f t="shared" si="70"/>
        <v>128</v>
      </c>
      <c r="R52" s="65"/>
      <c r="S52" s="66">
        <f t="shared" si="71"/>
        <v>0.60588235294117643</v>
      </c>
      <c r="T52" s="66">
        <f t="shared" si="72"/>
        <v>103</v>
      </c>
      <c r="V52" s="46">
        <f t="shared" si="73"/>
        <v>5.4199363920898236</v>
      </c>
      <c r="W52" s="27">
        <f t="shared" si="74"/>
        <v>159.21448235154966</v>
      </c>
      <c r="X52" s="26">
        <f t="shared" si="75"/>
        <v>0.59259259259259245</v>
      </c>
      <c r="Y52" s="46">
        <f t="shared" si="76"/>
        <v>3.9790413783245047</v>
      </c>
      <c r="Z52" s="27">
        <f t="shared" si="77"/>
        <v>62.99924811908236</v>
      </c>
      <c r="AA52" s="26">
        <f t="shared" si="78"/>
        <v>0.6819517930629041</v>
      </c>
      <c r="AB52" s="46">
        <f t="shared" si="79"/>
        <v>2.5790907684708269</v>
      </c>
      <c r="AC52" s="27">
        <f t="shared" si="80"/>
        <v>17.155361771669252</v>
      </c>
      <c r="AD52" s="26">
        <f t="shared" si="81"/>
        <v>1.7140900418537358E-16</v>
      </c>
      <c r="AE52" s="69">
        <f t="shared" si="82"/>
        <v>1.2360732230362192</v>
      </c>
      <c r="AF52" s="70">
        <f t="shared" si="83"/>
        <v>1.8885678634998737</v>
      </c>
      <c r="AG52" s="67">
        <f t="shared" si="84"/>
        <v>7.0600234129919706</v>
      </c>
      <c r="AI52" s="67">
        <f t="shared" si="85"/>
        <v>0.42484812855183224</v>
      </c>
    </row>
    <row r="53" spans="1:73" x14ac:dyDescent="0.25">
      <c r="A53" s="17"/>
      <c r="B53" s="13">
        <v>0.7</v>
      </c>
      <c r="J53" s="28">
        <f t="shared" si="65"/>
        <v>1</v>
      </c>
      <c r="K53" s="28">
        <f t="shared" si="66"/>
        <v>445</v>
      </c>
      <c r="M53" s="28">
        <f t="shared" si="67"/>
        <v>0.91235955056179774</v>
      </c>
      <c r="N53" s="28">
        <f t="shared" si="68"/>
        <v>406</v>
      </c>
      <c r="P53" s="28">
        <f t="shared" si="69"/>
        <v>0.8202247191011236</v>
      </c>
      <c r="Q53" s="28">
        <f t="shared" si="70"/>
        <v>365</v>
      </c>
      <c r="R53" s="65"/>
      <c r="S53" s="66">
        <f t="shared" si="71"/>
        <v>0.72808988764044946</v>
      </c>
      <c r="T53" s="66">
        <f t="shared" si="72"/>
        <v>324</v>
      </c>
      <c r="V53" s="46">
        <f t="shared" si="73"/>
        <v>11.452983872382692</v>
      </c>
      <c r="W53" s="27">
        <f t="shared" si="74"/>
        <v>1502.2975102487555</v>
      </c>
      <c r="X53" s="26">
        <f t="shared" si="75"/>
        <v>0.20945762795396869</v>
      </c>
      <c r="Y53" s="46">
        <f t="shared" si="76"/>
        <v>8.3904425978816803</v>
      </c>
      <c r="Z53" s="27">
        <f t="shared" si="77"/>
        <v>590.68319011375195</v>
      </c>
      <c r="AA53" s="26">
        <f t="shared" si="78"/>
        <v>0.28200789622109435</v>
      </c>
      <c r="AB53" s="46">
        <f t="shared" si="79"/>
        <v>5.4199363920898236</v>
      </c>
      <c r="AC53" s="27">
        <f t="shared" si="80"/>
        <v>159.21448235154966</v>
      </c>
      <c r="AD53" s="26">
        <f t="shared" si="81"/>
        <v>0.29629629629629622</v>
      </c>
      <c r="AE53" s="69">
        <f t="shared" si="82"/>
        <v>2.5790907684708269</v>
      </c>
      <c r="AF53" s="70">
        <f t="shared" si="83"/>
        <v>17.155361771669252</v>
      </c>
      <c r="AG53" s="67">
        <f t="shared" si="84"/>
        <v>2.223686603400393</v>
      </c>
      <c r="AI53" s="67">
        <f t="shared" si="85"/>
        <v>0.26258727349045308</v>
      </c>
    </row>
    <row r="54" spans="1:73" x14ac:dyDescent="0.25">
      <c r="A54" s="17"/>
      <c r="B54" s="13">
        <v>0.65</v>
      </c>
      <c r="J54" s="28">
        <f t="shared" si="65"/>
        <v>1</v>
      </c>
      <c r="K54" s="28">
        <f t="shared" si="66"/>
        <v>84</v>
      </c>
      <c r="M54" s="28">
        <f t="shared" si="67"/>
        <v>0.84523809523809523</v>
      </c>
      <c r="N54" s="28">
        <f t="shared" si="68"/>
        <v>71</v>
      </c>
      <c r="P54" s="28">
        <f t="shared" si="69"/>
        <v>0.6785714285714286</v>
      </c>
      <c r="Q54" s="28">
        <f t="shared" si="70"/>
        <v>57</v>
      </c>
      <c r="R54" s="65"/>
      <c r="S54" s="66">
        <f t="shared" si="71"/>
        <v>0.4642857142857143</v>
      </c>
      <c r="T54" s="66">
        <f t="shared" si="72"/>
        <v>39</v>
      </c>
      <c r="V54" s="46">
        <f t="shared" si="73"/>
        <v>9.5264415124324664</v>
      </c>
      <c r="W54" s="27">
        <f t="shared" si="74"/>
        <v>864.55398385479066</v>
      </c>
      <c r="X54" s="26">
        <f t="shared" si="75"/>
        <v>0.57161207450224794</v>
      </c>
      <c r="Y54" s="46">
        <f t="shared" si="76"/>
        <v>7.0051381135012472</v>
      </c>
      <c r="Z54" s="27">
        <f t="shared" si="77"/>
        <v>343.75585722474813</v>
      </c>
      <c r="AA54" s="26">
        <f t="shared" si="78"/>
        <v>0.87424633936261842</v>
      </c>
      <c r="AB54" s="46">
        <f t="shared" si="79"/>
        <v>4.5497411080265833</v>
      </c>
      <c r="AC54" s="27">
        <f t="shared" si="80"/>
        <v>94.180296781635661</v>
      </c>
      <c r="AD54" s="26">
        <f t="shared" si="81"/>
        <v>0</v>
      </c>
      <c r="AE54" s="69">
        <f t="shared" si="82"/>
        <v>2.1876000002166442</v>
      </c>
      <c r="AF54" s="70">
        <f t="shared" si="83"/>
        <v>10.468964912486316</v>
      </c>
      <c r="AG54" s="67">
        <f t="shared" si="84"/>
        <v>9.1699610040244757</v>
      </c>
      <c r="AI54" s="67">
        <f t="shared" si="85"/>
        <v>0.4819528046216221</v>
      </c>
    </row>
    <row r="55" spans="1:73" x14ac:dyDescent="0.25">
      <c r="A55" s="17"/>
      <c r="B55" s="17"/>
      <c r="V55" s="46">
        <f t="shared" si="73"/>
        <v>20.979986349331831</v>
      </c>
      <c r="W55" s="27">
        <f t="shared" si="74"/>
        <v>9234.5471665610476</v>
      </c>
      <c r="X55" s="26">
        <f t="shared" si="75"/>
        <v>4.9269085002707116E-2</v>
      </c>
      <c r="Y55" s="46">
        <f t="shared" si="76"/>
        <v>15.288419176805478</v>
      </c>
      <c r="Z55" s="27">
        <f t="shared" si="77"/>
        <v>3573.4502896418985</v>
      </c>
      <c r="AA55" s="26">
        <f t="shared" si="78"/>
        <v>4.9664241745942882E-2</v>
      </c>
      <c r="AB55" s="46">
        <f t="shared" si="79"/>
        <v>9.7992876681623127</v>
      </c>
      <c r="AC55" s="27">
        <f t="shared" si="80"/>
        <v>940.98677786861447</v>
      </c>
      <c r="AD55" s="26">
        <f t="shared" si="81"/>
        <v>5.0478214665249752E-2</v>
      </c>
      <c r="AE55" s="69">
        <f t="shared" si="82"/>
        <v>4.5956726923229398</v>
      </c>
      <c r="AF55" s="70">
        <f t="shared" si="83"/>
        <v>97.061560840794769</v>
      </c>
      <c r="AG55" s="67">
        <f t="shared" si="84"/>
        <v>0.36832294566784207</v>
      </c>
      <c r="AI55" s="67">
        <f t="shared" si="85"/>
        <v>4.9803847137966574E-2</v>
      </c>
    </row>
    <row r="56" spans="1:73" x14ac:dyDescent="0.25">
      <c r="A56" s="17" t="s">
        <v>79</v>
      </c>
      <c r="B56" s="49">
        <f>+AVERAGE(B45:B54)</f>
        <v>0.46900000000000003</v>
      </c>
      <c r="C56" s="85" t="s">
        <v>85</v>
      </c>
      <c r="AB56" s="28"/>
    </row>
    <row r="57" spans="1:73" x14ac:dyDescent="0.25">
      <c r="A57" s="17" t="s">
        <v>80</v>
      </c>
      <c r="B57" s="49">
        <f>+_xlfn.STDEV.P(B45:B54)</f>
        <v>0.17201453426963653</v>
      </c>
      <c r="C57" s="85"/>
    </row>
    <row r="58" spans="1:73" x14ac:dyDescent="0.25">
      <c r="B58" s="78">
        <f>+B57+B56</f>
        <v>0.6410145342696365</v>
      </c>
    </row>
    <row r="59" spans="1:73" x14ac:dyDescent="0.25">
      <c r="C59" t="s">
        <v>96</v>
      </c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50"/>
    </row>
    <row r="60" spans="1:73" x14ac:dyDescent="0.25"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50"/>
      <c r="BJ60">
        <f>+SUM(BK64:BK114)</f>
        <v>1.1349686455468105E-4</v>
      </c>
      <c r="BL60">
        <f>+SUM(BM64:BM114)</f>
        <v>10.272053709338035</v>
      </c>
    </row>
    <row r="61" spans="1:73" x14ac:dyDescent="0.25">
      <c r="C61" t="s">
        <v>97</v>
      </c>
      <c r="T61" s="50"/>
      <c r="AI61" t="s">
        <v>89</v>
      </c>
    </row>
    <row r="62" spans="1:73" x14ac:dyDescent="0.25">
      <c r="H62" s="52" t="s">
        <v>62</v>
      </c>
      <c r="I62" s="51">
        <f>+$AI$44</f>
        <v>0.2875544389106876</v>
      </c>
      <c r="J62" s="3">
        <f>+$AI$45</f>
        <v>5.8045861514108781E-2</v>
      </c>
      <c r="K62" s="3">
        <f>+$AI$46</f>
        <v>7.7962321926615466E-2</v>
      </c>
      <c r="L62" s="3">
        <f>+$AI$47</f>
        <v>7.1335755033789458E-2</v>
      </c>
      <c r="M62" s="3">
        <f>+$AI$48</f>
        <v>3.7182115064001299E-2</v>
      </c>
      <c r="N62" s="3">
        <f>+$AI$49</f>
        <v>1.5716049382716051</v>
      </c>
      <c r="O62" s="3">
        <f>+$AI$50</f>
        <v>1.5716049382716051</v>
      </c>
      <c r="P62" s="3">
        <f>+$AI$51</f>
        <v>2.1062476618032178</v>
      </c>
      <c r="Q62" s="3">
        <f>+$AI$52</f>
        <v>0.42484812855183224</v>
      </c>
      <c r="R62" s="3">
        <f>+$AI$53</f>
        <v>0.26258727349045308</v>
      </c>
      <c r="S62" s="3">
        <f>+$AI$54</f>
        <v>0.4819528046216221</v>
      </c>
      <c r="T62" s="73"/>
      <c r="BJ62">
        <v>0.16345252463750193</v>
      </c>
      <c r="BL62">
        <v>1.988604721422345</v>
      </c>
    </row>
    <row r="63" spans="1:73" x14ac:dyDescent="0.25">
      <c r="C63" t="s">
        <v>98</v>
      </c>
      <c r="AU63" t="s">
        <v>92</v>
      </c>
      <c r="AV63" t="s">
        <v>93</v>
      </c>
      <c r="AX63" t="s">
        <v>92</v>
      </c>
      <c r="AY63" t="s">
        <v>93</v>
      </c>
      <c r="BJ63">
        <v>0.20171382658372658</v>
      </c>
      <c r="BL63">
        <v>0.38671519945184668</v>
      </c>
    </row>
    <row r="64" spans="1:73" x14ac:dyDescent="0.25">
      <c r="H64" s="85" t="s">
        <v>82</v>
      </c>
      <c r="I64" s="51">
        <f>+$W$44</f>
        <v>1473.0430245036134</v>
      </c>
      <c r="J64" s="3">
        <f>+$W$45</f>
        <v>9562.9867792074128</v>
      </c>
      <c r="K64" s="3">
        <f>+$W$46</f>
        <v>6024.037450682149</v>
      </c>
      <c r="L64" s="3">
        <f>+$W$47</f>
        <v>6596.7533040212002</v>
      </c>
      <c r="M64" s="3">
        <f>+$W$48</f>
        <v>11840.108141462899</v>
      </c>
      <c r="N64" s="3">
        <f>+$W$49</f>
        <v>99.511042220255206</v>
      </c>
      <c r="O64" s="3">
        <f>+$W$50</f>
        <v>99.511042220255206</v>
      </c>
      <c r="P64" s="3">
        <f>+$W$51</f>
        <v>87.799028478610083</v>
      </c>
      <c r="Q64" s="3">
        <f>+$W$52</f>
        <v>159.21448235154966</v>
      </c>
      <c r="R64" s="3">
        <f>+$W$53</f>
        <v>1502.2975102487555</v>
      </c>
      <c r="S64" s="3">
        <f>+$W$54</f>
        <v>864.55398385479066</v>
      </c>
      <c r="AI64" t="s">
        <v>88</v>
      </c>
      <c r="AJ64" t="s">
        <v>87</v>
      </c>
      <c r="AU64">
        <v>5.0118400000000003</v>
      </c>
      <c r="AV64">
        <v>2.11429</v>
      </c>
      <c r="AX64">
        <f>10^AU64</f>
        <v>102763.7632682963</v>
      </c>
      <c r="AY64">
        <f>10^AV64*10^-4</f>
        <v>1.3010380557796236E-2</v>
      </c>
      <c r="BA64">
        <f t="shared" ref="BA64:BA95" si="86">+(3*AX64/4/PI())^0.33333333333</f>
        <v>29.056979269681811</v>
      </c>
      <c r="BJ64">
        <f t="shared" ref="BJ64:BJ95" si="87">+$BJ$62*AX64^-$BJ$63</f>
        <v>1.5938014159529557E-2</v>
      </c>
      <c r="BK64">
        <f>+(BJ64-AY64)^2</f>
        <v>8.5710385059980115E-6</v>
      </c>
      <c r="BL64">
        <f>+$BL$62*AX64^-$BL$63</f>
        <v>2.2929456514081285E-2</v>
      </c>
      <c r="BM64">
        <f>+(BL64-AY64)^2/AY64^2</f>
        <v>0.5812492852466159</v>
      </c>
      <c r="BT64">
        <v>0.5</v>
      </c>
      <c r="BU64">
        <f>+$BL$62*BT64^-$BL$63</f>
        <v>2.5999281186836027</v>
      </c>
    </row>
    <row r="65" spans="3:73" x14ac:dyDescent="0.25">
      <c r="C65" t="s">
        <v>99</v>
      </c>
      <c r="H65" s="85"/>
      <c r="I65" s="51">
        <f>+$Z$44</f>
        <v>579.44229796172351</v>
      </c>
      <c r="J65" s="3">
        <f>+$Z$45</f>
        <v>3708.2760536514597</v>
      </c>
      <c r="K65" s="3">
        <f>+$Z$46</f>
        <v>2351.9193225200042</v>
      </c>
      <c r="L65" s="3">
        <f>+$Z$47</f>
        <v>2571.2178793540406</v>
      </c>
      <c r="M65" s="3">
        <f>+$Z$48</f>
        <v>4562.9477017464087</v>
      </c>
      <c r="N65" s="3">
        <f>+$Z$49</f>
        <v>39.732312704752545</v>
      </c>
      <c r="O65" s="3">
        <f>+$Z$50</f>
        <v>39.732312704752545</v>
      </c>
      <c r="P65" s="3">
        <f>+$Z$51</f>
        <v>35.087169504353149</v>
      </c>
      <c r="Q65" s="3">
        <f>+$Z$52</f>
        <v>62.99924811908236</v>
      </c>
      <c r="R65" s="3">
        <f>+$Z$53</f>
        <v>590.68319011375195</v>
      </c>
      <c r="S65" s="3">
        <f>+$Z$54</f>
        <v>343.75585722474813</v>
      </c>
      <c r="AI65">
        <v>0.1</v>
      </c>
      <c r="AJ65">
        <v>0.01</v>
      </c>
      <c r="AU65">
        <v>5.1301800000000002</v>
      </c>
      <c r="AV65">
        <v>2.1092499999999998</v>
      </c>
      <c r="AX65">
        <f t="shared" ref="AX65:AX114" si="88">10^AU65</f>
        <v>134952.20967994988</v>
      </c>
      <c r="AY65">
        <f t="shared" ref="AY65:AY114" si="89">10^AV65*10^-4</f>
        <v>1.2860267434121764E-2</v>
      </c>
      <c r="BA65">
        <f t="shared" si="86"/>
        <v>31.819776892118707</v>
      </c>
      <c r="BJ65">
        <f t="shared" si="87"/>
        <v>1.5085627997932956E-2</v>
      </c>
      <c r="BK65">
        <f t="shared" ref="BK65:BK114" si="90">+(BJ65-AY65)^2</f>
        <v>4.952229638966063E-6</v>
      </c>
      <c r="BL65">
        <f t="shared" ref="BL65:BL95" si="91">+$BL$62*AX65^-$BL$63</f>
        <v>2.063620741251497E-2</v>
      </c>
      <c r="BM65">
        <f t="shared" ref="BM65:BM114" si="92">+(BL65-AY65)^2/AY65^2</f>
        <v>0.3655996735908128</v>
      </c>
      <c r="BT65">
        <v>1</v>
      </c>
      <c r="BU65">
        <f t="shared" ref="BU65:BU89" si="93">+$BL$62*BT65^-$BL$63</f>
        <v>1.988604721422345</v>
      </c>
    </row>
    <row r="66" spans="3:73" x14ac:dyDescent="0.25">
      <c r="H66" s="85"/>
      <c r="I66" s="51">
        <f>+$AC$44</f>
        <v>156.3462769484432</v>
      </c>
      <c r="J66" s="3">
        <f>+$AC$45</f>
        <v>980.19591113388651</v>
      </c>
      <c r="K66" s="3">
        <f>+$AC$46</f>
        <v>626.03668858726121</v>
      </c>
      <c r="L66" s="3">
        <f>+$AC$47</f>
        <v>683.58159679070411</v>
      </c>
      <c r="M66" s="3">
        <f>+$AC$48</f>
        <v>1195.3733474009266</v>
      </c>
      <c r="N66" s="3">
        <f>+$AC$49</f>
        <v>10.960946906084041</v>
      </c>
      <c r="O66" s="3">
        <f>+$AC$50</f>
        <v>10.960946906084041</v>
      </c>
      <c r="P66" s="3">
        <f>+$AC$51</f>
        <v>9.6926181405511382</v>
      </c>
      <c r="Q66" s="3">
        <f>+$AC$52</f>
        <v>17.155361771669252</v>
      </c>
      <c r="R66" s="3">
        <f>+$AC$53</f>
        <v>159.21448235154966</v>
      </c>
      <c r="S66" s="3">
        <f>+$AC$54</f>
        <v>94.180296781635661</v>
      </c>
      <c r="AI66">
        <v>4.0648760905595202E-2</v>
      </c>
      <c r="AJ66">
        <f>+AJ65+0.01</f>
        <v>0.02</v>
      </c>
      <c r="AU66">
        <v>5.1789100000000001</v>
      </c>
      <c r="AV66">
        <v>2.1042100000000001</v>
      </c>
      <c r="AX66">
        <f t="shared" si="88"/>
        <v>150976.72486626924</v>
      </c>
      <c r="AY66">
        <f t="shared" si="89"/>
        <v>1.2711886308200891E-2</v>
      </c>
      <c r="BA66">
        <f t="shared" si="86"/>
        <v>33.032425452701311</v>
      </c>
      <c r="BJ66">
        <f t="shared" si="87"/>
        <v>1.4748025481839976E-2</v>
      </c>
      <c r="BK66">
        <f t="shared" si="90"/>
        <v>4.145862734427656E-6</v>
      </c>
      <c r="BL66">
        <f t="shared" si="91"/>
        <v>1.9759923213803477E-2</v>
      </c>
      <c r="BM66">
        <f t="shared" si="92"/>
        <v>0.30740883071242708</v>
      </c>
      <c r="BT66">
        <v>1.5</v>
      </c>
      <c r="BU66">
        <f t="shared" si="93"/>
        <v>1.7000093102291731</v>
      </c>
    </row>
    <row r="67" spans="3:73" x14ac:dyDescent="0.25">
      <c r="H67" s="85"/>
      <c r="I67" s="71">
        <f>+$AF$44</f>
        <v>16.88254505170595</v>
      </c>
      <c r="J67" s="72">
        <f>+$AF$45</f>
        <v>102.15246967299088</v>
      </c>
      <c r="K67" s="72">
        <f>+$AF$46</f>
        <v>65.659299802753083</v>
      </c>
      <c r="L67" s="72">
        <f>+$AF$47</f>
        <v>71.550519818352555</v>
      </c>
      <c r="M67" s="72">
        <f>+$AF$48</f>
        <v>149.42166842511583</v>
      </c>
      <c r="N67" s="72">
        <f>+$AF$49</f>
        <v>1.2359923025732864</v>
      </c>
      <c r="O67" s="72">
        <f>+$AF$50</f>
        <v>1.2359923025732864</v>
      </c>
      <c r="P67" s="72">
        <f>+$AF$51</f>
        <v>1.0952257335503246</v>
      </c>
      <c r="Q67" s="72">
        <f>+$AF$52</f>
        <v>1.8885678634998737</v>
      </c>
      <c r="R67" s="72">
        <f>+$AF$53</f>
        <v>17.155361771669252</v>
      </c>
      <c r="S67" s="72">
        <f>+$AF$54</f>
        <v>10.468964912486316</v>
      </c>
      <c r="AI67">
        <v>3.4525745991815703E-2</v>
      </c>
      <c r="AJ67">
        <f t="shared" ref="AJ67:AJ130" si="94">+AJ66+0.01</f>
        <v>0.03</v>
      </c>
      <c r="AU67">
        <v>5.3738299999999999</v>
      </c>
      <c r="AV67">
        <v>2.09917</v>
      </c>
      <c r="AX67">
        <f t="shared" si="88"/>
        <v>236499.37643784314</v>
      </c>
      <c r="AY67">
        <f t="shared" si="89"/>
        <v>1.2565217196329663E-2</v>
      </c>
      <c r="BA67">
        <f t="shared" si="86"/>
        <v>38.363109099496228</v>
      </c>
      <c r="BJ67">
        <f t="shared" si="87"/>
        <v>1.3471495805949663E-2</v>
      </c>
      <c r="BK67">
        <f t="shared" si="90"/>
        <v>8.2134091825476079E-7</v>
      </c>
      <c r="BL67">
        <f t="shared" si="91"/>
        <v>1.661141873542292E-2</v>
      </c>
      <c r="BM67">
        <f t="shared" si="92"/>
        <v>0.10369433287687183</v>
      </c>
      <c r="BT67">
        <v>2</v>
      </c>
      <c r="BU67">
        <f t="shared" si="93"/>
        <v>1.5210223350580605</v>
      </c>
    </row>
    <row r="68" spans="3:73" x14ac:dyDescent="0.25">
      <c r="AI68">
        <v>2.9325054681489701E-2</v>
      </c>
      <c r="AJ68">
        <f t="shared" si="94"/>
        <v>0.04</v>
      </c>
      <c r="AU68">
        <v>5.4921800000000003</v>
      </c>
      <c r="AV68">
        <v>2.0941200000000002</v>
      </c>
      <c r="AX68">
        <f t="shared" si="88"/>
        <v>310584.65870911843</v>
      </c>
      <c r="AY68">
        <f t="shared" si="89"/>
        <v>1.2419954362064962E-2</v>
      </c>
      <c r="BA68">
        <f t="shared" si="86"/>
        <v>42.011075218859695</v>
      </c>
      <c r="BJ68">
        <f t="shared" si="87"/>
        <v>1.2750963097556675E-2</v>
      </c>
      <c r="BK68">
        <f t="shared" si="90"/>
        <v>1.0956678297182306E-7</v>
      </c>
      <c r="BL68">
        <f t="shared" si="91"/>
        <v>1.4949923903720483E-2</v>
      </c>
      <c r="BM68">
        <f t="shared" si="92"/>
        <v>4.1494504744764293E-2</v>
      </c>
      <c r="BT68">
        <v>2.5</v>
      </c>
      <c r="BU68">
        <f t="shared" si="93"/>
        <v>1.395272441362476</v>
      </c>
    </row>
    <row r="69" spans="3:73" x14ac:dyDescent="0.25">
      <c r="I69">
        <f t="shared" ref="I69:S69" si="95">+I$59*I64^(-I$60)</f>
        <v>0</v>
      </c>
      <c r="J69">
        <f t="shared" si="95"/>
        <v>0</v>
      </c>
      <c r="K69">
        <f t="shared" si="95"/>
        <v>0</v>
      </c>
      <c r="L69">
        <f t="shared" si="95"/>
        <v>0</v>
      </c>
      <c r="M69">
        <f t="shared" si="95"/>
        <v>0</v>
      </c>
      <c r="N69">
        <f t="shared" si="95"/>
        <v>0</v>
      </c>
      <c r="O69">
        <f t="shared" si="95"/>
        <v>0</v>
      </c>
      <c r="P69">
        <f t="shared" si="95"/>
        <v>0</v>
      </c>
      <c r="Q69">
        <f t="shared" si="95"/>
        <v>0</v>
      </c>
      <c r="R69">
        <f t="shared" si="95"/>
        <v>0</v>
      </c>
      <c r="S69">
        <f t="shared" si="95"/>
        <v>0</v>
      </c>
      <c r="AI69">
        <v>2.4907755281412699E-2</v>
      </c>
      <c r="AJ69">
        <f t="shared" si="94"/>
        <v>0.05</v>
      </c>
      <c r="AU69">
        <v>5.6035599999999999</v>
      </c>
      <c r="AV69">
        <v>2.0941200000000002</v>
      </c>
      <c r="AX69">
        <f t="shared" si="88"/>
        <v>401383.94767401239</v>
      </c>
      <c r="AY69">
        <f t="shared" si="89"/>
        <v>1.2419954362064962E-2</v>
      </c>
      <c r="BA69">
        <f t="shared" si="86"/>
        <v>45.760468646838206</v>
      </c>
      <c r="BJ69">
        <f t="shared" si="87"/>
        <v>1.2108102892460474E-2</v>
      </c>
      <c r="BK69">
        <f t="shared" si="90"/>
        <v>9.7251339094478519E-8</v>
      </c>
      <c r="BL69">
        <f t="shared" si="91"/>
        <v>1.3538378232354103E-2</v>
      </c>
      <c r="BM69">
        <f t="shared" si="92"/>
        <v>8.1091037160929986E-3</v>
      </c>
      <c r="BT69">
        <v>5</v>
      </c>
      <c r="BU69">
        <f t="shared" si="93"/>
        <v>1.0672007986008332</v>
      </c>
    </row>
    <row r="70" spans="3:73" x14ac:dyDescent="0.25">
      <c r="I70">
        <f t="shared" ref="I70:S70" si="96">+I$59*I65^(-I$60)</f>
        <v>0</v>
      </c>
      <c r="J70">
        <f t="shared" si="96"/>
        <v>0</v>
      </c>
      <c r="K70">
        <f t="shared" si="96"/>
        <v>0</v>
      </c>
      <c r="L70">
        <f t="shared" si="96"/>
        <v>0</v>
      </c>
      <c r="M70">
        <f t="shared" si="96"/>
        <v>0</v>
      </c>
      <c r="N70">
        <f t="shared" si="96"/>
        <v>0</v>
      </c>
      <c r="O70">
        <f t="shared" si="96"/>
        <v>0</v>
      </c>
      <c r="P70">
        <f t="shared" si="96"/>
        <v>0</v>
      </c>
      <c r="Q70">
        <f t="shared" si="96"/>
        <v>0</v>
      </c>
      <c r="R70">
        <f t="shared" si="96"/>
        <v>0</v>
      </c>
      <c r="S70">
        <f t="shared" si="96"/>
        <v>0</v>
      </c>
      <c r="AI70">
        <v>2.1155843693970701E-2</v>
      </c>
      <c r="AJ70">
        <f t="shared" si="94"/>
        <v>6.0000000000000005E-2</v>
      </c>
      <c r="AU70">
        <v>5.6940499999999998</v>
      </c>
      <c r="AV70">
        <v>2.07395</v>
      </c>
      <c r="AX70">
        <f t="shared" si="88"/>
        <v>494367.5998839009</v>
      </c>
      <c r="AY70">
        <f t="shared" si="89"/>
        <v>1.1856322393532275E-2</v>
      </c>
      <c r="BA70">
        <f t="shared" si="86"/>
        <v>49.051669891704151</v>
      </c>
      <c r="BJ70">
        <f t="shared" si="87"/>
        <v>1.1609754030810378E-2</v>
      </c>
      <c r="BK70">
        <f t="shared" si="90"/>
        <v>6.0795957495356845E-8</v>
      </c>
      <c r="BL70">
        <f t="shared" si="91"/>
        <v>1.2490297558231021E-2</v>
      </c>
      <c r="BM70">
        <f t="shared" si="92"/>
        <v>2.8591997051991987E-3</v>
      </c>
      <c r="BT70">
        <v>10</v>
      </c>
      <c r="BU70">
        <f t="shared" si="93"/>
        <v>0.81626893126485667</v>
      </c>
    </row>
    <row r="71" spans="3:73" x14ac:dyDescent="0.25">
      <c r="I71">
        <f t="shared" ref="I71:S71" si="97">+I$59*I66^(-I$60)</f>
        <v>0</v>
      </c>
      <c r="J71">
        <f t="shared" si="97"/>
        <v>0</v>
      </c>
      <c r="K71">
        <f t="shared" si="97"/>
        <v>0</v>
      </c>
      <c r="L71">
        <f t="shared" si="97"/>
        <v>0</v>
      </c>
      <c r="M71">
        <f t="shared" si="97"/>
        <v>0</v>
      </c>
      <c r="N71">
        <f t="shared" si="97"/>
        <v>0</v>
      </c>
      <c r="O71">
        <f t="shared" si="97"/>
        <v>0</v>
      </c>
      <c r="P71">
        <f t="shared" si="97"/>
        <v>0</v>
      </c>
      <c r="Q71">
        <f t="shared" si="97"/>
        <v>0</v>
      </c>
      <c r="R71">
        <f t="shared" si="97"/>
        <v>0</v>
      </c>
      <c r="S71">
        <f t="shared" si="97"/>
        <v>0</v>
      </c>
      <c r="AI71">
        <v>1.79690910460212E-2</v>
      </c>
      <c r="AJ71">
        <f t="shared" si="94"/>
        <v>7.0000000000000007E-2</v>
      </c>
      <c r="AU71">
        <v>5.8889699999999996</v>
      </c>
      <c r="AV71">
        <v>2.0689099999999998</v>
      </c>
      <c r="AX71">
        <f t="shared" si="88"/>
        <v>774408.30172450829</v>
      </c>
      <c r="AY71">
        <f t="shared" si="89"/>
        <v>1.1719524735548454E-2</v>
      </c>
      <c r="BA71">
        <f t="shared" si="86"/>
        <v>56.967495961276271</v>
      </c>
      <c r="BJ71">
        <f t="shared" si="87"/>
        <v>1.0604860489748522E-2</v>
      </c>
      <c r="BK71">
        <f t="shared" si="90"/>
        <v>1.2424763808647313E-6</v>
      </c>
      <c r="BL71">
        <f t="shared" si="91"/>
        <v>1.0500119895449177E-2</v>
      </c>
      <c r="BM71">
        <f t="shared" si="92"/>
        <v>1.0826194594372004E-2</v>
      </c>
      <c r="BT71">
        <v>15</v>
      </c>
      <c r="BU71">
        <f t="shared" si="93"/>
        <v>0.69780825110811817</v>
      </c>
    </row>
    <row r="72" spans="3:73" x14ac:dyDescent="0.25">
      <c r="AI72">
        <v>1.52623661665747E-2</v>
      </c>
      <c r="AJ72">
        <f t="shared" si="94"/>
        <v>0.08</v>
      </c>
      <c r="AU72">
        <v>6.0142800000000003</v>
      </c>
      <c r="AV72">
        <v>2.0537800000000002</v>
      </c>
      <c r="AX72">
        <f t="shared" si="88"/>
        <v>1033427.4663357964</v>
      </c>
      <c r="AY72">
        <f t="shared" si="89"/>
        <v>1.1318268699016629E-2</v>
      </c>
      <c r="BA72">
        <f t="shared" si="86"/>
        <v>62.718711881166264</v>
      </c>
      <c r="BJ72">
        <f t="shared" si="87"/>
        <v>1.0005255879944844E-2</v>
      </c>
      <c r="BK72">
        <f t="shared" si="90"/>
        <v>1.7240026630468358E-6</v>
      </c>
      <c r="BL72">
        <f t="shared" si="91"/>
        <v>9.3915002940672797E-3</v>
      </c>
      <c r="BM72">
        <f t="shared" si="92"/>
        <v>2.8980043453142451E-2</v>
      </c>
      <c r="BT72">
        <v>20</v>
      </c>
      <c r="BU72">
        <f t="shared" si="93"/>
        <v>0.62433889575591195</v>
      </c>
    </row>
    <row r="73" spans="3:73" x14ac:dyDescent="0.25">
      <c r="AI73">
        <v>1.29633613857269E-2</v>
      </c>
      <c r="AJ73">
        <f t="shared" si="94"/>
        <v>0.09</v>
      </c>
      <c r="AU73">
        <v>6.1604700000000001</v>
      </c>
      <c r="AV73">
        <v>2.0537800000000002</v>
      </c>
      <c r="AX73">
        <f t="shared" si="88"/>
        <v>1447004.8940855488</v>
      </c>
      <c r="AY73">
        <f t="shared" si="89"/>
        <v>1.1318268699016629E-2</v>
      </c>
      <c r="BA73">
        <f t="shared" si="86"/>
        <v>70.166066417850217</v>
      </c>
      <c r="BJ73">
        <f t="shared" si="87"/>
        <v>9.3484509929918861E-3</v>
      </c>
      <c r="BK73">
        <f t="shared" si="90"/>
        <v>3.8801817949685792E-6</v>
      </c>
      <c r="BL73">
        <f t="shared" si="91"/>
        <v>8.2451978516846509E-3</v>
      </c>
      <c r="BM73">
        <f t="shared" si="92"/>
        <v>7.3719969252178136E-2</v>
      </c>
      <c r="BT73">
        <v>25</v>
      </c>
      <c r="BU73">
        <f t="shared" si="93"/>
        <v>0.57272193526707893</v>
      </c>
    </row>
    <row r="74" spans="3:73" x14ac:dyDescent="0.25">
      <c r="I74">
        <f>+(I69-I62)^2</f>
        <v>8.268755533724037E-2</v>
      </c>
      <c r="K74">
        <f>+(K69-K62)^2</f>
        <v>6.0781236401892267E-3</v>
      </c>
      <c r="L74">
        <f>+(L69-L62)^2</f>
        <v>5.0887899462408182E-3</v>
      </c>
      <c r="N74">
        <f t="shared" ref="N74:S74" si="98">+(N69-N62)^2</f>
        <v>2.4699420819996956</v>
      </c>
      <c r="O74">
        <f t="shared" si="98"/>
        <v>2.4699420819996956</v>
      </c>
      <c r="P74">
        <f t="shared" si="98"/>
        <v>4.436279212851522</v>
      </c>
      <c r="Q74">
        <f t="shared" si="98"/>
        <v>0.18049593233399416</v>
      </c>
      <c r="R74">
        <f t="shared" si="98"/>
        <v>6.8952076199150003E-2</v>
      </c>
      <c r="S74">
        <f t="shared" si="98"/>
        <v>0.23227850588264745</v>
      </c>
      <c r="AI74">
        <v>1.1010660901649099E-2</v>
      </c>
      <c r="AJ74">
        <f t="shared" si="94"/>
        <v>9.9999999999999992E-2</v>
      </c>
      <c r="AU74">
        <v>6.2718499999999997</v>
      </c>
      <c r="AV74">
        <v>2.0436999999999999</v>
      </c>
      <c r="AX74">
        <f t="shared" si="88"/>
        <v>1870036.1412108056</v>
      </c>
      <c r="AY74">
        <f t="shared" si="89"/>
        <v>1.1058596193126158E-2</v>
      </c>
      <c r="BA74">
        <f t="shared" si="86"/>
        <v>76.428229119558225</v>
      </c>
      <c r="BJ74">
        <f t="shared" si="87"/>
        <v>8.877133879397682E-3</v>
      </c>
      <c r="BK74">
        <f t="shared" si="90"/>
        <v>4.758777826217595E-6</v>
      </c>
      <c r="BL74">
        <f t="shared" si="91"/>
        <v>7.4667006892871436E-3</v>
      </c>
      <c r="BM74">
        <f t="shared" si="92"/>
        <v>0.1054987677952726</v>
      </c>
      <c r="BT74">
        <v>30</v>
      </c>
      <c r="BU74">
        <f t="shared" si="93"/>
        <v>0.53373198006092448</v>
      </c>
    </row>
    <row r="75" spans="3:73" x14ac:dyDescent="0.25">
      <c r="I75" t="e">
        <f>+(I70-#REF!)^2</f>
        <v>#REF!</v>
      </c>
      <c r="J75" t="e">
        <f>+(J70-#REF!)^2</f>
        <v>#REF!</v>
      </c>
      <c r="K75" t="e">
        <f>+(K70-#REF!)^2</f>
        <v>#REF!</v>
      </c>
      <c r="L75" t="e">
        <f>+(L70-#REF!)^2</f>
        <v>#REF!</v>
      </c>
      <c r="N75" t="e">
        <f>+(N70-#REF!)^2</f>
        <v>#REF!</v>
      </c>
      <c r="O75" t="e">
        <f>+(O70-#REF!)^2</f>
        <v>#REF!</v>
      </c>
      <c r="P75" t="e">
        <f>+(P70-#REF!)^2</f>
        <v>#REF!</v>
      </c>
      <c r="Q75" t="e">
        <f>+(Q70-#REF!)^2</f>
        <v>#REF!</v>
      </c>
      <c r="R75" t="e">
        <f>+(R70-#REF!)^2</f>
        <v>#REF!</v>
      </c>
      <c r="S75" t="e">
        <f>+(S70-#REF!)^2</f>
        <v>#REF!</v>
      </c>
      <c r="AI75">
        <v>9.35210011383222E-3</v>
      </c>
      <c r="AJ75">
        <f t="shared" si="94"/>
        <v>0.10999999999999999</v>
      </c>
      <c r="AU75">
        <v>6.4389200000000004</v>
      </c>
      <c r="AV75">
        <v>2.0285700000000002</v>
      </c>
      <c r="AX75">
        <f t="shared" si="88"/>
        <v>2747388.0189113896</v>
      </c>
      <c r="AY75">
        <f t="shared" si="89"/>
        <v>1.0679969194319615E-2</v>
      </c>
      <c r="BA75">
        <f t="shared" si="86"/>
        <v>86.884798224981807</v>
      </c>
      <c r="BJ75">
        <f t="shared" si="87"/>
        <v>8.2143355720877553E-3</v>
      </c>
      <c r="BK75">
        <f t="shared" si="90"/>
        <v>6.0793491590802018E-6</v>
      </c>
      <c r="BL75">
        <f t="shared" si="91"/>
        <v>6.434580435439468E-3</v>
      </c>
      <c r="BM75">
        <f t="shared" si="92"/>
        <v>0.15801376867758787</v>
      </c>
      <c r="BT75">
        <v>35</v>
      </c>
      <c r="BU75">
        <f t="shared" si="93"/>
        <v>0.50284470862650366</v>
      </c>
    </row>
    <row r="76" spans="3:73" x14ac:dyDescent="0.25">
      <c r="I76" t="e">
        <f>+(I71-#REF!)^2</f>
        <v>#REF!</v>
      </c>
      <c r="J76" t="e">
        <f>+(J71-#REF!)^2</f>
        <v>#REF!</v>
      </c>
      <c r="K76" t="e">
        <f>+(K71-#REF!)^2</f>
        <v>#REF!</v>
      </c>
      <c r="L76" t="e">
        <f>+(L71-#REF!)^2</f>
        <v>#REF!</v>
      </c>
      <c r="M76" t="e">
        <f>+(M71-#REF!)^2</f>
        <v>#REF!</v>
      </c>
      <c r="N76" t="e">
        <f>+(N71-#REF!)^2</f>
        <v>#REF!</v>
      </c>
      <c r="O76" t="e">
        <f>+(O71-#REF!)^2</f>
        <v>#REF!</v>
      </c>
      <c r="P76" t="e">
        <f>+(P71-#REF!)^2</f>
        <v>#REF!</v>
      </c>
      <c r="Q76" t="e">
        <f>+(Q71-#REF!)^2</f>
        <v>#REF!</v>
      </c>
      <c r="R76" t="e">
        <f>+(R71-#REF!)^2</f>
        <v>#REF!</v>
      </c>
      <c r="S76" t="e">
        <f>+(S71-#REF!)^2</f>
        <v>#REF!</v>
      </c>
      <c r="AI76">
        <v>7.9433720936806593E-3</v>
      </c>
      <c r="AJ76">
        <f t="shared" si="94"/>
        <v>0.11999999999999998</v>
      </c>
      <c r="AU76">
        <v>6.5363800000000003</v>
      </c>
      <c r="AV76">
        <v>2.0033599999999998</v>
      </c>
      <c r="AX76">
        <f t="shared" si="88"/>
        <v>3438586.8658678508</v>
      </c>
      <c r="AY76">
        <f t="shared" si="89"/>
        <v>1.0077666913980049E-2</v>
      </c>
      <c r="BA76">
        <f t="shared" si="86"/>
        <v>93.633328819607357</v>
      </c>
      <c r="BJ76">
        <f t="shared" si="87"/>
        <v>7.8507909133822881E-3</v>
      </c>
      <c r="BK76">
        <f t="shared" si="90"/>
        <v>4.9589767220382778E-6</v>
      </c>
      <c r="BL76">
        <f t="shared" si="91"/>
        <v>5.8997141618571062E-3</v>
      </c>
      <c r="BM76">
        <f t="shared" si="92"/>
        <v>0.17187275900998825</v>
      </c>
      <c r="BT76">
        <v>40</v>
      </c>
      <c r="BU76">
        <f t="shared" si="93"/>
        <v>0.47753753919029462</v>
      </c>
    </row>
    <row r="77" spans="3:73" x14ac:dyDescent="0.25">
      <c r="AI77">
        <v>6.7468439655966501E-3</v>
      </c>
      <c r="AJ77">
        <f t="shared" si="94"/>
        <v>0.12999999999999998</v>
      </c>
      <c r="AU77">
        <v>6.6616799999999996</v>
      </c>
      <c r="AV77">
        <v>1.9882299999999999</v>
      </c>
      <c r="AX77">
        <f t="shared" si="88"/>
        <v>4588597.8785914844</v>
      </c>
      <c r="AY77">
        <f t="shared" si="89"/>
        <v>9.732625218635018E-3</v>
      </c>
      <c r="BA77">
        <f t="shared" si="86"/>
        <v>103.08539282293455</v>
      </c>
      <c r="BJ77">
        <f t="shared" si="87"/>
        <v>7.4069373055074186E-3</v>
      </c>
      <c r="BK77">
        <f t="shared" si="90"/>
        <v>5.4088242692678086E-6</v>
      </c>
      <c r="BL77">
        <f t="shared" si="91"/>
        <v>5.2768598082735653E-3</v>
      </c>
      <c r="BM77">
        <f t="shared" si="92"/>
        <v>0.20959679409511411</v>
      </c>
      <c r="BT77">
        <v>45</v>
      </c>
      <c r="BU77">
        <f t="shared" si="93"/>
        <v>0.45627435432298641</v>
      </c>
    </row>
    <row r="78" spans="3:73" x14ac:dyDescent="0.25">
      <c r="AI78">
        <v>5.7305515792620597E-3</v>
      </c>
      <c r="AJ78">
        <f t="shared" si="94"/>
        <v>0.13999999999999999</v>
      </c>
      <c r="AU78">
        <v>6.7521800000000001</v>
      </c>
      <c r="AV78">
        <v>1.96302</v>
      </c>
      <c r="AX78">
        <f t="shared" si="88"/>
        <v>5651711.7012407072</v>
      </c>
      <c r="AY78">
        <f t="shared" si="89"/>
        <v>9.183748882363188E-3</v>
      </c>
      <c r="BA78">
        <f t="shared" si="86"/>
        <v>110.50038645220724</v>
      </c>
      <c r="BJ78">
        <f t="shared" si="87"/>
        <v>7.1020474139235155E-3</v>
      </c>
      <c r="BK78">
        <f t="shared" si="90"/>
        <v>4.3334810037038885E-6</v>
      </c>
      <c r="BL78">
        <f t="shared" si="91"/>
        <v>4.8683055800179372E-3</v>
      </c>
      <c r="BM78">
        <f t="shared" si="92"/>
        <v>0.22080597955828421</v>
      </c>
      <c r="BT78">
        <v>50</v>
      </c>
      <c r="BU78">
        <f t="shared" si="93"/>
        <v>0.43805732025811289</v>
      </c>
    </row>
    <row r="79" spans="3:73" x14ac:dyDescent="0.25">
      <c r="I79" t="e">
        <f>+SUM(I74:I77)</f>
        <v>#REF!</v>
      </c>
      <c r="J79" t="e">
        <f t="shared" ref="J79:S79" si="99">+SUM(J74:J77)</f>
        <v>#REF!</v>
      </c>
      <c r="K79" t="e">
        <f t="shared" si="99"/>
        <v>#REF!</v>
      </c>
      <c r="L79" t="e">
        <f t="shared" si="99"/>
        <v>#REF!</v>
      </c>
      <c r="M79" t="e">
        <f t="shared" si="99"/>
        <v>#REF!</v>
      </c>
      <c r="N79" t="e">
        <f t="shared" si="99"/>
        <v>#REF!</v>
      </c>
      <c r="O79" t="e">
        <f t="shared" si="99"/>
        <v>#REF!</v>
      </c>
      <c r="P79" t="e">
        <f t="shared" si="99"/>
        <v>#REF!</v>
      </c>
      <c r="Q79" t="e">
        <f t="shared" si="99"/>
        <v>#REF!</v>
      </c>
      <c r="R79" t="e">
        <f t="shared" si="99"/>
        <v>#REF!</v>
      </c>
      <c r="S79" t="e">
        <f t="shared" si="99"/>
        <v>#REF!</v>
      </c>
      <c r="AI79">
        <v>4.8673456167114496E-3</v>
      </c>
      <c r="AJ79">
        <f t="shared" si="94"/>
        <v>0.15</v>
      </c>
      <c r="AU79">
        <v>6.8914099999999996</v>
      </c>
      <c r="AV79">
        <v>1.9529399999999999</v>
      </c>
      <c r="AX79">
        <f t="shared" si="88"/>
        <v>7787714.1096044648</v>
      </c>
      <c r="AY79">
        <f t="shared" si="89"/>
        <v>8.9730481869503675E-3</v>
      </c>
      <c r="BA79">
        <f t="shared" si="86"/>
        <v>122.96281497900921</v>
      </c>
      <c r="BJ79">
        <f t="shared" si="87"/>
        <v>6.6573126180597538E-3</v>
      </c>
      <c r="BK79">
        <f t="shared" si="90"/>
        <v>5.3626312250251342E-6</v>
      </c>
      <c r="BL79">
        <f t="shared" si="91"/>
        <v>4.3006636038361344E-3</v>
      </c>
      <c r="BM79">
        <f t="shared" si="92"/>
        <v>0.27114223061127296</v>
      </c>
      <c r="BT79">
        <v>55</v>
      </c>
      <c r="BU79">
        <f t="shared" si="93"/>
        <v>0.42220537859885804</v>
      </c>
    </row>
    <row r="80" spans="3:73" x14ac:dyDescent="0.25">
      <c r="AI80">
        <v>4.1341663232304197E-3</v>
      </c>
      <c r="AJ80">
        <f t="shared" si="94"/>
        <v>0.16</v>
      </c>
      <c r="AU80">
        <v>6.9819100000000001</v>
      </c>
      <c r="AV80">
        <v>1.9277299999999999</v>
      </c>
      <c r="AX80">
        <f t="shared" si="88"/>
        <v>9592018.3297211248</v>
      </c>
      <c r="AY80">
        <f t="shared" si="89"/>
        <v>8.4670085826908867E-3</v>
      </c>
      <c r="BA80">
        <f t="shared" si="86"/>
        <v>131.80760340866476</v>
      </c>
      <c r="BJ80">
        <f t="shared" si="87"/>
        <v>6.3832793383597668E-3</v>
      </c>
      <c r="BK80">
        <f t="shared" si="90"/>
        <v>4.3419275636807401E-6</v>
      </c>
      <c r="BL80">
        <f t="shared" si="91"/>
        <v>3.9676901378938589E-3</v>
      </c>
      <c r="BM80">
        <f t="shared" si="92"/>
        <v>0.28237969444850813</v>
      </c>
      <c r="BT80">
        <v>60</v>
      </c>
      <c r="BU80">
        <f t="shared" si="93"/>
        <v>0.40823510769238153</v>
      </c>
    </row>
    <row r="81" spans="6:73" x14ac:dyDescent="0.25">
      <c r="H81" s="81" t="s">
        <v>90</v>
      </c>
      <c r="I81" s="54">
        <f>IF(0.0572*EXP(-16.34*$I$62)&lt;10^-20,"",0.0572*EXP(-16.34*$I$62))</f>
        <v>5.2095811527074387E-4</v>
      </c>
      <c r="J81" s="54">
        <f t="shared" ref="J81:S81" si="100">IF(0.0572*EXP(-16.34*$I$62)&lt;10^-20,"",0.0572*EXP(-16.34*$I$62))</f>
        <v>5.2095811527074387E-4</v>
      </c>
      <c r="K81" s="54">
        <f t="shared" si="100"/>
        <v>5.2095811527074387E-4</v>
      </c>
      <c r="L81" s="54">
        <f t="shared" si="100"/>
        <v>5.2095811527074387E-4</v>
      </c>
      <c r="M81" s="54">
        <f t="shared" si="100"/>
        <v>5.2095811527074387E-4</v>
      </c>
      <c r="N81" s="54">
        <f t="shared" si="100"/>
        <v>5.2095811527074387E-4</v>
      </c>
      <c r="O81" s="54">
        <f t="shared" si="100"/>
        <v>5.2095811527074387E-4</v>
      </c>
      <c r="P81" s="54">
        <f t="shared" si="100"/>
        <v>5.2095811527074387E-4</v>
      </c>
      <c r="Q81" s="54">
        <f t="shared" si="100"/>
        <v>5.2095811527074387E-4</v>
      </c>
      <c r="R81" s="54">
        <f t="shared" si="100"/>
        <v>5.2095811527074387E-4</v>
      </c>
      <c r="S81" s="54">
        <f t="shared" si="100"/>
        <v>5.2095811527074387E-4</v>
      </c>
      <c r="AI81">
        <v>3.5114274871814199E-3</v>
      </c>
      <c r="AJ81">
        <f t="shared" si="94"/>
        <v>0.17</v>
      </c>
      <c r="AU81">
        <v>7.0654399999999997</v>
      </c>
      <c r="AV81">
        <v>1.8924300000000001</v>
      </c>
      <c r="AX81">
        <f t="shared" si="88"/>
        <v>11626259.1720108</v>
      </c>
      <c r="AY81">
        <f t="shared" si="89"/>
        <v>7.8060261172199618E-3</v>
      </c>
      <c r="BA81">
        <f t="shared" si="86"/>
        <v>140.53477311956664</v>
      </c>
      <c r="BJ81">
        <f t="shared" si="87"/>
        <v>6.1403721612018477E-3</v>
      </c>
      <c r="BK81">
        <f t="shared" si="90"/>
        <v>2.7744031011987933E-6</v>
      </c>
      <c r="BL81">
        <f t="shared" si="91"/>
        <v>3.6832858736056988E-3</v>
      </c>
      <c r="BM81">
        <f t="shared" si="92"/>
        <v>0.27894073776036299</v>
      </c>
      <c r="BT81">
        <v>65</v>
      </c>
      <c r="BU81">
        <f t="shared" si="93"/>
        <v>0.39579227720679067</v>
      </c>
    </row>
    <row r="82" spans="6:73" x14ac:dyDescent="0.25">
      <c r="AI82">
        <v>2.9824932123433501E-3</v>
      </c>
      <c r="AJ82">
        <f t="shared" si="94"/>
        <v>0.18000000000000002</v>
      </c>
      <c r="AU82">
        <v>7.1559400000000002</v>
      </c>
      <c r="AV82">
        <v>1.8571299999999999</v>
      </c>
      <c r="AX82">
        <f t="shared" si="88"/>
        <v>14319900.48870448</v>
      </c>
      <c r="AY82">
        <f t="shared" si="89"/>
        <v>7.1966436726292769E-3</v>
      </c>
      <c r="BA82">
        <f t="shared" si="86"/>
        <v>150.64352295149268</v>
      </c>
      <c r="BJ82">
        <f t="shared" si="87"/>
        <v>5.8876175711067465E-3</v>
      </c>
      <c r="BK82">
        <f t="shared" si="90"/>
        <v>1.7135493344672742E-6</v>
      </c>
      <c r="BL82">
        <f t="shared" si="91"/>
        <v>3.3981121012844335E-3</v>
      </c>
      <c r="BM82">
        <f t="shared" si="92"/>
        <v>0.27859382156541296</v>
      </c>
      <c r="BT82">
        <v>70</v>
      </c>
      <c r="BU82">
        <f t="shared" si="93"/>
        <v>0.38461038769918315</v>
      </c>
    </row>
    <row r="83" spans="6:73" x14ac:dyDescent="0.25">
      <c r="AI83">
        <v>2.5332335052187802E-3</v>
      </c>
      <c r="AJ83">
        <f t="shared" si="94"/>
        <v>0.19000000000000003</v>
      </c>
      <c r="AU83">
        <v>7.2812400000000004</v>
      </c>
      <c r="AV83">
        <v>1.8571299999999999</v>
      </c>
      <c r="AX83">
        <f t="shared" si="88"/>
        <v>19109089.741586894</v>
      </c>
      <c r="AY83">
        <f t="shared" si="89"/>
        <v>7.1966436726292769E-3</v>
      </c>
      <c r="BA83">
        <f t="shared" si="86"/>
        <v>165.8506317724069</v>
      </c>
      <c r="BJ83">
        <f t="shared" si="87"/>
        <v>5.5547542545880532E-3</v>
      </c>
      <c r="BK83">
        <f t="shared" si="90"/>
        <v>2.6958008610757482E-6</v>
      </c>
      <c r="BL83">
        <f t="shared" si="91"/>
        <v>3.0393610062002417E-3</v>
      </c>
      <c r="BM83">
        <f t="shared" si="92"/>
        <v>0.33370223013176398</v>
      </c>
      <c r="BT83">
        <v>75</v>
      </c>
      <c r="BU83">
        <f t="shared" si="93"/>
        <v>0.37448443867727943</v>
      </c>
    </row>
    <row r="84" spans="6:73" x14ac:dyDescent="0.25">
      <c r="AI84">
        <v>2.1516468052314398E-3</v>
      </c>
      <c r="AJ84">
        <f t="shared" si="94"/>
        <v>0.20000000000000004</v>
      </c>
      <c r="AU84">
        <v>7.2951699999999997</v>
      </c>
      <c r="AV84">
        <v>1.7966299999999999</v>
      </c>
      <c r="AX84">
        <f t="shared" si="88"/>
        <v>19731949.713488426</v>
      </c>
      <c r="AY84">
        <f t="shared" si="89"/>
        <v>6.2608024427006541E-3</v>
      </c>
      <c r="BA84">
        <f t="shared" si="86"/>
        <v>167.63336523245721</v>
      </c>
      <c r="BJ84">
        <f t="shared" si="87"/>
        <v>5.5189311563305444E-3</v>
      </c>
      <c r="BK84">
        <f t="shared" si="90"/>
        <v>5.503730055404414E-7</v>
      </c>
      <c r="BL84">
        <f t="shared" si="91"/>
        <v>3.0018939434971236E-3</v>
      </c>
      <c r="BM84">
        <f t="shared" si="92"/>
        <v>0.27094699191521215</v>
      </c>
      <c r="BT84">
        <v>80</v>
      </c>
      <c r="BU84">
        <f t="shared" si="93"/>
        <v>0.36525371538773438</v>
      </c>
    </row>
    <row r="85" spans="6:73" x14ac:dyDescent="0.25">
      <c r="AI85">
        <v>1.8275393740549901E-3</v>
      </c>
      <c r="AJ85">
        <f t="shared" si="94"/>
        <v>0.21000000000000005</v>
      </c>
      <c r="AU85">
        <v>7.4622400000000004</v>
      </c>
      <c r="AV85">
        <v>1.76637</v>
      </c>
      <c r="AX85">
        <f t="shared" si="88"/>
        <v>28989451.614287809</v>
      </c>
      <c r="AY85">
        <f t="shared" si="89"/>
        <v>5.8394238591470762E-3</v>
      </c>
      <c r="BA85">
        <f t="shared" si="86"/>
        <v>190.56821388878075</v>
      </c>
      <c r="BJ85">
        <f t="shared" si="87"/>
        <v>5.1068681776403899E-3</v>
      </c>
      <c r="BK85">
        <f t="shared" si="90"/>
        <v>5.366378265077257E-7</v>
      </c>
      <c r="BL85">
        <f t="shared" si="91"/>
        <v>2.5869428602922797E-3</v>
      </c>
      <c r="BM85">
        <f t="shared" si="92"/>
        <v>0.31023410264255691</v>
      </c>
      <c r="BT85">
        <v>85</v>
      </c>
      <c r="BU85">
        <f t="shared" si="93"/>
        <v>0.35679013794631748</v>
      </c>
    </row>
    <row r="86" spans="6:73" x14ac:dyDescent="0.25">
      <c r="H86" s="84" t="s">
        <v>91</v>
      </c>
      <c r="I86" s="54">
        <f>+I64^-($B$56+$B$57)*10^-4</f>
        <v>9.3138204295446146E-7</v>
      </c>
      <c r="J86" s="54">
        <f t="shared" ref="J86:S86" si="101">+J64^-$B$56*10^-4</f>
        <v>1.3586313216930246E-6</v>
      </c>
      <c r="K86" s="54">
        <f t="shared" si="101"/>
        <v>1.6874568876502875E-6</v>
      </c>
      <c r="L86" s="54">
        <f t="shared" si="101"/>
        <v>1.6170897186668935E-6</v>
      </c>
      <c r="M86" s="54">
        <f t="shared" si="101"/>
        <v>1.2291253935510812E-6</v>
      </c>
      <c r="N86" s="54">
        <f t="shared" si="101"/>
        <v>1.1561079086936585E-5</v>
      </c>
      <c r="O86" s="54">
        <f t="shared" si="101"/>
        <v>1.1561079086936585E-5</v>
      </c>
      <c r="P86" s="54">
        <f t="shared" si="101"/>
        <v>1.2260362916940868E-5</v>
      </c>
      <c r="Q86" s="54">
        <f t="shared" si="101"/>
        <v>9.27406584575723E-6</v>
      </c>
      <c r="R86" s="54">
        <f t="shared" si="101"/>
        <v>3.2366926426973331E-6</v>
      </c>
      <c r="S86" s="54">
        <f t="shared" si="101"/>
        <v>4.1941552040740113E-6</v>
      </c>
      <c r="AI86">
        <v>1.5522529792532801E-3</v>
      </c>
      <c r="AJ86">
        <f t="shared" si="94"/>
        <v>0.22000000000000006</v>
      </c>
      <c r="AU86">
        <v>7.5388099999999998</v>
      </c>
      <c r="AV86">
        <v>1.7361200000000001</v>
      </c>
      <c r="AX86">
        <f t="shared" si="88"/>
        <v>34578806.550508983</v>
      </c>
      <c r="AY86">
        <f t="shared" si="89"/>
        <v>5.4465312527298242E-3</v>
      </c>
      <c r="BA86">
        <f t="shared" si="86"/>
        <v>202.10348243027869</v>
      </c>
      <c r="BJ86">
        <f t="shared" si="87"/>
        <v>4.9284393899383079E-3</v>
      </c>
      <c r="BK86">
        <f t="shared" si="90"/>
        <v>2.6841917829078329E-7</v>
      </c>
      <c r="BL86">
        <f t="shared" si="91"/>
        <v>2.4164402075698035E-3</v>
      </c>
      <c r="BM86">
        <f t="shared" si="92"/>
        <v>0.30950762725810455</v>
      </c>
      <c r="BT86">
        <v>90</v>
      </c>
      <c r="BU86">
        <f t="shared" si="93"/>
        <v>0.34899016197802912</v>
      </c>
    </row>
    <row r="87" spans="6:73" x14ac:dyDescent="0.25">
      <c r="H87" s="84"/>
      <c r="I87" s="54">
        <f t="shared" ref="I87:S89" si="102">+I65^-$B$56*10^-4</f>
        <v>5.0599732250309358E-6</v>
      </c>
      <c r="J87" s="54">
        <f t="shared" si="102"/>
        <v>2.1186455510692196E-6</v>
      </c>
      <c r="K87" s="54">
        <f t="shared" si="102"/>
        <v>2.6230277486625365E-6</v>
      </c>
      <c r="L87" s="54">
        <f t="shared" si="102"/>
        <v>2.5156189963224108E-6</v>
      </c>
      <c r="M87" s="54">
        <f t="shared" si="102"/>
        <v>1.9222676828948582E-6</v>
      </c>
      <c r="N87" s="54">
        <f t="shared" si="102"/>
        <v>1.7782857025775088E-5</v>
      </c>
      <c r="O87" s="54">
        <f t="shared" si="102"/>
        <v>1.7782857025775088E-5</v>
      </c>
      <c r="P87" s="54">
        <f t="shared" si="102"/>
        <v>1.8850610977249012E-5</v>
      </c>
      <c r="Q87" s="54">
        <f t="shared" si="102"/>
        <v>1.4325563471760281E-5</v>
      </c>
      <c r="R87" s="54">
        <f t="shared" si="102"/>
        <v>5.0145814189865778E-6</v>
      </c>
      <c r="S87" s="54">
        <f t="shared" si="102"/>
        <v>6.4639605896353191E-6</v>
      </c>
      <c r="AI87">
        <v>1.3184335975506001E-3</v>
      </c>
      <c r="AJ87">
        <f t="shared" si="94"/>
        <v>0.23000000000000007</v>
      </c>
      <c r="AU87">
        <v>7.5805800000000003</v>
      </c>
      <c r="AV87">
        <v>1.67561</v>
      </c>
      <c r="AX87">
        <f t="shared" si="88"/>
        <v>38069747.820972234</v>
      </c>
      <c r="AY87">
        <f t="shared" si="89"/>
        <v>4.7381630323678672E-3</v>
      </c>
      <c r="BA87">
        <f t="shared" si="86"/>
        <v>208.68783339077501</v>
      </c>
      <c r="BJ87">
        <f t="shared" si="87"/>
        <v>4.8337460860079142E-3</v>
      </c>
      <c r="BK87">
        <f t="shared" si="90"/>
        <v>9.1361201431561104E-9</v>
      </c>
      <c r="BL87">
        <f t="shared" si="91"/>
        <v>2.3282143384659804E-3</v>
      </c>
      <c r="BM87">
        <f t="shared" si="92"/>
        <v>0.25869950260105684</v>
      </c>
      <c r="BT87">
        <v>95</v>
      </c>
      <c r="BU87">
        <f t="shared" si="93"/>
        <v>0.3417690157618275</v>
      </c>
    </row>
    <row r="88" spans="6:73" x14ac:dyDescent="0.25">
      <c r="F88" s="12"/>
      <c r="H88" s="84"/>
      <c r="I88" s="54">
        <f t="shared" si="102"/>
        <v>9.3534739685665531E-6</v>
      </c>
      <c r="J88" s="54">
        <f t="shared" si="102"/>
        <v>3.9543422613010214E-6</v>
      </c>
      <c r="K88" s="54">
        <f t="shared" si="102"/>
        <v>4.8797177282048388E-6</v>
      </c>
      <c r="L88" s="54">
        <f t="shared" si="102"/>
        <v>4.6825596678299036E-6</v>
      </c>
      <c r="M88" s="54">
        <f t="shared" si="102"/>
        <v>3.6028885363627869E-6</v>
      </c>
      <c r="N88" s="54">
        <f t="shared" si="102"/>
        <v>3.2532036677363105E-5</v>
      </c>
      <c r="O88" s="54">
        <f t="shared" si="102"/>
        <v>3.2532036677363105E-5</v>
      </c>
      <c r="P88" s="54">
        <f t="shared" si="102"/>
        <v>3.4463479504420855E-5</v>
      </c>
      <c r="Q88" s="54">
        <f t="shared" si="102"/>
        <v>2.6367348288960376E-5</v>
      </c>
      <c r="R88" s="54">
        <f t="shared" si="102"/>
        <v>9.27406584575723E-6</v>
      </c>
      <c r="S88" s="54">
        <f t="shared" si="102"/>
        <v>1.1863497261971937E-5</v>
      </c>
      <c r="AI88">
        <v>1.1198349588521399E-3</v>
      </c>
      <c r="AJ88">
        <f t="shared" si="94"/>
        <v>0.24000000000000007</v>
      </c>
      <c r="AU88">
        <v>7.6919599999999999</v>
      </c>
      <c r="AV88">
        <v>1.6251899999999999</v>
      </c>
      <c r="AX88">
        <f t="shared" si="88"/>
        <v>49199421.925238192</v>
      </c>
      <c r="AY88">
        <f t="shared" si="89"/>
        <v>4.2188103228619871E-3</v>
      </c>
      <c r="BA88">
        <f t="shared" si="86"/>
        <v>227.31275043796353</v>
      </c>
      <c r="BJ88">
        <f t="shared" si="87"/>
        <v>4.5900450434702327E-3</v>
      </c>
      <c r="BK88">
        <f t="shared" si="90"/>
        <v>1.3781521778508219E-7</v>
      </c>
      <c r="BL88">
        <f t="shared" si="91"/>
        <v>2.1083884120840415E-3</v>
      </c>
      <c r="BM88">
        <f t="shared" si="92"/>
        <v>0.25024106188939188</v>
      </c>
      <c r="BT88">
        <v>100</v>
      </c>
      <c r="BU88">
        <f t="shared" si="93"/>
        <v>0.33505651523934099</v>
      </c>
    </row>
    <row r="89" spans="6:73" x14ac:dyDescent="0.25">
      <c r="H89" s="84"/>
      <c r="I89" s="74">
        <f t="shared" si="102"/>
        <v>2.6566333287305472E-5</v>
      </c>
      <c r="J89" s="74">
        <f t="shared" si="102"/>
        <v>1.1419899438736175E-5</v>
      </c>
      <c r="K89" s="74">
        <f t="shared" si="102"/>
        <v>1.4050379676614527E-5</v>
      </c>
      <c r="L89" s="74">
        <f t="shared" si="102"/>
        <v>1.3495426055757965E-5</v>
      </c>
      <c r="M89" s="74">
        <f t="shared" si="102"/>
        <v>9.5543254436962943E-6</v>
      </c>
      <c r="N89" s="74">
        <f t="shared" si="102"/>
        <v>9.0540857996329553E-5</v>
      </c>
      <c r="O89" s="74">
        <f t="shared" si="102"/>
        <v>9.0540857996329553E-5</v>
      </c>
      <c r="P89" s="74">
        <f t="shared" si="102"/>
        <v>9.5823668450210271E-5</v>
      </c>
      <c r="Q89" s="74">
        <f t="shared" si="102"/>
        <v>7.4215362452813958E-5</v>
      </c>
      <c r="R89" s="74">
        <f t="shared" si="102"/>
        <v>2.6367348288960376E-5</v>
      </c>
      <c r="S89" s="74">
        <f t="shared" si="102"/>
        <v>3.32403160144281E-5</v>
      </c>
      <c r="AI89">
        <v>9.5115168287362799E-4</v>
      </c>
      <c r="AJ89">
        <f t="shared" si="94"/>
        <v>0.25000000000000006</v>
      </c>
      <c r="AU89">
        <v>7.7267700000000001</v>
      </c>
      <c r="AV89">
        <v>1.66048</v>
      </c>
      <c r="AX89">
        <f t="shared" si="88"/>
        <v>53305251.90013662</v>
      </c>
      <c r="AY89">
        <f t="shared" si="89"/>
        <v>4.5759366143423392E-3</v>
      </c>
      <c r="BA89">
        <f t="shared" si="86"/>
        <v>233.46787488298929</v>
      </c>
      <c r="BJ89">
        <f t="shared" si="87"/>
        <v>4.5164300583445359E-3</v>
      </c>
      <c r="BK89">
        <f t="shared" si="90"/>
        <v>3.5410302067197024E-9</v>
      </c>
      <c r="BL89">
        <f t="shared" si="91"/>
        <v>2.0440384667727469E-3</v>
      </c>
      <c r="BM89">
        <f t="shared" si="92"/>
        <v>0.30614872991049469</v>
      </c>
      <c r="BT89">
        <v>150</v>
      </c>
      <c r="BU89">
        <f t="shared" si="93"/>
        <v>0.2864315815122967</v>
      </c>
    </row>
    <row r="90" spans="6:73" x14ac:dyDescent="0.25">
      <c r="AI90">
        <v>8.0787755077824997E-4</v>
      </c>
      <c r="AJ90">
        <f t="shared" si="94"/>
        <v>0.26000000000000006</v>
      </c>
      <c r="AU90">
        <v>7.80335</v>
      </c>
      <c r="AV90">
        <v>1.61006</v>
      </c>
      <c r="AX90">
        <f t="shared" si="88"/>
        <v>63584315.446182802</v>
      </c>
      <c r="AY90">
        <f t="shared" si="89"/>
        <v>4.0743656335738287E-3</v>
      </c>
      <c r="BA90">
        <f t="shared" si="86"/>
        <v>247.60179960602858</v>
      </c>
      <c r="BJ90">
        <f t="shared" si="87"/>
        <v>4.3586103347042562E-3</v>
      </c>
      <c r="BK90">
        <f t="shared" si="90"/>
        <v>8.0795050120726044E-8</v>
      </c>
      <c r="BL90">
        <f t="shared" si="91"/>
        <v>1.9093010639063936E-3</v>
      </c>
      <c r="BM90">
        <f t="shared" si="92"/>
        <v>0.28237204953636907</v>
      </c>
    </row>
    <row r="91" spans="6:73" x14ac:dyDescent="0.25">
      <c r="H91" s="84" t="s">
        <v>91</v>
      </c>
      <c r="I91" s="54">
        <f>+IF($I$81="","",$I$81*I86)</f>
        <v>4.8521103369457125E-10</v>
      </c>
      <c r="J91" s="54">
        <f t="shared" ref="J91:S91" si="103">+IF($I$81="","",$I$81*J86)</f>
        <v>7.0779001269699782E-10</v>
      </c>
      <c r="K91" s="54">
        <f t="shared" si="103"/>
        <v>8.7909435979092916E-10</v>
      </c>
      <c r="L91" s="54">
        <f t="shared" si="103"/>
        <v>8.4243601206040232E-10</v>
      </c>
      <c r="M91" s="54">
        <f t="shared" si="103"/>
        <v>6.4032284845578263E-10</v>
      </c>
      <c r="N91" s="54">
        <f t="shared" si="103"/>
        <v>6.0228379716264957E-9</v>
      </c>
      <c r="O91" s="54">
        <f t="shared" si="103"/>
        <v>6.0228379716264957E-9</v>
      </c>
      <c r="P91" s="54">
        <f t="shared" si="103"/>
        <v>6.3871355577448348E-9</v>
      </c>
      <c r="Q91" s="54">
        <f t="shared" si="103"/>
        <v>4.8313998639024639E-9</v>
      </c>
      <c r="R91" s="54">
        <f t="shared" si="103"/>
        <v>1.6861812988502858E-9</v>
      </c>
      <c r="S91" s="54">
        <f t="shared" si="103"/>
        <v>2.184979190267379E-9</v>
      </c>
      <c r="U91" s="76" t="s">
        <v>95</v>
      </c>
      <c r="AI91">
        <v>6.8618512567798198E-4</v>
      </c>
      <c r="AJ91">
        <f t="shared" si="94"/>
        <v>0.27000000000000007</v>
      </c>
      <c r="AU91">
        <v>7.9286500000000002</v>
      </c>
      <c r="AV91">
        <v>1.5798099999999999</v>
      </c>
      <c r="AX91">
        <f t="shared" si="88"/>
        <v>84849639.212010816</v>
      </c>
      <c r="AY91">
        <f t="shared" si="89"/>
        <v>3.800231031961687E-3</v>
      </c>
      <c r="BA91">
        <f t="shared" si="86"/>
        <v>272.59661808272807</v>
      </c>
      <c r="BJ91">
        <f t="shared" si="87"/>
        <v>4.1121912230856388E-3</v>
      </c>
      <c r="BK91">
        <f t="shared" si="90"/>
        <v>9.73191608460925E-8</v>
      </c>
      <c r="BL91">
        <f t="shared" si="91"/>
        <v>1.7077291830779413E-3</v>
      </c>
      <c r="BM91">
        <f t="shared" si="92"/>
        <v>0.30318778540692276</v>
      </c>
    </row>
    <row r="92" spans="6:73" x14ac:dyDescent="0.25">
      <c r="H92" s="84"/>
      <c r="I92" s="54">
        <f t="shared" ref="I92:S94" si="104">+IF($I$81="","",$I$81*I87)</f>
        <v>2.6360341146325439E-9</v>
      </c>
      <c r="J92" s="54">
        <f t="shared" si="104"/>
        <v>1.1037255932117672E-9</v>
      </c>
      <c r="K92" s="54">
        <f t="shared" si="104"/>
        <v>1.3664875922460974E-9</v>
      </c>
      <c r="L92" s="54">
        <f t="shared" si="104"/>
        <v>1.3105321310634035E-9</v>
      </c>
      <c r="M92" s="54">
        <f t="shared" si="104"/>
        <v>1.0014209491267652E-9</v>
      </c>
      <c r="N92" s="54">
        <f t="shared" si="104"/>
        <v>9.2641236802768965E-9</v>
      </c>
      <c r="O92" s="54">
        <f t="shared" si="104"/>
        <v>9.2641236802768965E-9</v>
      </c>
      <c r="P92" s="54">
        <f t="shared" si="104"/>
        <v>9.8203787664096408E-9</v>
      </c>
      <c r="Q92" s="54">
        <f t="shared" si="104"/>
        <v>7.4630185464396497E-9</v>
      </c>
      <c r="R92" s="54">
        <f t="shared" si="104"/>
        <v>2.6123868849069401E-9</v>
      </c>
      <c r="S92" s="54">
        <f t="shared" si="104"/>
        <v>3.3674527259607823E-9</v>
      </c>
      <c r="AI92">
        <v>5.8282350617135602E-4</v>
      </c>
      <c r="AJ92">
        <f t="shared" si="94"/>
        <v>0.28000000000000008</v>
      </c>
      <c r="AU92">
        <v>8.0469899999999992</v>
      </c>
      <c r="AV92">
        <v>1.54451</v>
      </c>
      <c r="AX92">
        <f t="shared" si="88"/>
        <v>111426887.6307299</v>
      </c>
      <c r="AY92">
        <f t="shared" si="89"/>
        <v>3.5035635546190741E-3</v>
      </c>
      <c r="BA92">
        <f t="shared" si="86"/>
        <v>298.51566773112421</v>
      </c>
      <c r="BJ92">
        <f t="shared" si="87"/>
        <v>3.8922657758302527E-3</v>
      </c>
      <c r="BK92">
        <f t="shared" si="90"/>
        <v>1.5108941677450401E-7</v>
      </c>
      <c r="BL92">
        <f t="shared" si="91"/>
        <v>1.5369336645532417E-3</v>
      </c>
      <c r="BM92">
        <f t="shared" si="92"/>
        <v>0.31508321710264559</v>
      </c>
    </row>
    <row r="93" spans="6:73" x14ac:dyDescent="0.25">
      <c r="H93" s="84"/>
      <c r="I93" s="54">
        <f t="shared" si="104"/>
        <v>4.8727681698983968E-9</v>
      </c>
      <c r="J93" s="54">
        <f t="shared" si="104"/>
        <v>2.0600466915828317E-9</v>
      </c>
      <c r="K93" s="54">
        <f t="shared" si="104"/>
        <v>2.5421285507388288E-9</v>
      </c>
      <c r="L93" s="54">
        <f t="shared" si="104"/>
        <v>2.4394174591954669E-9</v>
      </c>
      <c r="M93" s="54">
        <f t="shared" si="104"/>
        <v>1.8769540214341264E-9</v>
      </c>
      <c r="N93" s="54">
        <f t="shared" si="104"/>
        <v>1.6947828513357796E-8</v>
      </c>
      <c r="O93" s="54">
        <f t="shared" si="104"/>
        <v>1.6947828513357796E-8</v>
      </c>
      <c r="P93" s="54">
        <f t="shared" si="104"/>
        <v>1.7954029328294998E-8</v>
      </c>
      <c r="Q93" s="54">
        <f t="shared" si="104"/>
        <v>1.3736284069304071E-8</v>
      </c>
      <c r="R93" s="54">
        <f t="shared" si="104"/>
        <v>4.8313998639024639E-9</v>
      </c>
      <c r="S93" s="54">
        <f t="shared" si="104"/>
        <v>6.1803851741165303E-9</v>
      </c>
      <c r="AI93">
        <v>4.9503148149743204E-4</v>
      </c>
      <c r="AJ93">
        <f t="shared" si="94"/>
        <v>0.29000000000000009</v>
      </c>
      <c r="AU93">
        <v>8.1374899999999997</v>
      </c>
      <c r="AV93">
        <v>1.5344199999999999</v>
      </c>
      <c r="AX93">
        <f t="shared" si="88"/>
        <v>137242935.9289898</v>
      </c>
      <c r="AY93">
        <f t="shared" si="89"/>
        <v>3.4231032592614108E-3</v>
      </c>
      <c r="BA93">
        <f t="shared" si="86"/>
        <v>319.98807729225729</v>
      </c>
      <c r="BJ93">
        <f t="shared" si="87"/>
        <v>3.7320494216934032E-3</v>
      </c>
      <c r="BK93">
        <f t="shared" si="90"/>
        <v>9.5447731281455018E-8</v>
      </c>
      <c r="BL93">
        <f t="shared" si="91"/>
        <v>1.4179385102349243E-3</v>
      </c>
      <c r="BM93">
        <f t="shared" si="92"/>
        <v>0.34313113131055667</v>
      </c>
    </row>
    <row r="94" spans="6:73" x14ac:dyDescent="0.25">
      <c r="H94" s="84"/>
      <c r="I94" s="54">
        <f t="shared" si="104"/>
        <v>1.3839946919009083E-8</v>
      </c>
      <c r="J94" s="54">
        <f t="shared" si="104"/>
        <v>5.9492892881854236E-9</v>
      </c>
      <c r="K94" s="54">
        <f t="shared" si="104"/>
        <v>7.3196593151674676E-9</v>
      </c>
      <c r="L94" s="54">
        <f t="shared" si="104"/>
        <v>7.0305517227833586E-9</v>
      </c>
      <c r="M94" s="54">
        <f t="shared" si="104"/>
        <v>4.9774033758313352E-9</v>
      </c>
      <c r="N94" s="54">
        <f t="shared" si="104"/>
        <v>4.7167994736763903E-8</v>
      </c>
      <c r="O94" s="54">
        <f t="shared" si="104"/>
        <v>4.7167994736763903E-8</v>
      </c>
      <c r="P94" s="54">
        <f t="shared" si="104"/>
        <v>4.9920117714150187E-8</v>
      </c>
      <c r="Q94" s="54">
        <f t="shared" si="104"/>
        <v>3.8663095347553091E-8</v>
      </c>
      <c r="R94" s="54">
        <f t="shared" si="104"/>
        <v>1.3736284069304071E-8</v>
      </c>
      <c r="S94" s="54">
        <f t="shared" si="104"/>
        <v>1.7316812381880389E-8</v>
      </c>
      <c r="U94" s="75" t="s">
        <v>94</v>
      </c>
      <c r="AI94">
        <v>4.2046376832559199E-4</v>
      </c>
      <c r="AJ94">
        <f t="shared" si="94"/>
        <v>0.3000000000000001</v>
      </c>
      <c r="AU94">
        <v>8.1792599999999993</v>
      </c>
      <c r="AV94">
        <v>1.4739199999999999</v>
      </c>
      <c r="AX94">
        <f t="shared" si="88"/>
        <v>151098446.77243739</v>
      </c>
      <c r="AY94">
        <f t="shared" si="89"/>
        <v>2.9779678169574463E-3</v>
      </c>
      <c r="BA94">
        <f t="shared" si="86"/>
        <v>330.41300307152227</v>
      </c>
      <c r="BJ94">
        <f t="shared" si="87"/>
        <v>3.6603431345281078E-3</v>
      </c>
      <c r="BK94">
        <f t="shared" si="90"/>
        <v>4.6563607402966106E-7</v>
      </c>
      <c r="BL94">
        <f t="shared" si="91"/>
        <v>1.3661686145804122E-3</v>
      </c>
      <c r="BM94">
        <f t="shared" si="92"/>
        <v>0.29294215564657056</v>
      </c>
    </row>
    <row r="95" spans="6:73" x14ac:dyDescent="0.25">
      <c r="AI95">
        <v>3.5712835866474901E-4</v>
      </c>
      <c r="AJ95">
        <f t="shared" si="94"/>
        <v>0.31000000000000011</v>
      </c>
      <c r="AU95">
        <v>8.2975999999999992</v>
      </c>
      <c r="AV95">
        <v>1.4134100000000001</v>
      </c>
      <c r="AX95">
        <f t="shared" si="88"/>
        <v>198426649.8484644</v>
      </c>
      <c r="AY95">
        <f t="shared" si="89"/>
        <v>2.5906574968824385E-3</v>
      </c>
      <c r="BA95">
        <f t="shared" si="86"/>
        <v>361.8293540567991</v>
      </c>
      <c r="BJ95">
        <f t="shared" si="87"/>
        <v>3.464583123065113E-3</v>
      </c>
      <c r="BK95">
        <f t="shared" si="90"/>
        <v>7.637460000987797E-7</v>
      </c>
      <c r="BL95">
        <f t="shared" si="91"/>
        <v>1.2295336731438095E-3</v>
      </c>
      <c r="BM95">
        <f t="shared" si="92"/>
        <v>0.27604206717231455</v>
      </c>
    </row>
    <row r="96" spans="6:73" x14ac:dyDescent="0.25">
      <c r="AI96">
        <v>3.0333330519887998E-4</v>
      </c>
      <c r="AJ96">
        <f t="shared" si="94"/>
        <v>0.32000000000000012</v>
      </c>
      <c r="AU96">
        <v>8.4020200000000003</v>
      </c>
      <c r="AV96">
        <v>1.3680300000000001</v>
      </c>
      <c r="AX96">
        <f t="shared" si="88"/>
        <v>252359698.57406497</v>
      </c>
      <c r="AY96">
        <f t="shared" si="89"/>
        <v>2.3336192574209031E-3</v>
      </c>
      <c r="BA96">
        <f t="shared" ref="BA96:BA114" si="105">+(3*AX96/4/PI())^0.33333333333</f>
        <v>392.0220212428369</v>
      </c>
      <c r="BJ96">
        <f t="shared" ref="BJ96:BJ114" si="106">+$BJ$62*AX96^-$BJ$63</f>
        <v>3.3005630067293968E-3</v>
      </c>
      <c r="BK96">
        <f t="shared" si="90"/>
        <v>9.3498021432676727E-7</v>
      </c>
      <c r="BL96">
        <f t="shared" ref="BL96:BL114" si="107">+$BL$62*AX96^-$BL$63</f>
        <v>1.1203652399617236E-3</v>
      </c>
      <c r="BM96">
        <f t="shared" si="92"/>
        <v>0.27029840074403749</v>
      </c>
    </row>
    <row r="97" spans="35:65" x14ac:dyDescent="0.25">
      <c r="AI97">
        <v>2.57641522467979E-4</v>
      </c>
      <c r="AJ97">
        <f t="shared" si="94"/>
        <v>0.33000000000000013</v>
      </c>
      <c r="AU97">
        <v>8.4994800000000001</v>
      </c>
      <c r="AV97">
        <v>1.3024800000000001</v>
      </c>
      <c r="AX97">
        <f t="shared" si="88"/>
        <v>315849359.10690475</v>
      </c>
      <c r="AY97">
        <f t="shared" si="89"/>
        <v>2.0066886764616514E-3</v>
      </c>
      <c r="BA97">
        <f t="shared" si="105"/>
        <v>422.47122131203366</v>
      </c>
      <c r="BJ97">
        <f t="shared" si="106"/>
        <v>3.1544888609525185E-3</v>
      </c>
      <c r="BK97">
        <f t="shared" si="90"/>
        <v>1.3174452635172685E-6</v>
      </c>
      <c r="BL97">
        <f t="shared" si="107"/>
        <v>1.0272363115161171E-3</v>
      </c>
      <c r="BM97">
        <f t="shared" si="92"/>
        <v>0.23823558845717449</v>
      </c>
    </row>
    <row r="98" spans="35:65" x14ac:dyDescent="0.25">
      <c r="AI98">
        <v>2.1883239644949999E-4</v>
      </c>
      <c r="AJ98">
        <f t="shared" si="94"/>
        <v>0.34000000000000014</v>
      </c>
      <c r="AU98">
        <v>8.59694</v>
      </c>
      <c r="AV98">
        <v>1.24197</v>
      </c>
      <c r="AX98">
        <f t="shared" si="88"/>
        <v>395312001.92396545</v>
      </c>
      <c r="AY98">
        <f t="shared" si="89"/>
        <v>1.7457015599637554E-3</v>
      </c>
      <c r="BA98">
        <f t="shared" si="105"/>
        <v>455.28547674703429</v>
      </c>
      <c r="BJ98">
        <f t="shared" si="106"/>
        <v>3.0148795686024492E-3</v>
      </c>
      <c r="BK98">
        <f t="shared" si="90"/>
        <v>1.6108128176120805E-6</v>
      </c>
      <c r="BL98">
        <f t="shared" si="107"/>
        <v>9.4184860620389298E-4</v>
      </c>
      <c r="BM98">
        <f t="shared" si="92"/>
        <v>0.21203776791577511</v>
      </c>
    </row>
    <row r="99" spans="35:65" x14ac:dyDescent="0.25">
      <c r="AI99">
        <v>1.8586917697547301E-4</v>
      </c>
      <c r="AJ99">
        <f t="shared" si="94"/>
        <v>0.35000000000000014</v>
      </c>
      <c r="AU99">
        <v>8.6665500000000009</v>
      </c>
      <c r="AV99">
        <v>1.20163</v>
      </c>
      <c r="AX99">
        <f t="shared" si="88"/>
        <v>464034210.81974161</v>
      </c>
      <c r="AY99">
        <f t="shared" si="89"/>
        <v>1.5908528121738783E-3</v>
      </c>
      <c r="BA99">
        <f t="shared" si="105"/>
        <v>480.27184775061579</v>
      </c>
      <c r="BJ99">
        <f t="shared" si="106"/>
        <v>2.918963531958696E-3</v>
      </c>
      <c r="BK99">
        <f t="shared" si="90"/>
        <v>1.7638780840073464E-6</v>
      </c>
      <c r="BL99">
        <f t="shared" si="107"/>
        <v>8.8524168139457861E-4</v>
      </c>
      <c r="BM99">
        <f t="shared" si="92"/>
        <v>0.19673011510541377</v>
      </c>
    </row>
    <row r="100" spans="35:65" x14ac:dyDescent="0.25">
      <c r="AI100">
        <v>1.5787128190369201E-4</v>
      </c>
      <c r="AJ100">
        <f t="shared" si="94"/>
        <v>0.36000000000000015</v>
      </c>
      <c r="AU100">
        <v>8.6943999999999999</v>
      </c>
      <c r="AV100">
        <v>1.1209499999999999</v>
      </c>
      <c r="AX100">
        <f t="shared" si="88"/>
        <v>494766173.68167716</v>
      </c>
      <c r="AY100">
        <f t="shared" si="89"/>
        <v>1.3211435231614221E-3</v>
      </c>
      <c r="BA100">
        <f t="shared" si="105"/>
        <v>490.64848652418772</v>
      </c>
      <c r="BJ100">
        <f t="shared" si="106"/>
        <v>2.8814490124501051E-3</v>
      </c>
      <c r="BK100">
        <f t="shared" si="90"/>
        <v>2.4345532199043967E-6</v>
      </c>
      <c r="BL100">
        <f t="shared" si="107"/>
        <v>8.6355864474743855E-4</v>
      </c>
      <c r="BM100">
        <f t="shared" si="92"/>
        <v>0.11996189794211734</v>
      </c>
    </row>
    <row r="101" spans="35:65" x14ac:dyDescent="0.25">
      <c r="AI101">
        <v>1.3409077317431701E-4</v>
      </c>
      <c r="AJ101">
        <f t="shared" si="94"/>
        <v>0.37000000000000016</v>
      </c>
      <c r="AU101">
        <v>8.7918599999999998</v>
      </c>
      <c r="AV101">
        <v>1.07053</v>
      </c>
      <c r="AX101">
        <f t="shared" si="88"/>
        <v>619241423.04865134</v>
      </c>
      <c r="AY101">
        <f t="shared" si="89"/>
        <v>1.1763322400306403E-3</v>
      </c>
      <c r="BA101">
        <f t="shared" si="105"/>
        <v>528.75821791748854</v>
      </c>
      <c r="BJ101">
        <f t="shared" si="106"/>
        <v>2.7539237380544645E-3</v>
      </c>
      <c r="BK101">
        <f t="shared" si="90"/>
        <v>2.4887949346370537E-6</v>
      </c>
      <c r="BL101">
        <f t="shared" si="107"/>
        <v>7.9177643626155607E-4</v>
      </c>
      <c r="BM101">
        <f t="shared" si="92"/>
        <v>0.10687072124373022</v>
      </c>
    </row>
    <row r="102" spans="35:65" x14ac:dyDescent="0.25">
      <c r="AI102">
        <v>1.13892376331339E-4</v>
      </c>
      <c r="AJ102">
        <f t="shared" si="94"/>
        <v>0.38000000000000017</v>
      </c>
      <c r="AU102">
        <v>8.8754000000000008</v>
      </c>
      <c r="AV102">
        <v>1.04532</v>
      </c>
      <c r="AX102">
        <f t="shared" si="88"/>
        <v>750585205.59024024</v>
      </c>
      <c r="AY102">
        <f t="shared" si="89"/>
        <v>1.1099923866362848E-3</v>
      </c>
      <c r="BA102">
        <f t="shared" si="105"/>
        <v>563.77238196149142</v>
      </c>
      <c r="BJ102">
        <f t="shared" si="106"/>
        <v>2.6491145409394982E-3</v>
      </c>
      <c r="BK102">
        <f t="shared" si="90"/>
        <v>2.3688970058669648E-6</v>
      </c>
      <c r="BL102">
        <f t="shared" si="107"/>
        <v>7.3501530944030248E-4</v>
      </c>
      <c r="BM102">
        <f t="shared" si="92"/>
        <v>0.11412201709943047</v>
      </c>
    </row>
    <row r="103" spans="35:65" x14ac:dyDescent="0.25">
      <c r="AI103" s="53">
        <v>9.6736509748783904E-5</v>
      </c>
      <c r="AJ103">
        <f t="shared" si="94"/>
        <v>0.39000000000000018</v>
      </c>
      <c r="AU103">
        <v>8.9241200000000003</v>
      </c>
      <c r="AV103">
        <v>0.98480900000000005</v>
      </c>
      <c r="AX103">
        <f t="shared" si="88"/>
        <v>839691969.93375206</v>
      </c>
      <c r="AY103">
        <f t="shared" si="89"/>
        <v>9.6562610926076724E-4</v>
      </c>
      <c r="BA103">
        <f t="shared" si="105"/>
        <v>585.25319986012266</v>
      </c>
      <c r="BJ103">
        <f t="shared" si="106"/>
        <v>2.5898418164613411E-3</v>
      </c>
      <c r="BK103">
        <f t="shared" si="90"/>
        <v>2.6380766635170598E-6</v>
      </c>
      <c r="BL103">
        <f t="shared" si="107"/>
        <v>7.0381030353905438E-4</v>
      </c>
      <c r="BM103">
        <f t="shared" si="92"/>
        <v>7.3514620967013958E-2</v>
      </c>
    </row>
    <row r="104" spans="35:65" x14ac:dyDescent="0.25">
      <c r="AI104" s="53">
        <v>8.2164870203007602E-5</v>
      </c>
      <c r="AJ104">
        <f t="shared" si="94"/>
        <v>0.40000000000000019</v>
      </c>
      <c r="AU104">
        <v>8.9450099999999999</v>
      </c>
      <c r="AV104">
        <v>0.93942800000000004</v>
      </c>
      <c r="AX104">
        <f t="shared" si="88"/>
        <v>881069160.14159155</v>
      </c>
      <c r="AY104">
        <f t="shared" si="89"/>
        <v>8.6981721748370731E-4</v>
      </c>
      <c r="BA104">
        <f t="shared" si="105"/>
        <v>594.71258677081209</v>
      </c>
      <c r="BJ104">
        <f t="shared" si="106"/>
        <v>2.5648350327201917E-3</v>
      </c>
      <c r="BK104">
        <f t="shared" si="90"/>
        <v>2.8730853939690645E-6</v>
      </c>
      <c r="BL104">
        <f t="shared" si="107"/>
        <v>6.908394662303441E-4</v>
      </c>
      <c r="BM104">
        <f t="shared" si="92"/>
        <v>4.2339146040449083E-2</v>
      </c>
    </row>
    <row r="105" spans="35:65" x14ac:dyDescent="0.25">
      <c r="AI105" s="53">
        <v>6.9788189722877101E-5</v>
      </c>
      <c r="AJ105">
        <f t="shared" si="94"/>
        <v>0.4100000000000002</v>
      </c>
      <c r="AU105">
        <v>9.0007000000000001</v>
      </c>
      <c r="AV105">
        <v>0.88900500000000005</v>
      </c>
      <c r="AX105">
        <f t="shared" si="88"/>
        <v>1001613109.2283105</v>
      </c>
      <c r="AY105">
        <f t="shared" si="89"/>
        <v>7.7447071417479903E-4</v>
      </c>
      <c r="BA105">
        <f t="shared" si="105"/>
        <v>620.68387602868108</v>
      </c>
      <c r="BJ105">
        <f t="shared" si="106"/>
        <v>2.4993437650211764E-3</v>
      </c>
      <c r="BK105">
        <f t="shared" si="90"/>
        <v>2.9751870415360899E-6</v>
      </c>
      <c r="BL105">
        <f t="shared" si="107"/>
        <v>6.5741706097001765E-4</v>
      </c>
      <c r="BM105">
        <f t="shared" si="92"/>
        <v>2.2843357936780891E-2</v>
      </c>
    </row>
    <row r="106" spans="35:65" x14ac:dyDescent="0.25">
      <c r="AI106" s="53">
        <v>5.9275836653339197E-5</v>
      </c>
      <c r="AJ106">
        <f t="shared" si="94"/>
        <v>0.42000000000000021</v>
      </c>
      <c r="AU106">
        <v>9.0285499999999992</v>
      </c>
      <c r="AV106">
        <v>0.81841200000000003</v>
      </c>
      <c r="AX106">
        <f t="shared" si="88"/>
        <v>1067947737.4887031</v>
      </c>
      <c r="AY106">
        <f t="shared" si="89"/>
        <v>6.5828203039429596E-4</v>
      </c>
      <c r="BA106">
        <f t="shared" si="105"/>
        <v>634.09422353144464</v>
      </c>
      <c r="BJ106">
        <f t="shared" si="106"/>
        <v>2.467222198785422E-3</v>
      </c>
      <c r="BK106">
        <f t="shared" si="90"/>
        <v>3.2722645328189149E-6</v>
      </c>
      <c r="BL106">
        <f t="shared" si="107"/>
        <v>6.4131434176342597E-4</v>
      </c>
      <c r="BM106">
        <f t="shared" si="92"/>
        <v>6.6438737614519323E-4</v>
      </c>
    </row>
    <row r="107" spans="35:65" x14ac:dyDescent="0.25">
      <c r="AI107" s="53">
        <v>5.0346983134333297E-5</v>
      </c>
      <c r="AJ107">
        <f t="shared" si="94"/>
        <v>0.43000000000000022</v>
      </c>
      <c r="AU107">
        <v>9.1886600000000005</v>
      </c>
      <c r="AV107">
        <v>0.72765000000000002</v>
      </c>
      <c r="AX107">
        <f t="shared" si="88"/>
        <v>1544045165.8129377</v>
      </c>
      <c r="AY107">
        <f t="shared" si="89"/>
        <v>5.3413372497163308E-4</v>
      </c>
      <c r="BA107">
        <f t="shared" si="105"/>
        <v>717.00766245105979</v>
      </c>
      <c r="BJ107">
        <f t="shared" si="106"/>
        <v>2.2904027854178301E-3</v>
      </c>
      <c r="BK107">
        <f t="shared" si="90"/>
        <v>3.0844810126805677E-6</v>
      </c>
      <c r="BL107">
        <f t="shared" si="107"/>
        <v>5.561013912638189E-4</v>
      </c>
      <c r="BM107">
        <f t="shared" si="92"/>
        <v>1.6914838098659815E-3</v>
      </c>
    </row>
    <row r="108" spans="35:65" x14ac:dyDescent="0.25">
      <c r="AI108" s="53">
        <v>4.2763103042360001E-5</v>
      </c>
      <c r="AJ108">
        <f t="shared" si="94"/>
        <v>0.44000000000000022</v>
      </c>
      <c r="AU108">
        <v>9.3070000000000004</v>
      </c>
      <c r="AV108">
        <v>0.657057</v>
      </c>
      <c r="AX108">
        <f t="shared" si="88"/>
        <v>2027682719.5212848</v>
      </c>
      <c r="AY108">
        <f t="shared" si="89"/>
        <v>4.5400119919451981E-4</v>
      </c>
      <c r="BA108">
        <f t="shared" si="105"/>
        <v>785.1822323780774</v>
      </c>
      <c r="BJ108">
        <f t="shared" si="106"/>
        <v>2.1679090029910419E-3</v>
      </c>
      <c r="BK108">
        <f t="shared" si="90"/>
        <v>2.9374799599146178E-6</v>
      </c>
      <c r="BL108">
        <f t="shared" si="107"/>
        <v>5.0048389264965181E-4</v>
      </c>
      <c r="BM108">
        <f t="shared" si="92"/>
        <v>1.048258930246127E-2</v>
      </c>
    </row>
    <row r="109" spans="35:65" x14ac:dyDescent="0.25">
      <c r="AI109" s="53">
        <v>3.6321599984100298E-5</v>
      </c>
      <c r="AJ109">
        <f t="shared" si="94"/>
        <v>0.45000000000000023</v>
      </c>
      <c r="AU109">
        <v>9.5297599999999996</v>
      </c>
      <c r="AV109">
        <v>0.546126</v>
      </c>
      <c r="AX109">
        <f t="shared" si="88"/>
        <v>3386569556.6870275</v>
      </c>
      <c r="AY109">
        <f t="shared" si="89"/>
        <v>3.5166245205220159E-4</v>
      </c>
      <c r="BA109">
        <f t="shared" si="105"/>
        <v>931.5878095578073</v>
      </c>
      <c r="BJ109">
        <f t="shared" si="106"/>
        <v>1.9548222650853484E-3</v>
      </c>
      <c r="BK109">
        <f t="shared" si="90"/>
        <v>2.5701213861244741E-6</v>
      </c>
      <c r="BL109">
        <f t="shared" si="107"/>
        <v>4.1043598169441013E-4</v>
      </c>
      <c r="BM109">
        <f t="shared" si="92"/>
        <v>2.7932611824009603E-2</v>
      </c>
    </row>
    <row r="110" spans="35:65" x14ac:dyDescent="0.25">
      <c r="AI110" s="53">
        <v>3.0850395119787499E-5</v>
      </c>
      <c r="AJ110">
        <f t="shared" si="94"/>
        <v>0.46000000000000024</v>
      </c>
      <c r="AU110">
        <v>9.7803699999999996</v>
      </c>
      <c r="AV110">
        <v>0.44527899999999998</v>
      </c>
      <c r="AX110">
        <f t="shared" si="88"/>
        <v>6030731593.6093893</v>
      </c>
      <c r="AY110">
        <f t="shared" si="89"/>
        <v>2.7879116070946193E-4</v>
      </c>
      <c r="BA110">
        <f t="shared" si="105"/>
        <v>1129.1729440583247</v>
      </c>
      <c r="BJ110">
        <f t="shared" si="106"/>
        <v>1.7400261488469278E-3</v>
      </c>
      <c r="BK110">
        <f t="shared" si="90"/>
        <v>2.1352076905571004E-6</v>
      </c>
      <c r="BL110">
        <f t="shared" si="107"/>
        <v>3.2834524469200463E-4</v>
      </c>
      <c r="BM110">
        <f t="shared" si="92"/>
        <v>3.1593730196582064E-2</v>
      </c>
    </row>
    <row r="111" spans="35:65" x14ac:dyDescent="0.25">
      <c r="AI111" s="53">
        <v>2.6203330235001599E-5</v>
      </c>
      <c r="AJ111">
        <f t="shared" si="94"/>
        <v>0.47000000000000025</v>
      </c>
      <c r="AU111">
        <v>9.9404800000000009</v>
      </c>
      <c r="AV111">
        <v>0.37972899999999998</v>
      </c>
      <c r="AX111">
        <f t="shared" si="88"/>
        <v>8719267466.5191021</v>
      </c>
      <c r="AY111">
        <f t="shared" si="89"/>
        <v>2.3973365128618888E-4</v>
      </c>
      <c r="BA111">
        <f t="shared" si="105"/>
        <v>1276.8223129572341</v>
      </c>
      <c r="BJ111">
        <f t="shared" si="106"/>
        <v>1.6153229895470281E-3</v>
      </c>
      <c r="BK111">
        <f t="shared" si="90"/>
        <v>1.8922460275368936E-6</v>
      </c>
      <c r="BL111">
        <f t="shared" si="107"/>
        <v>2.8471723692628694E-4</v>
      </c>
      <c r="BM111">
        <f t="shared" si="92"/>
        <v>3.5208712169669934E-2</v>
      </c>
    </row>
    <row r="112" spans="35:65" x14ac:dyDescent="0.25">
      <c r="AI112" s="53">
        <v>2.2256263258169901E-5</v>
      </c>
      <c r="AJ112">
        <f t="shared" si="94"/>
        <v>0.48000000000000026</v>
      </c>
      <c r="AU112">
        <v>10.0936</v>
      </c>
      <c r="AV112">
        <v>0.29905100000000001</v>
      </c>
      <c r="AX112">
        <f t="shared" si="88"/>
        <v>12405092300.422279</v>
      </c>
      <c r="AY112">
        <f t="shared" si="89"/>
        <v>1.9909071211461767E-4</v>
      </c>
      <c r="BA112">
        <f t="shared" si="105"/>
        <v>1436.0529832987984</v>
      </c>
      <c r="BJ112">
        <f t="shared" si="106"/>
        <v>1.504433352511959E-3</v>
      </c>
      <c r="BK112">
        <f t="shared" si="90"/>
        <v>1.7039194088395024E-6</v>
      </c>
      <c r="BL112">
        <f t="shared" si="107"/>
        <v>2.4842764876245095E-4</v>
      </c>
      <c r="BM112">
        <f t="shared" si="92"/>
        <v>6.1410461470230472E-2</v>
      </c>
    </row>
    <row r="113" spans="35:65" x14ac:dyDescent="0.25">
      <c r="AI113" s="53">
        <v>1.8903751919109199E-5</v>
      </c>
      <c r="AJ113">
        <f t="shared" si="94"/>
        <v>0.49000000000000027</v>
      </c>
      <c r="AU113">
        <v>10.170199999999999</v>
      </c>
      <c r="AV113">
        <v>0.17299300000000001</v>
      </c>
      <c r="AX113">
        <f t="shared" si="88"/>
        <v>14797896996.190331</v>
      </c>
      <c r="AY113">
        <f t="shared" si="89"/>
        <v>1.4893370722400678E-4</v>
      </c>
      <c r="BA113">
        <f t="shared" si="105"/>
        <v>1523.0136540412732</v>
      </c>
      <c r="BJ113">
        <f t="shared" si="106"/>
        <v>1.4518497489785732E-3</v>
      </c>
      <c r="BK113">
        <f t="shared" si="90"/>
        <v>1.6975902118613872E-6</v>
      </c>
      <c r="BL113">
        <f t="shared" si="107"/>
        <v>2.3204784777818696E-4</v>
      </c>
      <c r="BM113">
        <f t="shared" si="92"/>
        <v>0.31143243169616114</v>
      </c>
    </row>
    <row r="114" spans="35:65" x14ac:dyDescent="0.25">
      <c r="AI114" s="53">
        <v>1.60562369555925E-5</v>
      </c>
      <c r="AJ114">
        <f t="shared" si="94"/>
        <v>0.50000000000000022</v>
      </c>
      <c r="AU114">
        <v>10.295500000000001</v>
      </c>
      <c r="AV114">
        <v>1.16381E-2</v>
      </c>
      <c r="AX114">
        <f t="shared" si="88"/>
        <v>19746948794.09338</v>
      </c>
      <c r="AY114">
        <f t="shared" si="89"/>
        <v>1.0271600032719115E-4</v>
      </c>
      <c r="BA114">
        <f t="shared" si="105"/>
        <v>1676.7582951580478</v>
      </c>
      <c r="BJ114">
        <f t="shared" si="106"/>
        <v>1.3697677324930842E-3</v>
      </c>
      <c r="BK114">
        <f t="shared" si="90"/>
        <v>1.6054200919845903E-6</v>
      </c>
      <c r="BL114">
        <f t="shared" si="107"/>
        <v>2.0754970968824943E-4</v>
      </c>
      <c r="BM114">
        <f t="shared" si="92"/>
        <v>1.0416593241027441</v>
      </c>
    </row>
    <row r="115" spans="35:65" x14ac:dyDescent="0.25">
      <c r="AI115" s="53">
        <v>1.3637649619890001E-5</v>
      </c>
      <c r="AJ115">
        <f t="shared" si="94"/>
        <v>0.51000000000000023</v>
      </c>
    </row>
    <row r="116" spans="35:65" x14ac:dyDescent="0.25">
      <c r="AI116" s="53">
        <v>1.1583379572017799E-5</v>
      </c>
      <c r="AJ116">
        <f t="shared" si="94"/>
        <v>0.52000000000000024</v>
      </c>
    </row>
    <row r="117" spans="35:65" x14ac:dyDescent="0.25">
      <c r="AI117" s="53">
        <v>9.8385488738286604E-6</v>
      </c>
      <c r="AJ117">
        <f t="shared" si="94"/>
        <v>0.53000000000000025</v>
      </c>
    </row>
    <row r="118" spans="35:65" x14ac:dyDescent="0.25">
      <c r="AI118" s="53">
        <v>8.3565459752825193E-6</v>
      </c>
      <c r="AJ118">
        <f t="shared" si="94"/>
        <v>0.54000000000000026</v>
      </c>
    </row>
    <row r="119" spans="35:65" x14ac:dyDescent="0.25">
      <c r="AI119" s="53">
        <v>7.0977805296844899E-6</v>
      </c>
      <c r="AJ119">
        <f t="shared" si="94"/>
        <v>0.55000000000000027</v>
      </c>
    </row>
    <row r="120" spans="35:65" x14ac:dyDescent="0.25">
      <c r="AI120" s="53">
        <v>6.0286257739239101E-6</v>
      </c>
      <c r="AJ120">
        <f t="shared" si="94"/>
        <v>0.56000000000000028</v>
      </c>
    </row>
    <row r="121" spans="35:65" x14ac:dyDescent="0.25">
      <c r="AI121" s="53">
        <v>5.1205202203730702E-6</v>
      </c>
      <c r="AJ121">
        <f t="shared" si="94"/>
        <v>0.57000000000000028</v>
      </c>
    </row>
    <row r="122" spans="35:65" x14ac:dyDescent="0.25">
      <c r="AI122" s="53">
        <v>4.34920466296974E-6</v>
      </c>
      <c r="AJ122">
        <f t="shared" si="94"/>
        <v>0.58000000000000029</v>
      </c>
    </row>
    <row r="123" spans="35:65" x14ac:dyDescent="0.25">
      <c r="AI123" s="53">
        <v>3.6940741148014899E-6</v>
      </c>
      <c r="AJ123">
        <f t="shared" si="94"/>
        <v>0.5900000000000003</v>
      </c>
    </row>
    <row r="124" spans="35:65" x14ac:dyDescent="0.25">
      <c r="AI124" s="53">
        <v>3.1376273647992599E-6</v>
      </c>
      <c r="AJ124">
        <f t="shared" si="94"/>
        <v>0.60000000000000031</v>
      </c>
    </row>
    <row r="125" spans="35:65" x14ac:dyDescent="0.25">
      <c r="AI125" s="53">
        <v>2.6649994489528998E-6</v>
      </c>
      <c r="AJ125">
        <f t="shared" si="94"/>
        <v>0.61000000000000032</v>
      </c>
    </row>
    <row r="126" spans="35:65" x14ac:dyDescent="0.25">
      <c r="AI126" s="53">
        <v>2.2635645464462798E-6</v>
      </c>
      <c r="AJ126">
        <f t="shared" si="94"/>
        <v>0.62000000000000033</v>
      </c>
    </row>
    <row r="127" spans="35:65" x14ac:dyDescent="0.25">
      <c r="AI127" s="53">
        <v>1.9225986924468899E-6</v>
      </c>
      <c r="AJ127">
        <f t="shared" si="94"/>
        <v>0.63000000000000034</v>
      </c>
    </row>
    <row r="128" spans="35:65" x14ac:dyDescent="0.25">
      <c r="AI128" s="53">
        <v>1.6329932972318799E-6</v>
      </c>
      <c r="AJ128">
        <f t="shared" si="94"/>
        <v>0.64000000000000035</v>
      </c>
    </row>
    <row r="129" spans="35:36" x14ac:dyDescent="0.25">
      <c r="AI129" s="53">
        <v>1.38701181857686E-6</v>
      </c>
      <c r="AJ129">
        <f t="shared" si="94"/>
        <v>0.65000000000000036</v>
      </c>
    </row>
    <row r="130" spans="35:36" x14ac:dyDescent="0.25">
      <c r="AI130" s="53">
        <v>1.17808308713389E-6</v>
      </c>
      <c r="AJ130">
        <f t="shared" si="94"/>
        <v>0.66000000000000036</v>
      </c>
    </row>
    <row r="131" spans="35:36" x14ac:dyDescent="0.25">
      <c r="AI131" s="53">
        <v>1.00062576367586E-6</v>
      </c>
      <c r="AJ131">
        <f t="shared" ref="AJ131:AJ194" si="108">+AJ130+0.01</f>
        <v>0.67000000000000037</v>
      </c>
    </row>
    <row r="132" spans="35:36" x14ac:dyDescent="0.25">
      <c r="AI132" s="53">
        <v>8.4989923874369196E-7</v>
      </c>
      <c r="AJ132">
        <f t="shared" si="108"/>
        <v>0.68000000000000038</v>
      </c>
    </row>
    <row r="133" spans="35:36" x14ac:dyDescent="0.25">
      <c r="AI133" s="53">
        <v>7.2187699161730702E-7</v>
      </c>
      <c r="AJ133">
        <f t="shared" si="108"/>
        <v>0.69000000000000039</v>
      </c>
    </row>
    <row r="134" spans="35:36" x14ac:dyDescent="0.25">
      <c r="AI134" s="53">
        <v>6.1313902551171199E-7</v>
      </c>
      <c r="AJ134">
        <f t="shared" si="108"/>
        <v>0.7000000000000004</v>
      </c>
    </row>
    <row r="135" spans="35:36" x14ac:dyDescent="0.25">
      <c r="AI135" s="53">
        <v>5.2078050550300804E-7</v>
      </c>
      <c r="AJ135">
        <f t="shared" si="108"/>
        <v>0.71000000000000041</v>
      </c>
    </row>
    <row r="136" spans="35:36" x14ac:dyDescent="0.25">
      <c r="AI136" s="53">
        <v>4.42334158530558E-7</v>
      </c>
      <c r="AJ136">
        <f t="shared" si="108"/>
        <v>0.72000000000000042</v>
      </c>
    </row>
    <row r="137" spans="35:36" x14ac:dyDescent="0.25">
      <c r="AI137" s="53">
        <v>3.7570436246255803E-7</v>
      </c>
      <c r="AJ137">
        <f t="shared" si="108"/>
        <v>0.73000000000000043</v>
      </c>
    </row>
    <row r="138" spans="35:36" x14ac:dyDescent="0.25">
      <c r="AI138" s="53">
        <v>3.1911116347494502E-7</v>
      </c>
      <c r="AJ138">
        <f t="shared" si="108"/>
        <v>0.74000000000000044</v>
      </c>
    </row>
    <row r="139" spans="35:36" x14ac:dyDescent="0.25">
      <c r="AI139" s="53">
        <v>2.7104272621929202E-7</v>
      </c>
      <c r="AJ139">
        <f t="shared" si="108"/>
        <v>0.75000000000000044</v>
      </c>
    </row>
    <row r="140" spans="35:36" x14ac:dyDescent="0.25">
      <c r="AI140" s="53">
        <v>2.3021494652961099E-7</v>
      </c>
      <c r="AJ140">
        <f t="shared" si="108"/>
        <v>0.76000000000000045</v>
      </c>
    </row>
    <row r="141" spans="35:36" x14ac:dyDescent="0.25">
      <c r="AI141" s="53">
        <v>1.9553714775858499E-7</v>
      </c>
      <c r="AJ141">
        <f t="shared" si="108"/>
        <v>0.77000000000000046</v>
      </c>
    </row>
    <row r="142" spans="35:36" x14ac:dyDescent="0.25">
      <c r="AI142" s="53">
        <v>1.6608294435237701E-7</v>
      </c>
      <c r="AJ142">
        <f t="shared" si="108"/>
        <v>0.78000000000000047</v>
      </c>
    </row>
    <row r="143" spans="35:36" x14ac:dyDescent="0.25">
      <c r="AI143" s="53">
        <v>1.4106549431113801E-7</v>
      </c>
      <c r="AJ143">
        <f t="shared" si="108"/>
        <v>0.79000000000000048</v>
      </c>
    </row>
    <row r="144" spans="35:36" x14ac:dyDescent="0.25">
      <c r="AI144" s="53">
        <v>1.19816479427442E-7</v>
      </c>
      <c r="AJ144">
        <f t="shared" si="108"/>
        <v>0.80000000000000049</v>
      </c>
    </row>
    <row r="145" spans="35:36" x14ac:dyDescent="0.25">
      <c r="AI145" s="53">
        <v>1.0176825177901201E-7</v>
      </c>
      <c r="AJ145">
        <f t="shared" si="108"/>
        <v>0.8100000000000005</v>
      </c>
    </row>
    <row r="146" spans="35:36" x14ac:dyDescent="0.25">
      <c r="AI146" s="53">
        <v>8.6438669535673404E-8</v>
      </c>
      <c r="AJ146">
        <f t="shared" si="108"/>
        <v>0.82000000000000051</v>
      </c>
    </row>
    <row r="147" spans="35:36" x14ac:dyDescent="0.25">
      <c r="AI147" s="53">
        <v>7.3418216983051303E-8</v>
      </c>
      <c r="AJ147">
        <f t="shared" si="108"/>
        <v>0.83000000000000052</v>
      </c>
    </row>
    <row r="148" spans="35:36" x14ac:dyDescent="0.25">
      <c r="AI148" s="53">
        <v>6.2359064686272595E-8</v>
      </c>
      <c r="AJ148">
        <f t="shared" si="108"/>
        <v>0.84000000000000052</v>
      </c>
    </row>
    <row r="149" spans="35:36" x14ac:dyDescent="0.25">
      <c r="AI149" s="53">
        <v>5.2965777545979403E-8</v>
      </c>
      <c r="AJ149">
        <f t="shared" si="108"/>
        <v>0.85000000000000053</v>
      </c>
    </row>
    <row r="150" spans="35:36" x14ac:dyDescent="0.25">
      <c r="AI150" s="53">
        <v>4.4987422520910903E-8</v>
      </c>
      <c r="AJ150">
        <f t="shared" si="108"/>
        <v>0.86000000000000054</v>
      </c>
    </row>
    <row r="151" spans="35:36" x14ac:dyDescent="0.25">
      <c r="AI151" s="53">
        <v>3.8210865182108501E-8</v>
      </c>
      <c r="AJ151">
        <f t="shared" si="108"/>
        <v>0.87000000000000055</v>
      </c>
    </row>
    <row r="152" spans="35:36" x14ac:dyDescent="0.25">
      <c r="AI152" s="53">
        <v>3.2455076022339501E-8</v>
      </c>
      <c r="AJ152">
        <f t="shared" si="108"/>
        <v>0.88000000000000056</v>
      </c>
    </row>
    <row r="153" spans="35:36" x14ac:dyDescent="0.25">
      <c r="AI153" s="53">
        <v>2.7566294419029199E-8</v>
      </c>
      <c r="AJ153">
        <f t="shared" si="108"/>
        <v>0.89000000000000057</v>
      </c>
    </row>
    <row r="154" spans="35:36" x14ac:dyDescent="0.25">
      <c r="AI154" s="53">
        <v>2.3413921060408099E-8</v>
      </c>
      <c r="AJ154">
        <f t="shared" si="108"/>
        <v>0.90000000000000058</v>
      </c>
    </row>
    <row r="155" spans="35:36" x14ac:dyDescent="0.25">
      <c r="AI155" s="53">
        <v>1.9887029104811001E-8</v>
      </c>
      <c r="AJ155">
        <f t="shared" si="108"/>
        <v>0.91000000000000059</v>
      </c>
    </row>
    <row r="156" spans="35:36" x14ac:dyDescent="0.25">
      <c r="AI156" s="53">
        <v>1.68914008719523E-8</v>
      </c>
      <c r="AJ156">
        <f t="shared" si="108"/>
        <v>0.9200000000000006</v>
      </c>
    </row>
    <row r="157" spans="35:36" x14ac:dyDescent="0.25">
      <c r="AI157" s="53">
        <v>1.4347010904105701E-8</v>
      </c>
      <c r="AJ157">
        <f t="shared" si="108"/>
        <v>0.9300000000000006</v>
      </c>
    </row>
    <row r="158" spans="35:36" x14ac:dyDescent="0.25">
      <c r="AI158" s="53">
        <v>1.2185888159478499E-8</v>
      </c>
      <c r="AJ158">
        <f t="shared" si="108"/>
        <v>0.94000000000000061</v>
      </c>
    </row>
    <row r="159" spans="35:36" x14ac:dyDescent="0.25">
      <c r="AI159" s="53">
        <v>1.0350300228239301E-8</v>
      </c>
      <c r="AJ159">
        <f t="shared" si="108"/>
        <v>0.95000000000000062</v>
      </c>
    </row>
    <row r="160" spans="35:36" x14ac:dyDescent="0.25">
      <c r="AI160" s="53">
        <v>8.7912110641984107E-9</v>
      </c>
      <c r="AJ160">
        <f t="shared" si="108"/>
        <v>0.96000000000000063</v>
      </c>
    </row>
    <row r="161" spans="35:36" x14ac:dyDescent="0.25">
      <c r="AI161" s="53">
        <v>7.4669710318568602E-9</v>
      </c>
      <c r="AJ161">
        <f t="shared" si="108"/>
        <v>0.97000000000000064</v>
      </c>
    </row>
    <row r="162" spans="35:36" x14ac:dyDescent="0.25">
      <c r="AI162" s="53">
        <v>6.34220427463633E-9</v>
      </c>
      <c r="AJ162">
        <f t="shared" si="108"/>
        <v>0.98000000000000065</v>
      </c>
    </row>
    <row r="163" spans="35:36" x14ac:dyDescent="0.25">
      <c r="AI163" s="53">
        <v>5.38686368135175E-9</v>
      </c>
      <c r="AJ163">
        <f t="shared" si="108"/>
        <v>0.99000000000000066</v>
      </c>
    </row>
    <row r="164" spans="35:36" x14ac:dyDescent="0.25">
      <c r="AI164" s="53">
        <v>4.5754282052245203E-9</v>
      </c>
      <c r="AJ164">
        <f t="shared" si="108"/>
        <v>1.0000000000000007</v>
      </c>
    </row>
    <row r="165" spans="35:36" x14ac:dyDescent="0.25">
      <c r="AI165" s="53">
        <v>3.88622109255062E-9</v>
      </c>
      <c r="AJ165">
        <f t="shared" si="108"/>
        <v>1.0100000000000007</v>
      </c>
    </row>
    <row r="166" spans="35:36" x14ac:dyDescent="0.25">
      <c r="AI166" s="53">
        <v>3.3008308081285301E-9</v>
      </c>
      <c r="AJ166">
        <f t="shared" si="108"/>
        <v>1.0200000000000007</v>
      </c>
    </row>
    <row r="167" spans="35:36" x14ac:dyDescent="0.25">
      <c r="AI167" s="53">
        <v>2.8036191880013399E-9</v>
      </c>
      <c r="AJ167">
        <f t="shared" si="108"/>
        <v>1.0300000000000007</v>
      </c>
    </row>
    <row r="168" spans="35:36" x14ac:dyDescent="0.25">
      <c r="AI168" s="53">
        <v>2.38130368026522E-9</v>
      </c>
      <c r="AJ168">
        <f t="shared" si="108"/>
        <v>1.0400000000000007</v>
      </c>
    </row>
    <row r="169" spans="35:36" x14ac:dyDescent="0.25">
      <c r="AI169" s="53">
        <v>2.02260251389105E-9</v>
      </c>
      <c r="AJ169">
        <f t="shared" si="108"/>
        <v>1.0500000000000007</v>
      </c>
    </row>
    <row r="170" spans="35:36" x14ac:dyDescent="0.25">
      <c r="AI170" s="53">
        <v>1.71793331657E-9</v>
      </c>
      <c r="AJ170">
        <f t="shared" si="108"/>
        <v>1.0600000000000007</v>
      </c>
    </row>
    <row r="171" spans="35:36" x14ac:dyDescent="0.25">
      <c r="AI171" s="53">
        <v>1.4591571304356601E-9</v>
      </c>
      <c r="AJ171">
        <f t="shared" si="108"/>
        <v>1.0700000000000007</v>
      </c>
    </row>
    <row r="172" spans="35:36" x14ac:dyDescent="0.25">
      <c r="AI172" s="53">
        <v>1.2393609872775699E-9</v>
      </c>
      <c r="AJ172">
        <f t="shared" si="108"/>
        <v>1.0800000000000007</v>
      </c>
    </row>
    <row r="173" spans="35:36" x14ac:dyDescent="0.25">
      <c r="AI173" s="53">
        <v>1.05267323494285E-9</v>
      </c>
      <c r="AJ173">
        <f t="shared" si="108"/>
        <v>1.0900000000000007</v>
      </c>
    </row>
    <row r="174" spans="35:36" x14ac:dyDescent="0.25">
      <c r="AI174" s="53">
        <v>8.9410668154012595E-10</v>
      </c>
      <c r="AJ174">
        <f t="shared" si="108"/>
        <v>1.1000000000000008</v>
      </c>
    </row>
    <row r="175" spans="35:36" x14ac:dyDescent="0.25">
      <c r="AI175" s="53">
        <v>7.5942536718728202E-10</v>
      </c>
      <c r="AJ175">
        <f t="shared" si="108"/>
        <v>1.1100000000000008</v>
      </c>
    </row>
    <row r="176" spans="35:36" x14ac:dyDescent="0.25">
      <c r="AI176" s="53">
        <v>6.4503140423255604E-10</v>
      </c>
      <c r="AJ176">
        <f t="shared" si="108"/>
        <v>1.1200000000000008</v>
      </c>
    </row>
    <row r="177" spans="35:36" x14ac:dyDescent="0.25">
      <c r="AI177" s="53">
        <v>5.4786886298942503E-10</v>
      </c>
      <c r="AJ177">
        <f t="shared" si="108"/>
        <v>1.1300000000000008</v>
      </c>
    </row>
    <row r="178" spans="35:36" x14ac:dyDescent="0.25">
      <c r="AI178" s="53">
        <v>4.65342135380911E-10</v>
      </c>
      <c r="AJ178">
        <f t="shared" si="108"/>
        <v>1.1400000000000008</v>
      </c>
    </row>
    <row r="179" spans="35:36" x14ac:dyDescent="0.25">
      <c r="AI179" s="53">
        <v>3.9524659565303002E-10</v>
      </c>
      <c r="AJ179">
        <f t="shared" si="108"/>
        <v>1.1500000000000008</v>
      </c>
    </row>
    <row r="180" spans="35:36" x14ac:dyDescent="0.25">
      <c r="AI180" s="53">
        <v>3.35709705822005E-10</v>
      </c>
      <c r="AJ180">
        <f t="shared" si="108"/>
        <v>1.1600000000000008</v>
      </c>
    </row>
    <row r="181" spans="35:36" x14ac:dyDescent="0.25">
      <c r="AI181" s="53">
        <v>2.8514099254135798E-10</v>
      </c>
      <c r="AJ181">
        <f t="shared" si="108"/>
        <v>1.1700000000000008</v>
      </c>
    </row>
    <row r="182" spans="35:36" x14ac:dyDescent="0.25">
      <c r="AI182" s="53">
        <v>2.4218955906678199E-10</v>
      </c>
      <c r="AJ182">
        <f t="shared" si="108"/>
        <v>1.1800000000000008</v>
      </c>
    </row>
    <row r="183" spans="35:36" x14ac:dyDescent="0.25">
      <c r="AI183" s="53">
        <v>2.0570799728998901E-10</v>
      </c>
      <c r="AJ183">
        <f t="shared" si="108"/>
        <v>1.1900000000000008</v>
      </c>
    </row>
    <row r="184" spans="35:36" x14ac:dyDescent="0.25">
      <c r="AI184" s="53">
        <v>1.74721735784612E-10</v>
      </c>
      <c r="AJ184">
        <f t="shared" si="108"/>
        <v>1.2000000000000008</v>
      </c>
    </row>
    <row r="185" spans="35:36" x14ac:dyDescent="0.25">
      <c r="AI185" s="53">
        <v>1.4840300502538299E-10</v>
      </c>
      <c r="AJ185">
        <f t="shared" si="108"/>
        <v>1.2100000000000009</v>
      </c>
    </row>
    <row r="186" spans="35:36" x14ac:dyDescent="0.25">
      <c r="AI186" s="53">
        <v>1.2604872428530199E-10</v>
      </c>
      <c r="AJ186">
        <f t="shared" si="108"/>
        <v>1.2200000000000009</v>
      </c>
    </row>
    <row r="187" spans="35:36" x14ac:dyDescent="0.25">
      <c r="AI187" s="53">
        <v>1.07061719479565E-10</v>
      </c>
      <c r="AJ187">
        <f t="shared" si="108"/>
        <v>1.2300000000000009</v>
      </c>
    </row>
    <row r="188" spans="35:36" x14ac:dyDescent="0.25">
      <c r="AI188" s="53">
        <v>9.0934770208203703E-11</v>
      </c>
      <c r="AJ188">
        <f t="shared" si="108"/>
        <v>1.2400000000000009</v>
      </c>
    </row>
    <row r="189" spans="35:36" x14ac:dyDescent="0.25">
      <c r="AI189" s="53">
        <v>7.7237059828813E-11</v>
      </c>
      <c r="AJ189">
        <f t="shared" si="108"/>
        <v>1.2500000000000009</v>
      </c>
    </row>
    <row r="190" spans="35:36" x14ac:dyDescent="0.25">
      <c r="AI190" s="53">
        <v>6.5602666585519796E-11</v>
      </c>
      <c r="AJ190">
        <f t="shared" si="108"/>
        <v>1.2600000000000009</v>
      </c>
    </row>
    <row r="191" spans="35:36" x14ac:dyDescent="0.25">
      <c r="AI191" s="53">
        <v>5.5720788345252197E-11</v>
      </c>
      <c r="AJ191">
        <f t="shared" si="108"/>
        <v>1.2700000000000009</v>
      </c>
    </row>
    <row r="192" spans="35:36" x14ac:dyDescent="0.25">
      <c r="AI192" s="53">
        <v>4.7327439804126903E-11</v>
      </c>
      <c r="AJ192">
        <f t="shared" si="108"/>
        <v>1.2800000000000009</v>
      </c>
    </row>
    <row r="193" spans="35:36" x14ac:dyDescent="0.25">
      <c r="AI193" s="53">
        <v>4.0198400362440502E-11</v>
      </c>
      <c r="AJ193">
        <f t="shared" si="108"/>
        <v>1.2900000000000009</v>
      </c>
    </row>
    <row r="194" spans="35:36" x14ac:dyDescent="0.25">
      <c r="AI194" s="53">
        <v>3.41432242772224E-11</v>
      </c>
      <c r="AJ194">
        <f t="shared" si="108"/>
        <v>1.3000000000000009</v>
      </c>
    </row>
    <row r="195" spans="35:36" x14ac:dyDescent="0.25">
      <c r="AI195" s="53">
        <v>2.90001530790749E-11</v>
      </c>
      <c r="AJ195">
        <f t="shared" ref="AJ195:AJ258" si="109">+AJ194+0.01</f>
        <v>1.3100000000000009</v>
      </c>
    </row>
    <row r="196" spans="35:36" x14ac:dyDescent="0.25">
      <c r="AI196" s="53">
        <v>2.4631794343184901E-11</v>
      </c>
      <c r="AJ196">
        <f t="shared" si="109"/>
        <v>1.320000000000001</v>
      </c>
    </row>
    <row r="197" spans="35:36" x14ac:dyDescent="0.25">
      <c r="AI197" s="53">
        <v>2.0921451376845901E-11</v>
      </c>
      <c r="AJ197">
        <f t="shared" si="109"/>
        <v>1.330000000000001</v>
      </c>
    </row>
    <row r="198" spans="35:36" x14ac:dyDescent="0.25">
      <c r="AI198" s="53">
        <v>1.7770005774460799E-11</v>
      </c>
      <c r="AJ198">
        <f t="shared" si="109"/>
        <v>1.340000000000001</v>
      </c>
    </row>
    <row r="199" spans="35:36" x14ac:dyDescent="0.25">
      <c r="AI199" s="53">
        <v>1.5093269560344299E-11</v>
      </c>
      <c r="AJ199">
        <f t="shared" si="109"/>
        <v>1.350000000000001</v>
      </c>
    </row>
    <row r="200" spans="35:36" x14ac:dyDescent="0.25">
      <c r="AI200" s="53">
        <v>1.2819736184251599E-11</v>
      </c>
      <c r="AJ200">
        <f t="shared" si="109"/>
        <v>1.360000000000001</v>
      </c>
    </row>
    <row r="201" spans="35:36" x14ac:dyDescent="0.25">
      <c r="AI201" s="53">
        <v>1.0888670289544699E-11</v>
      </c>
      <c r="AJ201">
        <f t="shared" si="109"/>
        <v>1.370000000000001</v>
      </c>
    </row>
    <row r="202" spans="35:36" x14ac:dyDescent="0.25">
      <c r="AI202" s="53">
        <v>9.2484852239051804E-12</v>
      </c>
      <c r="AJ202">
        <f t="shared" si="109"/>
        <v>1.380000000000001</v>
      </c>
    </row>
    <row r="203" spans="35:36" x14ac:dyDescent="0.25">
      <c r="AI203" s="53">
        <v>7.8553649492833294E-12</v>
      </c>
      <c r="AJ203">
        <f t="shared" si="109"/>
        <v>1.390000000000001</v>
      </c>
    </row>
    <row r="204" spans="35:36" x14ac:dyDescent="0.25">
      <c r="AI204" s="53">
        <v>6.6720935366725303E-12</v>
      </c>
      <c r="AJ204">
        <f t="shared" si="109"/>
        <v>1.400000000000001</v>
      </c>
    </row>
    <row r="205" spans="35:36" x14ac:dyDescent="0.25">
      <c r="AI205" s="53">
        <v>5.6670609767365102E-12</v>
      </c>
      <c r="AJ205">
        <f t="shared" si="109"/>
        <v>1.410000000000001</v>
      </c>
    </row>
    <row r="206" spans="35:36" x14ac:dyDescent="0.25">
      <c r="AI206" s="53">
        <v>4.8134187474335704E-12</v>
      </c>
      <c r="AJ206">
        <f t="shared" si="109"/>
        <v>1.420000000000001</v>
      </c>
    </row>
    <row r="207" spans="35:36" x14ac:dyDescent="0.25">
      <c r="AI207" s="53">
        <v>4.0883625804018E-12</v>
      </c>
      <c r="AJ207">
        <f t="shared" si="109"/>
        <v>1.430000000000001</v>
      </c>
    </row>
    <row r="208" spans="35:36" x14ac:dyDescent="0.25">
      <c r="AI208" s="53">
        <v>3.4725232658683001E-12</v>
      </c>
      <c r="AJ208">
        <f t="shared" si="109"/>
        <v>1.4400000000000011</v>
      </c>
    </row>
    <row r="209" spans="35:36" x14ac:dyDescent="0.25">
      <c r="AI209" s="53">
        <v>2.9494492219942802E-12</v>
      </c>
      <c r="AJ209">
        <f t="shared" si="109"/>
        <v>1.4500000000000011</v>
      </c>
    </row>
    <row r="210" spans="35:36" x14ac:dyDescent="0.25">
      <c r="AI210" s="53">
        <v>2.5051670059717898E-12</v>
      </c>
      <c r="AJ210">
        <f t="shared" si="109"/>
        <v>1.4600000000000011</v>
      </c>
    </row>
    <row r="211" spans="35:36" x14ac:dyDescent="0.25">
      <c r="AI211" s="53">
        <v>2.1278080263291299E-12</v>
      </c>
      <c r="AJ211">
        <f t="shared" si="109"/>
        <v>1.4700000000000011</v>
      </c>
    </row>
    <row r="212" spans="35:36" x14ac:dyDescent="0.25">
      <c r="AI212" s="53">
        <v>1.8072914844072001E-12</v>
      </c>
      <c r="AJ212">
        <f t="shared" si="109"/>
        <v>1.4800000000000011</v>
      </c>
    </row>
    <row r="213" spans="35:36" x14ac:dyDescent="0.25">
      <c r="AI213" s="53">
        <v>1.5350550750791899E-12</v>
      </c>
      <c r="AJ213">
        <f t="shared" si="109"/>
        <v>1.4900000000000011</v>
      </c>
    </row>
    <row r="214" spans="35:36" x14ac:dyDescent="0.25">
      <c r="AI214" s="53">
        <v>1.3038262526309E-12</v>
      </c>
      <c r="AJ214">
        <f t="shared" si="109"/>
        <v>1.5000000000000011</v>
      </c>
    </row>
    <row r="215" spans="35:36" x14ac:dyDescent="0.25">
      <c r="AI215" s="53">
        <v>1.1074279513794201E-12</v>
      </c>
      <c r="AJ215">
        <f t="shared" si="109"/>
        <v>1.5100000000000011</v>
      </c>
    </row>
    <row r="216" spans="35:36" x14ac:dyDescent="0.25">
      <c r="AI216" s="53">
        <v>9.4061357103507898E-13</v>
      </c>
      <c r="AJ216">
        <f t="shared" si="109"/>
        <v>1.5200000000000011</v>
      </c>
    </row>
    <row r="217" spans="35:36" x14ac:dyDescent="0.25">
      <c r="AI217" s="53">
        <v>7.9892681859194599E-13</v>
      </c>
      <c r="AJ217">
        <f t="shared" si="109"/>
        <v>1.5300000000000011</v>
      </c>
    </row>
    <row r="218" spans="35:36" x14ac:dyDescent="0.25">
      <c r="AI218" s="53">
        <v>6.7858266255191502E-13</v>
      </c>
      <c r="AJ218">
        <f t="shared" si="109"/>
        <v>1.5400000000000011</v>
      </c>
    </row>
    <row r="219" spans="35:36" x14ac:dyDescent="0.25">
      <c r="AI219" s="53">
        <v>5.7636621928351396E-13</v>
      </c>
      <c r="AJ219">
        <f t="shared" si="109"/>
        <v>1.5500000000000012</v>
      </c>
    </row>
    <row r="220" spans="35:36" x14ac:dyDescent="0.25">
      <c r="AI220" s="53">
        <v>4.8954687035753301E-13</v>
      </c>
      <c r="AJ220">
        <f t="shared" si="109"/>
        <v>1.5600000000000012</v>
      </c>
    </row>
    <row r="221" spans="35:36" x14ac:dyDescent="0.25">
      <c r="AI221" s="53">
        <v>4.1580531658287302E-13</v>
      </c>
      <c r="AJ221">
        <f t="shared" si="109"/>
        <v>1.5700000000000012</v>
      </c>
    </row>
    <row r="222" spans="35:36" x14ac:dyDescent="0.25">
      <c r="AI222" s="53">
        <v>3.5317162005818298E-13</v>
      </c>
      <c r="AJ222">
        <f t="shared" si="109"/>
        <v>1.5800000000000012</v>
      </c>
    </row>
    <row r="223" spans="35:36" x14ac:dyDescent="0.25">
      <c r="AI223" s="53">
        <v>2.99972579089575E-13</v>
      </c>
      <c r="AJ223">
        <f t="shared" si="109"/>
        <v>1.5900000000000012</v>
      </c>
    </row>
    <row r="224" spans="35:36" x14ac:dyDescent="0.25">
      <c r="AI224" s="53">
        <v>2.5478703014366499E-13</v>
      </c>
      <c r="AJ224">
        <f t="shared" si="109"/>
        <v>1.6000000000000012</v>
      </c>
    </row>
    <row r="225" spans="35:36" x14ac:dyDescent="0.25">
      <c r="AI225" s="53">
        <v>2.16407882768659E-13</v>
      </c>
      <c r="AJ225">
        <f t="shared" si="109"/>
        <v>1.6100000000000012</v>
      </c>
    </row>
    <row r="226" spans="35:36" x14ac:dyDescent="0.25">
      <c r="AI226" s="53">
        <v>1.8380987328125099E-13</v>
      </c>
      <c r="AJ226">
        <f t="shared" si="109"/>
        <v>1.6200000000000012</v>
      </c>
    </row>
    <row r="227" spans="35:36" x14ac:dyDescent="0.25">
      <c r="AI227" s="53">
        <v>1.5612217578870401E-13</v>
      </c>
      <c r="AJ227">
        <f t="shared" si="109"/>
        <v>1.6300000000000012</v>
      </c>
    </row>
    <row r="228" spans="35:36" x14ac:dyDescent="0.25">
      <c r="AI228" s="53">
        <v>1.3260513887468701E-13</v>
      </c>
      <c r="AJ228">
        <f t="shared" si="109"/>
        <v>1.6400000000000012</v>
      </c>
    </row>
    <row r="229" spans="35:36" x14ac:dyDescent="0.25">
      <c r="AI229" s="53">
        <v>1.12630526490826E-13</v>
      </c>
      <c r="AJ229">
        <f t="shared" si="109"/>
        <v>1.6500000000000012</v>
      </c>
    </row>
    <row r="230" spans="35:36" x14ac:dyDescent="0.25">
      <c r="AI230" s="53">
        <v>9.5664735207499794E-14</v>
      </c>
      <c r="AJ230">
        <f t="shared" si="109"/>
        <v>1.6600000000000013</v>
      </c>
    </row>
    <row r="231" spans="35:36" x14ac:dyDescent="0.25">
      <c r="AI231" s="53">
        <v>8.1254539488159704E-14</v>
      </c>
      <c r="AJ231">
        <f t="shared" si="109"/>
        <v>1.6700000000000013</v>
      </c>
    </row>
    <row r="232" spans="35:36" x14ac:dyDescent="0.25">
      <c r="AI232" s="53">
        <v>6.9014984185262595E-14</v>
      </c>
      <c r="AJ232">
        <f t="shared" si="109"/>
        <v>1.6800000000000013</v>
      </c>
    </row>
    <row r="233" spans="35:36" x14ac:dyDescent="0.25">
      <c r="AI233" s="53">
        <v>5.8619100816959201E-14</v>
      </c>
      <c r="AJ233">
        <f t="shared" si="109"/>
        <v>1.6900000000000013</v>
      </c>
    </row>
    <row r="234" spans="35:36" x14ac:dyDescent="0.25">
      <c r="AI234" s="53">
        <v>4.9789172904318303E-14</v>
      </c>
      <c r="AJ234">
        <f t="shared" si="109"/>
        <v>1.7000000000000013</v>
      </c>
    </row>
    <row r="235" spans="35:36" x14ac:dyDescent="0.25">
      <c r="AI235" s="53">
        <v>4.2289317030582899E-14</v>
      </c>
      <c r="AJ235">
        <f t="shared" si="109"/>
        <v>1.7100000000000013</v>
      </c>
    </row>
    <row r="236" spans="35:36" x14ac:dyDescent="0.25">
      <c r="AI236" s="53">
        <v>3.5919181432275798E-14</v>
      </c>
      <c r="AJ236">
        <f t="shared" si="109"/>
        <v>1.7200000000000013</v>
      </c>
    </row>
    <row r="237" spans="35:36" x14ac:dyDescent="0.25">
      <c r="AI237" s="53">
        <v>3.0508593785794699E-14</v>
      </c>
      <c r="AJ237">
        <f t="shared" si="109"/>
        <v>1.7300000000000013</v>
      </c>
    </row>
    <row r="238" spans="35:36" x14ac:dyDescent="0.25">
      <c r="AI238" s="53">
        <v>2.59130152100368E-14</v>
      </c>
      <c r="AJ238">
        <f t="shared" si="109"/>
        <v>1.7400000000000013</v>
      </c>
    </row>
    <row r="239" spans="35:36" x14ac:dyDescent="0.25">
      <c r="AI239" s="53">
        <v>2.2009679042901399E-14</v>
      </c>
      <c r="AJ239">
        <f t="shared" si="109"/>
        <v>1.7500000000000013</v>
      </c>
    </row>
    <row r="240" spans="35:36" x14ac:dyDescent="0.25">
      <c r="AI240" s="53">
        <v>1.8694311242633799E-14</v>
      </c>
      <c r="AJ240">
        <f t="shared" si="109"/>
        <v>1.7600000000000013</v>
      </c>
    </row>
    <row r="241" spans="35:36" x14ac:dyDescent="0.25">
      <c r="AI241" s="53">
        <v>1.5878344802541699E-14</v>
      </c>
      <c r="AJ241">
        <f t="shared" si="109"/>
        <v>1.7700000000000014</v>
      </c>
    </row>
    <row r="242" spans="35:36" x14ac:dyDescent="0.25">
      <c r="AI242" s="53">
        <v>1.34865537647314E-14</v>
      </c>
      <c r="AJ242">
        <f t="shared" si="109"/>
        <v>1.7800000000000014</v>
      </c>
    </row>
    <row r="243" spans="35:36" x14ac:dyDescent="0.25">
      <c r="AI243" s="53">
        <v>1.14550436277134E-14</v>
      </c>
      <c r="AJ243">
        <f t="shared" si="109"/>
        <v>1.7900000000000014</v>
      </c>
    </row>
    <row r="244" spans="35:36" x14ac:dyDescent="0.25">
      <c r="AI244" s="53">
        <v>9.7295444634614395E-15</v>
      </c>
      <c r="AJ244">
        <f t="shared" si="109"/>
        <v>1.8000000000000014</v>
      </c>
    </row>
    <row r="245" spans="35:36" x14ac:dyDescent="0.25">
      <c r="AI245" s="53">
        <v>8.2639611461147394E-15</v>
      </c>
      <c r="AJ245">
        <f t="shared" si="109"/>
        <v>1.8100000000000014</v>
      </c>
    </row>
    <row r="246" spans="35:36" x14ac:dyDescent="0.25">
      <c r="AI246" s="53">
        <v>7.01914196301414E-15</v>
      </c>
      <c r="AJ246">
        <f t="shared" si="109"/>
        <v>1.8200000000000014</v>
      </c>
    </row>
    <row r="247" spans="35:36" x14ac:dyDescent="0.25">
      <c r="AI247" s="53">
        <v>5.9618327126464402E-15</v>
      </c>
      <c r="AJ247">
        <f t="shared" si="109"/>
        <v>1.8300000000000014</v>
      </c>
    </row>
    <row r="248" spans="35:36" x14ac:dyDescent="0.25">
      <c r="AI248" s="53">
        <v>5.0637883491842402E-15</v>
      </c>
      <c r="AJ248">
        <f t="shared" si="109"/>
        <v>1.8400000000000014</v>
      </c>
    </row>
    <row r="249" spans="35:36" x14ac:dyDescent="0.25">
      <c r="AI249" s="53">
        <v>4.3010184420206003E-15</v>
      </c>
      <c r="AJ249">
        <f t="shared" si="109"/>
        <v>1.8500000000000014</v>
      </c>
    </row>
    <row r="250" spans="35:36" x14ac:dyDescent="0.25">
      <c r="AI250" s="53">
        <v>3.6531462934428104E-15</v>
      </c>
      <c r="AJ250">
        <f t="shared" si="109"/>
        <v>1.8600000000000014</v>
      </c>
    </row>
    <row r="251" spans="35:36" x14ac:dyDescent="0.25">
      <c r="AI251" s="53">
        <v>3.1028645938623999E-15</v>
      </c>
      <c r="AJ251">
        <f t="shared" si="109"/>
        <v>1.8700000000000014</v>
      </c>
    </row>
    <row r="252" spans="35:36" x14ac:dyDescent="0.25">
      <c r="AI252" s="53">
        <v>2.63547307293064E-15</v>
      </c>
      <c r="AJ252">
        <f t="shared" si="109"/>
        <v>1.8800000000000014</v>
      </c>
    </row>
    <row r="253" spans="35:36" x14ac:dyDescent="0.25">
      <c r="AI253" s="53">
        <v>2.2384857953135901E-15</v>
      </c>
      <c r="AJ253">
        <f t="shared" si="109"/>
        <v>1.8900000000000015</v>
      </c>
    </row>
    <row r="254" spans="35:36" x14ac:dyDescent="0.25">
      <c r="AI254" s="53">
        <v>1.90129761039398E-15</v>
      </c>
      <c r="AJ254">
        <f t="shared" si="109"/>
        <v>1.9000000000000015</v>
      </c>
    </row>
    <row r="255" spans="35:36" x14ac:dyDescent="0.25">
      <c r="AI255" s="53">
        <v>1.61490084540985E-15</v>
      </c>
      <c r="AJ255">
        <f t="shared" si="109"/>
        <v>1.9100000000000015</v>
      </c>
    </row>
    <row r="256" spans="35:36" x14ac:dyDescent="0.25">
      <c r="AI256" s="53">
        <v>1.3716446737473499E-15</v>
      </c>
      <c r="AJ256">
        <f t="shared" si="109"/>
        <v>1.9200000000000015</v>
      </c>
    </row>
    <row r="257" spans="35:36" x14ac:dyDescent="0.25">
      <c r="AI257" s="53">
        <v>1.16503073013253E-15</v>
      </c>
      <c r="AJ257">
        <f t="shared" si="109"/>
        <v>1.9300000000000015</v>
      </c>
    </row>
    <row r="258" spans="35:36" x14ac:dyDescent="0.25">
      <c r="AI258" s="53">
        <v>9.8953951276971607E-16</v>
      </c>
      <c r="AJ258">
        <f t="shared" si="109"/>
        <v>1.9400000000000015</v>
      </c>
    </row>
    <row r="259" spans="35:36" x14ac:dyDescent="0.25">
      <c r="AI259" s="53">
        <v>8.4048293491892498E-16</v>
      </c>
      <c r="AJ259">
        <f t="shared" ref="AJ259:AJ264" si="110">+AJ258+0.01</f>
        <v>1.9500000000000015</v>
      </c>
    </row>
    <row r="260" spans="35:36" x14ac:dyDescent="0.25">
      <c r="AI260" s="53">
        <v>7.13879086963074E-16</v>
      </c>
      <c r="AJ260">
        <f t="shared" si="110"/>
        <v>1.9600000000000015</v>
      </c>
    </row>
    <row r="261" spans="35:36" x14ac:dyDescent="0.25">
      <c r="AI261" s="53">
        <v>6.0634586334866301E-16</v>
      </c>
      <c r="AJ261">
        <f t="shared" si="110"/>
        <v>1.9700000000000015</v>
      </c>
    </row>
    <row r="262" spans="35:36" x14ac:dyDescent="0.25">
      <c r="AI262" s="53">
        <v>5.1501061274127296E-16</v>
      </c>
      <c r="AJ262">
        <f t="shared" si="110"/>
        <v>1.9800000000000015</v>
      </c>
    </row>
    <row r="263" spans="35:36" x14ac:dyDescent="0.25">
      <c r="AI263" s="53">
        <v>4.3743339778278698E-16</v>
      </c>
      <c r="AJ263">
        <f t="shared" si="110"/>
        <v>1.9900000000000015</v>
      </c>
    </row>
    <row r="264" spans="35:36" x14ac:dyDescent="0.25">
      <c r="AI264" s="53">
        <v>3.7154181440513398E-16</v>
      </c>
      <c r="AJ264">
        <f t="shared" si="110"/>
        <v>2.0000000000000013</v>
      </c>
    </row>
  </sheetData>
  <mergeCells count="4">
    <mergeCell ref="H91:H94"/>
    <mergeCell ref="H64:H67"/>
    <mergeCell ref="C56:C57"/>
    <mergeCell ref="H86:H89"/>
  </mergeCells>
  <conditionalFormatting sqref="X44:X55 AA44:AA55 AD44:AD55">
    <cfRule type="cellIs" dxfId="16" priority="21" operator="lessThan">
      <formula>2</formula>
    </cfRule>
  </conditionalFormatting>
  <conditionalFormatting sqref="V44:V55">
    <cfRule type="cellIs" dxfId="15" priority="19" operator="greaterThan">
      <formula>5</formula>
    </cfRule>
  </conditionalFormatting>
  <conditionalFormatting sqref="Y44:Y55">
    <cfRule type="cellIs" dxfId="14" priority="18" operator="greaterThan">
      <formula>5</formula>
    </cfRule>
  </conditionalFormatting>
  <conditionalFormatting sqref="AB44:AB55">
    <cfRule type="cellIs" dxfId="13" priority="17" operator="greaterThan">
      <formula>5</formula>
    </cfRule>
  </conditionalFormatting>
  <conditionalFormatting sqref="AE44:AE55">
    <cfRule type="cellIs" dxfId="12" priority="16" operator="greaterThan">
      <formula>5</formula>
    </cfRule>
  </conditionalFormatting>
  <conditionalFormatting sqref="AG44:AG55">
    <cfRule type="cellIs" dxfId="11" priority="15" operator="lessThan">
      <formula>2</formula>
    </cfRule>
  </conditionalFormatting>
  <conditionalFormatting sqref="I91:S94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L34:AL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1:AL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4:AI55">
    <cfRule type="cellIs" dxfId="10" priority="1" operator="lessThan">
      <formula>2</formula>
    </cfRule>
  </conditionalFormatting>
  <hyperlinks>
    <hyperlink ref="A44" r:id="rId1" xr:uid="{1DA92EAE-D8AF-48FE-9160-807F4E2E8695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4E6AC-5A71-4E3C-86A5-5C4C11BD7314}">
  <dimension ref="A1:AP93"/>
  <sheetViews>
    <sheetView zoomScale="70" zoomScaleNormal="70" workbookViewId="0">
      <selection activeCell="AI73" sqref="AI73"/>
    </sheetView>
  </sheetViews>
  <sheetFormatPr defaultRowHeight="15" x14ac:dyDescent="0.25"/>
  <cols>
    <col min="1" max="1" width="7" bestFit="1" customWidth="1"/>
    <col min="2" max="2" width="18.140625" bestFit="1" customWidth="1"/>
    <col min="3" max="3" width="14.5703125" bestFit="1" customWidth="1"/>
    <col min="4" max="4" width="9.85546875" bestFit="1" customWidth="1"/>
    <col min="22" max="23" width="9.28515625" bestFit="1" customWidth="1"/>
    <col min="25" max="26" width="9.28515625" bestFit="1" customWidth="1"/>
    <col min="28" max="29" width="9.28515625" bestFit="1" customWidth="1"/>
    <col min="31" max="32" width="9.7109375" bestFit="1" customWidth="1"/>
  </cols>
  <sheetData>
    <row r="1" spans="1:40" x14ac:dyDescent="0.25">
      <c r="A1" s="13" t="str">
        <f>+'Data ROCK'!A1</f>
        <v>RockID</v>
      </c>
      <c r="B1" s="13" t="str">
        <f>+'Data ROCK'!B1</f>
        <v>LEVEL 4</v>
      </c>
      <c r="C1" s="13" t="str">
        <f>+'Data ROCK'!C1</f>
        <v>LEVEL 3</v>
      </c>
      <c r="D1" s="13" t="str">
        <f>+'Data ROCK'!D1</f>
        <v>γ [kN/m3]</v>
      </c>
      <c r="I1" s="23" t="str">
        <f>+'Data ROCK'!I1</f>
        <v>Lmax</v>
      </c>
      <c r="J1" s="4" t="str">
        <f>+'Data ROCK'!J1</f>
        <v>φ [°]</v>
      </c>
      <c r="K1" s="5" t="str">
        <f>+'Data ROCK'!K1</f>
        <v>c [MPa]</v>
      </c>
      <c r="L1" s="23" t="str">
        <f>+'Data ROCK'!L1</f>
        <v>3L/4</v>
      </c>
      <c r="M1" s="4" t="str">
        <f>+'Data ROCK'!M1</f>
        <v>φ [°]</v>
      </c>
      <c r="N1" s="5" t="str">
        <f>+'Data ROCK'!N1</f>
        <v>c [MPa]</v>
      </c>
      <c r="O1" s="23" t="str">
        <f>+'Data ROCK'!O1</f>
        <v>L/2</v>
      </c>
      <c r="P1" s="4" t="str">
        <f>+'Data ROCK'!P1</f>
        <v>φ [°]</v>
      </c>
      <c r="Q1" s="5" t="str">
        <f>+'Data ROCK'!Q1</f>
        <v>c [MPa]</v>
      </c>
      <c r="R1" s="56" t="str">
        <f>+'Data ROCK'!R1</f>
        <v>L/4</v>
      </c>
      <c r="S1" s="57" t="str">
        <f>+'Data ROCK'!S1</f>
        <v>φ [°]</v>
      </c>
      <c r="T1" s="58" t="str">
        <f>+'Data ROCK'!T1</f>
        <v>c [MPa]</v>
      </c>
      <c r="V1" s="33"/>
      <c r="W1" s="34"/>
      <c r="X1" s="34"/>
      <c r="Y1" s="34"/>
      <c r="Z1" s="34"/>
      <c r="AA1" s="34"/>
      <c r="AB1" s="35"/>
      <c r="AD1">
        <f>+I2</f>
        <v>20</v>
      </c>
      <c r="AE1">
        <f>+L2</f>
        <v>15</v>
      </c>
      <c r="AF1">
        <f>+O2</f>
        <v>10</v>
      </c>
      <c r="AG1">
        <f>+R2</f>
        <v>5</v>
      </c>
    </row>
    <row r="2" spans="1:40" x14ac:dyDescent="0.25">
      <c r="A2" s="13">
        <f>+'Data ROCK'!A2</f>
        <v>0</v>
      </c>
      <c r="B2" s="13" t="str">
        <f>+'Data ROCK'!B2</f>
        <v>Calcareous rocks</v>
      </c>
      <c r="C2" s="13" t="str">
        <f>+'Data ROCK'!C2</f>
        <v>Limestones</v>
      </c>
      <c r="D2" s="13">
        <v>24</v>
      </c>
      <c r="I2" s="24">
        <f>+'Data ROCK'!I2</f>
        <v>20</v>
      </c>
      <c r="J2" s="13">
        <v>42.15</v>
      </c>
      <c r="K2" s="6">
        <v>0.16200000000000001</v>
      </c>
      <c r="L2" s="24">
        <f>+'Data ROCK'!L2</f>
        <v>15</v>
      </c>
      <c r="M2" s="13">
        <v>44.15</v>
      </c>
      <c r="N2" s="6">
        <v>0.14299999999999999</v>
      </c>
      <c r="O2" s="24">
        <f>+'Data ROCK'!O2</f>
        <v>10</v>
      </c>
      <c r="P2" s="13">
        <v>46.83</v>
      </c>
      <c r="Q2" s="6">
        <v>0.123</v>
      </c>
      <c r="R2" s="59">
        <f>+'Data ROCK'!R2</f>
        <v>5</v>
      </c>
      <c r="S2" s="60">
        <v>50.98</v>
      </c>
      <c r="T2" s="61">
        <v>0.10100000000000001</v>
      </c>
      <c r="V2" s="36"/>
      <c r="W2" s="29"/>
      <c r="X2" s="29" t="s">
        <v>58</v>
      </c>
      <c r="Z2" s="29"/>
      <c r="AA2" s="29"/>
      <c r="AB2" s="32"/>
      <c r="AD2">
        <f>+K2</f>
        <v>0.16200000000000001</v>
      </c>
      <c r="AE2">
        <f>+N2</f>
        <v>0.14299999999999999</v>
      </c>
      <c r="AF2">
        <f>+Q2</f>
        <v>0.123</v>
      </c>
      <c r="AG2">
        <f>+T2</f>
        <v>0.10100000000000001</v>
      </c>
    </row>
    <row r="3" spans="1:40" x14ac:dyDescent="0.25">
      <c r="A3" s="13">
        <f>+'Data ROCK'!A3</f>
        <v>0</v>
      </c>
      <c r="B3" s="13">
        <f>+'Data ROCK'!B3</f>
        <v>0</v>
      </c>
      <c r="C3" s="13" t="str">
        <f>+'Data ROCK'!C3</f>
        <v>Marlstones</v>
      </c>
      <c r="D3" s="13">
        <v>24</v>
      </c>
      <c r="I3" s="24">
        <f>+'Data ROCK'!I3</f>
        <v>30</v>
      </c>
      <c r="J3" s="13">
        <f>+'Data ROCK'!J3</f>
        <v>25.2</v>
      </c>
      <c r="K3" s="6">
        <f>+'Data ROCK'!K3</f>
        <v>9.2999999999999999E-2</v>
      </c>
      <c r="L3" s="24">
        <f>+'Data ROCK'!L3</f>
        <v>22.5</v>
      </c>
      <c r="M3" s="13">
        <f>+'Data ROCK'!M3</f>
        <v>27.11</v>
      </c>
      <c r="N3" s="6">
        <f>+'Data ROCK'!N3</f>
        <v>8.1000000000000003E-2</v>
      </c>
      <c r="O3" s="24">
        <f>+'Data ROCK'!O3</f>
        <v>15</v>
      </c>
      <c r="P3" s="13">
        <f>+'Data ROCK'!P3</f>
        <v>29.85</v>
      </c>
      <c r="Q3" s="6">
        <f>+'Data ROCK'!Q3</f>
        <v>6.8000000000000005E-2</v>
      </c>
      <c r="R3" s="59">
        <f>+'Data ROCK'!R3</f>
        <v>7.5</v>
      </c>
      <c r="S3" s="60">
        <f>+'Data ROCK'!S3</f>
        <v>34.54</v>
      </c>
      <c r="T3" s="61">
        <f>+'Data ROCK'!T3</f>
        <v>5.1999999999999998E-2</v>
      </c>
      <c r="V3" s="36"/>
      <c r="W3" s="29"/>
      <c r="X3" s="29"/>
      <c r="Y3" s="29"/>
      <c r="Z3" s="29"/>
      <c r="AA3" s="29"/>
      <c r="AB3" s="32"/>
      <c r="AD3">
        <f>+K11</f>
        <v>0.17</v>
      </c>
      <c r="AE3">
        <f>+N11</f>
        <v>0.15</v>
      </c>
      <c r="AF3">
        <f>+Q11</f>
        <v>0.128</v>
      </c>
      <c r="AG3">
        <f>+T11</f>
        <v>0.10299999999999999</v>
      </c>
    </row>
    <row r="4" spans="1:40" x14ac:dyDescent="0.25">
      <c r="A4" s="13">
        <f>+'Data ROCK'!A4</f>
        <v>0</v>
      </c>
      <c r="B4" s="13" t="str">
        <f>+'Data ROCK'!B4</f>
        <v>Siliciclastic rocks</v>
      </c>
      <c r="C4" s="13" t="str">
        <f>+'Data ROCK'!C4</f>
        <v>Conglomerates</v>
      </c>
      <c r="D4" s="13">
        <v>24</v>
      </c>
      <c r="I4" s="24">
        <f>+'Data ROCK'!I4</f>
        <v>30</v>
      </c>
      <c r="J4" s="13">
        <f>+'Data ROCK'!J4</f>
        <v>36.76</v>
      </c>
      <c r="K4" s="6">
        <f>+'Data ROCK'!K4</f>
        <v>0.14099999999999999</v>
      </c>
      <c r="L4" s="24">
        <f>+'Data ROCK'!L4</f>
        <v>22.5</v>
      </c>
      <c r="M4" s="13">
        <f>+'Data ROCK'!M4</f>
        <v>38.909999999999997</v>
      </c>
      <c r="N4" s="6">
        <f>+'Data ROCK'!N4</f>
        <v>0.11899999999999999</v>
      </c>
      <c r="O4" s="24">
        <f>+'Data ROCK'!O4</f>
        <v>15</v>
      </c>
      <c r="P4" s="13">
        <f>+'Data ROCK'!P4</f>
        <v>41.94</v>
      </c>
      <c r="Q4" s="6">
        <f>+'Data ROCK'!Q4</f>
        <v>9.2999999999999999E-2</v>
      </c>
      <c r="R4" s="59">
        <f>+'Data ROCK'!R4</f>
        <v>7.5</v>
      </c>
      <c r="S4" s="60">
        <f>+'Data ROCK'!S4</f>
        <v>46.96</v>
      </c>
      <c r="T4" s="61">
        <f>+'Data ROCK'!T4</f>
        <v>6.2E-2</v>
      </c>
      <c r="V4" s="36"/>
      <c r="W4" s="29"/>
      <c r="X4" s="29"/>
      <c r="Z4" s="29"/>
      <c r="AA4" s="29"/>
      <c r="AB4" s="32"/>
      <c r="AD4">
        <f>+K12</f>
        <v>0.44500000000000001</v>
      </c>
      <c r="AE4">
        <f>+N12</f>
        <v>0.40600000000000003</v>
      </c>
      <c r="AF4">
        <f>+Q12</f>
        <v>0.36499999999999999</v>
      </c>
      <c r="AG4">
        <f>+T12</f>
        <v>0.32400000000000001</v>
      </c>
    </row>
    <row r="5" spans="1:40" x14ac:dyDescent="0.25">
      <c r="A5" s="13">
        <f>+'Data ROCK'!A5</f>
        <v>0</v>
      </c>
      <c r="B5" s="13">
        <f>+'Data ROCK'!B5</f>
        <v>0</v>
      </c>
      <c r="C5" s="13" t="str">
        <f>+'Data ROCK'!C5</f>
        <v>Sandstones</v>
      </c>
      <c r="D5" s="13">
        <v>24</v>
      </c>
      <c r="I5" s="24">
        <f>+'Data ROCK'!I5</f>
        <v>30</v>
      </c>
      <c r="J5" s="13">
        <f>+'Data ROCK'!J5</f>
        <v>34.299999999999997</v>
      </c>
      <c r="K5" s="6">
        <f>+'Data ROCK'!K5</f>
        <v>0.129</v>
      </c>
      <c r="L5" s="24">
        <f>+'Data ROCK'!L5</f>
        <v>22.5</v>
      </c>
      <c r="M5" s="13">
        <f>+'Data ROCK'!M5</f>
        <v>36.44</v>
      </c>
      <c r="N5" s="6">
        <f>+'Data ROCK'!N5</f>
        <v>0.109</v>
      </c>
      <c r="O5" s="24">
        <f>+'Data ROCK'!O5</f>
        <v>15</v>
      </c>
      <c r="P5" s="13">
        <f>+'Data ROCK'!P5</f>
        <v>39.450000000000003</v>
      </c>
      <c r="Q5" s="6">
        <f>+'Data ROCK'!Q5</f>
        <v>8.5999999999999993E-2</v>
      </c>
      <c r="R5" s="59">
        <f>+'Data ROCK'!R5</f>
        <v>7.5</v>
      </c>
      <c r="S5" s="60">
        <f>+'Data ROCK'!S5</f>
        <v>44.5</v>
      </c>
      <c r="T5" s="61">
        <f>+'Data ROCK'!T5</f>
        <v>5.8999999999999997E-2</v>
      </c>
      <c r="V5" s="36"/>
      <c r="W5" s="29"/>
      <c r="X5" s="29"/>
      <c r="Y5" s="29" t="s">
        <v>54</v>
      </c>
      <c r="Z5" s="29"/>
      <c r="AA5" s="29"/>
      <c r="AB5" s="32"/>
    </row>
    <row r="6" spans="1:40" x14ac:dyDescent="0.25">
      <c r="A6" s="13">
        <f>+'Data ROCK'!A6</f>
        <v>0</v>
      </c>
      <c r="B6" s="13">
        <f>+'Data ROCK'!B6</f>
        <v>0</v>
      </c>
      <c r="C6" s="13" t="str">
        <f>+'Data ROCK'!C6</f>
        <v>Shales</v>
      </c>
      <c r="D6" s="13">
        <v>24</v>
      </c>
      <c r="I6" s="24">
        <f>+'Data ROCK'!I6</f>
        <v>30</v>
      </c>
      <c r="J6" s="13">
        <f>+'Data ROCK'!J6</f>
        <v>20.81</v>
      </c>
      <c r="K6" s="6">
        <f>+'Data ROCK'!K6</f>
        <v>6.6000000000000003E-2</v>
      </c>
      <c r="L6" s="24">
        <f>+'Data ROCK'!L6</f>
        <v>22.5</v>
      </c>
      <c r="M6" s="13">
        <f>+'Data ROCK'!M6</f>
        <v>22.59</v>
      </c>
      <c r="N6" s="6">
        <f>+'Data ROCK'!N6</f>
        <v>5.7000000000000002E-2</v>
      </c>
      <c r="O6" s="24">
        <f>+'Data ROCK'!O6</f>
        <v>15</v>
      </c>
      <c r="P6" s="13">
        <f>+'Data ROCK'!P6</f>
        <v>25.2</v>
      </c>
      <c r="Q6" s="6">
        <f>+'Data ROCK'!Q6</f>
        <v>4.7E-2</v>
      </c>
      <c r="R6" s="59">
        <f>+'Data ROCK'!R6</f>
        <v>7.5</v>
      </c>
      <c r="S6" s="60">
        <f>+'Data ROCK'!S6</f>
        <v>25.2</v>
      </c>
      <c r="T6" s="61">
        <f>+'Data ROCK'!T6</f>
        <v>4.7E-2</v>
      </c>
      <c r="V6" s="36"/>
      <c r="W6" s="29" t="s">
        <v>10</v>
      </c>
      <c r="X6" s="29"/>
      <c r="Y6" s="29"/>
      <c r="Z6" s="29"/>
      <c r="AA6" s="29"/>
      <c r="AB6" s="32"/>
    </row>
    <row r="7" spans="1:40" x14ac:dyDescent="0.25">
      <c r="A7" s="13">
        <f>+'Data ROCK'!A7</f>
        <v>0</v>
      </c>
      <c r="B7" s="13" t="str">
        <f>+'Data ROCK'!B7</f>
        <v>Magmatic rocks</v>
      </c>
      <c r="C7" s="13" t="str">
        <f>+'Data ROCK'!C7</f>
        <v>Plutonic rocks</v>
      </c>
      <c r="D7" s="13">
        <v>27</v>
      </c>
      <c r="I7" s="24">
        <f>+'Data ROCK'!I7</f>
        <v>10</v>
      </c>
      <c r="J7" s="13">
        <f>+'Data ROCK'!J7</f>
        <v>59.16</v>
      </c>
      <c r="K7" s="6">
        <f>+'Data ROCK'!K7</f>
        <v>0.29399999999999998</v>
      </c>
      <c r="L7" s="24">
        <f>+'Data ROCK'!L7</f>
        <v>7.5</v>
      </c>
      <c r="M7" s="13">
        <f>+'Data ROCK'!M7</f>
        <v>60.53</v>
      </c>
      <c r="N7" s="6">
        <f>+'Data ROCK'!N7</f>
        <v>0.27400000000000002</v>
      </c>
      <c r="O7" s="24">
        <f>+'Data ROCK'!O7</f>
        <v>5</v>
      </c>
      <c r="P7" s="13">
        <f>+'Data ROCK'!P7</f>
        <v>62.25</v>
      </c>
      <c r="Q7" s="6">
        <f>+'Data ROCK'!Q7</f>
        <v>0.253</v>
      </c>
      <c r="R7" s="59">
        <f>+'Data ROCK'!R7</f>
        <v>2.5</v>
      </c>
      <c r="S7" s="60">
        <f>+'Data ROCK'!S7</f>
        <v>64.61</v>
      </c>
      <c r="T7" s="61">
        <f>+'Data ROCK'!T7</f>
        <v>0.23300000000000001</v>
      </c>
      <c r="V7" s="36"/>
      <c r="W7" s="29"/>
      <c r="X7" s="29"/>
      <c r="Y7" s="45" t="s">
        <v>74</v>
      </c>
      <c r="AA7" s="29"/>
      <c r="AB7" s="32"/>
    </row>
    <row r="8" spans="1:40" x14ac:dyDescent="0.25">
      <c r="A8" s="13">
        <f>+'Data ROCK'!A8</f>
        <v>0</v>
      </c>
      <c r="B8" s="13">
        <f>+'Data ROCK'!B8</f>
        <v>0</v>
      </c>
      <c r="C8" s="13" t="str">
        <f>+'Data ROCK'!C8</f>
        <v>Volcanic rocks</v>
      </c>
      <c r="D8" s="13">
        <v>27</v>
      </c>
      <c r="I8" s="24">
        <f>+'Data ROCK'!I8</f>
        <v>10</v>
      </c>
      <c r="J8" s="13">
        <f>+'Data ROCK'!J8</f>
        <v>59.16</v>
      </c>
      <c r="K8" s="6">
        <f>+'Data ROCK'!K8</f>
        <v>0.29399999999999998</v>
      </c>
      <c r="L8" s="24">
        <f>+'Data ROCK'!L8</f>
        <v>7.5</v>
      </c>
      <c r="M8" s="13">
        <f>+'Data ROCK'!M8</f>
        <v>60.53</v>
      </c>
      <c r="N8" s="6">
        <f>+'Data ROCK'!N8</f>
        <v>0.27400000000000002</v>
      </c>
      <c r="O8" s="24">
        <f>+'Data ROCK'!O8</f>
        <v>5</v>
      </c>
      <c r="P8" s="13">
        <f>+'Data ROCK'!P8</f>
        <v>62.25</v>
      </c>
      <c r="Q8" s="6">
        <f>+'Data ROCK'!Q8</f>
        <v>0.253</v>
      </c>
      <c r="R8" s="59">
        <f>+'Data ROCK'!R8</f>
        <v>2.5</v>
      </c>
      <c r="S8" s="60">
        <f>+'Data ROCK'!S8</f>
        <v>64.61</v>
      </c>
      <c r="T8" s="61">
        <f>+'Data ROCK'!T8</f>
        <v>0.23300000000000001</v>
      </c>
      <c r="V8" s="36"/>
      <c r="W8" s="29"/>
      <c r="X8" s="29"/>
      <c r="Y8" s="29"/>
      <c r="Z8" s="29"/>
      <c r="AA8" s="29"/>
      <c r="AB8" s="32"/>
    </row>
    <row r="9" spans="1:40" x14ac:dyDescent="0.25">
      <c r="A9" s="13">
        <f>+'Data ROCK'!A9</f>
        <v>0</v>
      </c>
      <c r="B9" s="13" t="str">
        <f>+'Data ROCK'!B9</f>
        <v>Metamorphic rocks</v>
      </c>
      <c r="C9" s="13" t="str">
        <f>+'Data ROCK'!C9</f>
        <v>Gneiss</v>
      </c>
      <c r="D9" s="13">
        <v>27</v>
      </c>
      <c r="I9" s="24">
        <f>+'Data ROCK'!I9</f>
        <v>10</v>
      </c>
      <c r="J9" s="13">
        <f>+'Data ROCK'!J9</f>
        <v>62.22</v>
      </c>
      <c r="K9" s="6">
        <f>+'Data ROCK'!K9</f>
        <v>0.35099999999999998</v>
      </c>
      <c r="L9" s="24">
        <f>+'Data ROCK'!L9</f>
        <v>7.5</v>
      </c>
      <c r="M9" s="13">
        <f>+'Data ROCK'!M9</f>
        <v>63.48</v>
      </c>
      <c r="N9" s="6">
        <f>+'Data ROCK'!N9</f>
        <v>0.32700000000000001</v>
      </c>
      <c r="O9" s="24">
        <f>+'Data ROCK'!O9</f>
        <v>5</v>
      </c>
      <c r="P9" s="13">
        <f>+'Data ROCK'!P9</f>
        <v>65.05</v>
      </c>
      <c r="Q9" s="6">
        <f>+'Data ROCK'!Q9</f>
        <v>0.30199999999999999</v>
      </c>
      <c r="R9" s="59">
        <f>+'Data ROCK'!R9</f>
        <v>2.5</v>
      </c>
      <c r="S9" s="60">
        <f>+'Data ROCK'!S9</f>
        <v>67.19</v>
      </c>
      <c r="T9" s="61">
        <f>+'Data ROCK'!T9</f>
        <v>0.27900000000000003</v>
      </c>
      <c r="V9" s="36"/>
      <c r="W9" s="29"/>
      <c r="X9" s="30" t="s">
        <v>56</v>
      </c>
      <c r="Y9" s="29"/>
      <c r="Z9" s="29"/>
      <c r="AA9" s="29"/>
      <c r="AB9" s="32"/>
    </row>
    <row r="10" spans="1:40" x14ac:dyDescent="0.25">
      <c r="A10" s="13">
        <f>+'Data ROCK'!A10</f>
        <v>0</v>
      </c>
      <c r="B10" s="13">
        <f>+'Data ROCK'!B10</f>
        <v>0</v>
      </c>
      <c r="C10" s="13" t="str">
        <f>+'Data ROCK'!C10</f>
        <v>Marbles</v>
      </c>
      <c r="D10" s="13">
        <v>27</v>
      </c>
      <c r="I10" s="24">
        <f>+'Data ROCK'!I10</f>
        <v>10</v>
      </c>
      <c r="J10" s="13">
        <f>+'Data ROCK'!J10</f>
        <v>46.31</v>
      </c>
      <c r="K10" s="6">
        <v>0.128</v>
      </c>
      <c r="L10" s="24">
        <f>+'Data ROCK'!L10</f>
        <v>7.5</v>
      </c>
      <c r="M10" s="13">
        <f>+'Data ROCK'!M10</f>
        <v>48.14</v>
      </c>
      <c r="N10" s="6">
        <v>0.11600000000000001</v>
      </c>
      <c r="O10" s="24">
        <f>+'Data ROCK'!O10</f>
        <v>5</v>
      </c>
      <c r="P10" s="13">
        <f>+'Data ROCK'!P10</f>
        <v>50.53</v>
      </c>
      <c r="Q10" s="6">
        <v>0.104</v>
      </c>
      <c r="R10" s="59">
        <f>+'Data ROCK'!R10</f>
        <v>2.5</v>
      </c>
      <c r="S10" s="60">
        <f>+'Data ROCK'!S10</f>
        <v>54.05</v>
      </c>
      <c r="T10" s="61">
        <f>+'Data ROCK'!T10</f>
        <v>0.09</v>
      </c>
      <c r="V10" s="36"/>
      <c r="W10" s="29"/>
      <c r="X10" s="29"/>
      <c r="Y10" s="29"/>
      <c r="Z10" s="29"/>
      <c r="AA10" s="29"/>
      <c r="AB10" s="32"/>
    </row>
    <row r="11" spans="1:40" x14ac:dyDescent="0.25">
      <c r="A11" s="13">
        <f>+'Data ROCK'!A11</f>
        <v>0</v>
      </c>
      <c r="B11" s="13">
        <f>+'Data ROCK'!B11</f>
        <v>0</v>
      </c>
      <c r="C11" s="13" t="str">
        <f>+'Data ROCK'!C11</f>
        <v>Phyllites</v>
      </c>
      <c r="D11" s="13">
        <v>27</v>
      </c>
      <c r="I11" s="24">
        <f>+'Data ROCK'!I11</f>
        <v>20</v>
      </c>
      <c r="J11" s="13">
        <f>+'Data ROCK'!J11</f>
        <v>41.59</v>
      </c>
      <c r="K11" s="6">
        <v>0.17</v>
      </c>
      <c r="L11" s="24">
        <f>+'Data ROCK'!L11</f>
        <v>15</v>
      </c>
      <c r="M11" s="13">
        <f>+'Data ROCK'!M11</f>
        <v>43.6</v>
      </c>
      <c r="N11" s="6">
        <v>0.15</v>
      </c>
      <c r="O11" s="24">
        <f>+'Data ROCK'!O11</f>
        <v>10</v>
      </c>
      <c r="P11" s="13">
        <f>+'Data ROCK'!P11</f>
        <v>46.31</v>
      </c>
      <c r="Q11" s="6">
        <v>0.128</v>
      </c>
      <c r="R11" s="59">
        <f>+'Data ROCK'!R11</f>
        <v>5</v>
      </c>
      <c r="S11" s="60">
        <f>+'Data ROCK'!S11</f>
        <v>50.53</v>
      </c>
      <c r="T11" s="61">
        <f>+'Data ROCK'!T11</f>
        <v>0.10299999999999999</v>
      </c>
      <c r="V11" s="36"/>
      <c r="W11" s="29"/>
      <c r="X11" s="31" t="s">
        <v>52</v>
      </c>
      <c r="Y11" s="29"/>
      <c r="Z11" s="29"/>
      <c r="AA11" s="29" t="s">
        <v>55</v>
      </c>
      <c r="AB11" s="32"/>
    </row>
    <row r="12" spans="1:40" x14ac:dyDescent="0.25">
      <c r="A12" s="13">
        <f>+'Data ROCK'!A12</f>
        <v>0</v>
      </c>
      <c r="B12" s="13">
        <f>+'Data ROCK'!B12</f>
        <v>0</v>
      </c>
      <c r="C12" s="13" t="str">
        <f>+'Data ROCK'!C12</f>
        <v>Quartzites</v>
      </c>
      <c r="D12" s="13">
        <v>27</v>
      </c>
      <c r="I12" s="24">
        <f>+'Data ROCK'!I12</f>
        <v>20</v>
      </c>
      <c r="J12" s="13">
        <f>+'Data ROCK'!J12</f>
        <v>57.04</v>
      </c>
      <c r="K12" s="6">
        <f>+'Data ROCK'!K12</f>
        <v>0.44500000000000001</v>
      </c>
      <c r="L12" s="24">
        <f>+'Data ROCK'!L12</f>
        <v>15</v>
      </c>
      <c r="M12" s="13">
        <f>+'Data ROCK'!M12</f>
        <v>58.57</v>
      </c>
      <c r="N12" s="6">
        <f>+'Data ROCK'!N12</f>
        <v>0.40600000000000003</v>
      </c>
      <c r="O12" s="24">
        <f>+'Data ROCK'!O12</f>
        <v>10</v>
      </c>
      <c r="P12" s="13">
        <f>+'Data ROCK'!P12</f>
        <v>60.53</v>
      </c>
      <c r="Q12" s="6">
        <f>+'Data ROCK'!Q12</f>
        <v>0.36499999999999999</v>
      </c>
      <c r="R12" s="59">
        <f>+'Data ROCK'!R12</f>
        <v>5</v>
      </c>
      <c r="S12" s="60">
        <f>+'Data ROCK'!S12</f>
        <v>63.32</v>
      </c>
      <c r="T12" s="61">
        <f>+'Data ROCK'!T12</f>
        <v>0.32400000000000001</v>
      </c>
      <c r="V12" s="36"/>
      <c r="W12" s="29"/>
      <c r="X12" s="29"/>
      <c r="Y12" s="29"/>
      <c r="Z12" s="29"/>
      <c r="AA12" s="29" t="s">
        <v>57</v>
      </c>
      <c r="AB12" s="32"/>
    </row>
    <row r="13" spans="1:40" ht="15.75" thickBot="1" x14ac:dyDescent="0.3">
      <c r="A13" s="13">
        <f>+'Data ROCK'!A13</f>
        <v>0</v>
      </c>
      <c r="B13" s="13">
        <f>+'Data ROCK'!B13</f>
        <v>0</v>
      </c>
      <c r="C13" s="13" t="str">
        <f>+'Data ROCK'!C13</f>
        <v>Schists</v>
      </c>
      <c r="D13" s="13">
        <v>24</v>
      </c>
      <c r="I13" s="25">
        <f>+'Data ROCK'!I13</f>
        <v>30</v>
      </c>
      <c r="J13" s="7">
        <f>+'Data ROCK'!J13</f>
        <v>25.98</v>
      </c>
      <c r="K13" s="8">
        <f>+'Data ROCK'!K13</f>
        <v>8.4000000000000005E-2</v>
      </c>
      <c r="L13" s="25">
        <f>+'Data ROCK'!L13</f>
        <v>22.5</v>
      </c>
      <c r="M13" s="7">
        <f>+'Data ROCK'!M13</f>
        <v>27.98</v>
      </c>
      <c r="N13" s="8">
        <f>+'Data ROCK'!N13</f>
        <v>7.0999999999999994E-2</v>
      </c>
      <c r="O13" s="25">
        <f>+'Data ROCK'!O13</f>
        <v>15</v>
      </c>
      <c r="P13" s="7">
        <f>+'Data ROCK'!P13</f>
        <v>30.87</v>
      </c>
      <c r="Q13" s="8">
        <f>+'Data ROCK'!Q13</f>
        <v>5.7000000000000002E-2</v>
      </c>
      <c r="R13" s="62">
        <f>+'Data ROCK'!R13</f>
        <v>7.5</v>
      </c>
      <c r="S13" s="63">
        <f>+'Data ROCK'!S13</f>
        <v>35.92</v>
      </c>
      <c r="T13" s="64">
        <f>+'Data ROCK'!T13</f>
        <v>3.9E-2</v>
      </c>
      <c r="V13" s="39"/>
      <c r="W13" s="40"/>
      <c r="X13" s="40"/>
      <c r="Y13" s="40"/>
      <c r="Z13" s="40"/>
      <c r="AA13" s="40"/>
      <c r="AB13" s="41"/>
      <c r="AC13" t="s">
        <v>102</v>
      </c>
    </row>
    <row r="14" spans="1:40" ht="15.75" thickBot="1" x14ac:dyDescent="0.3">
      <c r="R14" s="65"/>
      <c r="S14" s="65"/>
      <c r="T14" s="65"/>
    </row>
    <row r="15" spans="1:40" x14ac:dyDescent="0.25">
      <c r="A15" s="13" t="str">
        <f>+A1</f>
        <v>RockID</v>
      </c>
      <c r="B15" s="13" t="str">
        <f t="shared" ref="B15:C15" si="0">+B1</f>
        <v>LEVEL 4</v>
      </c>
      <c r="C15" s="13" t="str">
        <f t="shared" si="0"/>
        <v>LEVEL 3</v>
      </c>
      <c r="I15" s="23" t="s">
        <v>56</v>
      </c>
      <c r="J15" s="4" t="s">
        <v>53</v>
      </c>
      <c r="K15" s="5" t="s">
        <v>54</v>
      </c>
      <c r="L15" s="23" t="s">
        <v>56</v>
      </c>
      <c r="M15" s="4" t="s">
        <v>53</v>
      </c>
      <c r="N15" s="5" t="s">
        <v>54</v>
      </c>
      <c r="O15" s="23" t="s">
        <v>56</v>
      </c>
      <c r="P15" s="4" t="s">
        <v>53</v>
      </c>
      <c r="Q15" s="5" t="s">
        <v>54</v>
      </c>
      <c r="R15" s="56" t="s">
        <v>56</v>
      </c>
      <c r="S15" s="57" t="s">
        <v>53</v>
      </c>
      <c r="T15" s="58" t="s">
        <v>54</v>
      </c>
      <c r="V15" s="23"/>
      <c r="W15" s="4" t="s">
        <v>73</v>
      </c>
      <c r="X15" s="5" t="s">
        <v>65</v>
      </c>
      <c r="Y15" s="23"/>
      <c r="Z15" s="4" t="s">
        <v>73</v>
      </c>
      <c r="AA15" s="5" t="s">
        <v>65</v>
      </c>
      <c r="AB15" s="23"/>
      <c r="AC15" s="4" t="s">
        <v>73</v>
      </c>
      <c r="AD15" s="5" t="s">
        <v>65</v>
      </c>
      <c r="AE15" s="56"/>
      <c r="AF15" s="57" t="s">
        <v>73</v>
      </c>
      <c r="AG15" s="58" t="s">
        <v>65</v>
      </c>
      <c r="AI15">
        <f>+(I2^2+(I2/2)^2)^0.5</f>
        <v>22.360679774997898</v>
      </c>
      <c r="AJ15">
        <f>+(J16^2+(I2/2)^2)^0.5</f>
        <v>24.253196577126069</v>
      </c>
      <c r="AM15">
        <f>+AI15+AJ15+K16</f>
        <v>76.416855132922365</v>
      </c>
      <c r="AN15">
        <f>+(AM15/2*(AM15/2-AI15)+(AM15/2-AJ15)+(AM15/2-K16))^0.5</f>
        <v>25.057497946855506</v>
      </c>
    </row>
    <row r="16" spans="1:40" x14ac:dyDescent="0.25">
      <c r="A16" s="13">
        <f t="shared" ref="A16:C27" si="1">+A2</f>
        <v>0</v>
      </c>
      <c r="B16" s="13" t="str">
        <f t="shared" si="1"/>
        <v>Calcareous rocks</v>
      </c>
      <c r="C16" s="13" t="str">
        <f t="shared" si="1"/>
        <v>Limestones</v>
      </c>
      <c r="I16" s="24">
        <f>90-J2</f>
        <v>47.85</v>
      </c>
      <c r="J16" s="13">
        <f>+I2*TAN(RADIANS(I16))</f>
        <v>22.095645367554205</v>
      </c>
      <c r="K16" s="6">
        <f>+SQRT(J16^2+I2^2)</f>
        <v>29.802978780798398</v>
      </c>
      <c r="L16" s="24">
        <f>90-M2</f>
        <v>45.85</v>
      </c>
      <c r="M16" s="13">
        <f>+L2*TAN(RADIANS(L16))</f>
        <v>15.451794612312629</v>
      </c>
      <c r="N16" s="6">
        <f>+SQRT(M16^2+L2^2)</f>
        <v>21.535040207556928</v>
      </c>
      <c r="O16" s="24">
        <f>90-P2</f>
        <v>43.17</v>
      </c>
      <c r="P16" s="13">
        <f>+O2*TAN(RADIANS(O16))</f>
        <v>9.3807766169065925</v>
      </c>
      <c r="Q16" s="6">
        <f>+SQRT(P16^2+O2^2)</f>
        <v>13.71127163819248</v>
      </c>
      <c r="R16" s="59">
        <f>90-S2</f>
        <v>39.020000000000003</v>
      </c>
      <c r="S16" s="60">
        <f>+R2*TAN(RADIANS(R16))</f>
        <v>4.0518108124094274</v>
      </c>
      <c r="T16" s="61">
        <f>+SQRT(S16^2+R2^2)</f>
        <v>6.4356173642905423</v>
      </c>
      <c r="V16" s="24">
        <f>+X16</f>
        <v>25.057497946855506</v>
      </c>
      <c r="W16" s="13">
        <f>+(I2^2+(I2/2)^2)^0.5+(J16^2+(I2/2)^2)^0.5+K16</f>
        <v>76.416855132922365</v>
      </c>
      <c r="X16" s="6">
        <f>+(W16/2*(W16/2-(I2^2+(I2/2)^2)^0.5)+(W16/2-(J16^2+(I2/2)^2)^0.5)+(W16/2-K16))^0.5</f>
        <v>25.057497946855506</v>
      </c>
      <c r="Y16" s="24">
        <f t="shared" ref="Y16:Y27" si="2">+V16*$AL$19</f>
        <v>12.528748973427753</v>
      </c>
      <c r="Z16" s="13">
        <f>+(L2^2+(L2/2)^2)^0.5+(M16^2+(L2/2)^2)^0.5+N16</f>
        <v>55.481345704249605</v>
      </c>
      <c r="AA16" s="6">
        <f>+(Z16/2*(Z16/2-(L2^2+(L2/2)^2)^0.5)+(Z16/2-(M16^2+(L2/2)^2)^0.5)+(Z16/2-N16))^0.5</f>
        <v>17.918990298782386</v>
      </c>
      <c r="AB16" s="24">
        <f t="shared" ref="AB16:AB27" si="3">+V16*$AM$19</f>
        <v>3.1321872433569382</v>
      </c>
      <c r="AC16" s="13">
        <f>+(O2^2+(O2/2)^2)^0.5+(P16^2+(O2/2)^2)^0.5+Q16</f>
        <v>35.521708888194816</v>
      </c>
      <c r="AD16" s="6">
        <f>+(AC16/2*(AC16/2-(O2^2+(O2/2)^2)^0.5)+(AC16/2-(P16^2+(O2/2)^2)^0.5)+(AC16/2-Q16))^0.5</f>
        <v>11.316178731997315</v>
      </c>
      <c r="AE16" s="59"/>
      <c r="AF16" s="60">
        <f>+(R2^2+(R2/2)^2)^0.5+(S16^2+(R2/2)^2)^0.5+T16</f>
        <v>16.786792544285611</v>
      </c>
      <c r="AG16" s="61">
        <f>+(AF16/2*(AF16/2-(R2^2+(R2/2)^2)^0.5)+(AF16/2-(S16^2+(R2/2)^2)^0.5)+(AF16/2-T16))^0.5</f>
        <v>5.3961800709815666</v>
      </c>
      <c r="AM16" t="s">
        <v>72</v>
      </c>
      <c r="AN16" t="s">
        <v>66</v>
      </c>
    </row>
    <row r="17" spans="1:42" x14ac:dyDescent="0.25">
      <c r="A17" s="13">
        <f t="shared" si="1"/>
        <v>0</v>
      </c>
      <c r="B17" s="13">
        <f t="shared" si="1"/>
        <v>0</v>
      </c>
      <c r="C17" s="13" t="str">
        <f t="shared" si="1"/>
        <v>Marlstones</v>
      </c>
      <c r="I17" s="24">
        <f>90-J3</f>
        <v>64.8</v>
      </c>
      <c r="J17" s="13">
        <f>+I3*TAN(RADIANS(I17))</f>
        <v>63.753245194716087</v>
      </c>
      <c r="K17" s="6">
        <f>+SQRT(J17^2+I3^2)</f>
        <v>70.459039681630557</v>
      </c>
      <c r="L17" s="24">
        <f t="shared" ref="L17:L27" si="4">90-M3</f>
        <v>62.89</v>
      </c>
      <c r="M17" s="13">
        <f t="shared" ref="M17:M27" si="5">+L3*TAN(RADIANS(L17))</f>
        <v>43.949938413646933</v>
      </c>
      <c r="N17" s="6">
        <f t="shared" ref="N17:N27" si="6">+SQRT(M17^2+L3^2)</f>
        <v>49.374559102470556</v>
      </c>
      <c r="O17" s="24">
        <f t="shared" ref="O17:O27" si="7">90-P3</f>
        <v>60.15</v>
      </c>
      <c r="P17" s="13">
        <f t="shared" ref="P17:P27" si="8">+O3*TAN(RADIANS(O17))</f>
        <v>26.138557630236974</v>
      </c>
      <c r="Q17" s="6">
        <f t="shared" ref="Q17:Q27" si="9">+SQRT(P17^2+O3^2)</f>
        <v>30.136758203051958</v>
      </c>
      <c r="R17" s="59">
        <f t="shared" ref="R17:R27" si="10">90-S3</f>
        <v>55.46</v>
      </c>
      <c r="S17" s="60">
        <f t="shared" ref="S17:S27" si="11">+R3*TAN(RADIANS(R17))</f>
        <v>10.896263431785693</v>
      </c>
      <c r="T17" s="61">
        <f t="shared" ref="T17:T27" si="12">+SQRT(S17^2+R3^2)</f>
        <v>13.22794605276534</v>
      </c>
      <c r="V17" s="24">
        <f t="shared" ref="V17:V27" si="13">+X17</f>
        <v>66.129453495956824</v>
      </c>
      <c r="W17" s="13">
        <f t="shared" ref="W17:W27" si="14">+(I3^2+(I3/2)^2)^0.5+(J17^2+(I3/2)^2)^0.5+K17</f>
        <v>169.49415276374492</v>
      </c>
      <c r="X17" s="6">
        <f t="shared" ref="X17:X27" si="15">+(W17/2*(W17/2-(I3^2+(I3/2)^2)^0.5)+(W17/2-(J17^2+(I3/2)^2)^0.5)+(W17/2-K17))^0.5</f>
        <v>66.129453495956824</v>
      </c>
      <c r="Y17" s="24">
        <f t="shared" si="2"/>
        <v>33.064726747978412</v>
      </c>
      <c r="Z17" s="13">
        <f t="shared" ref="Z17:Z27" si="16">+(L3^2+(L3/2)^2)^0.5+(M17^2+(L3/2)^2)^0.5+N17</f>
        <v>119.89726761419645</v>
      </c>
      <c r="AA17" s="6">
        <f t="shared" ref="AA17:AA27" si="17">+(Z17/2*(Z17/2-(L3^2+(L3/2)^2)^0.5)+(Z17/2-(M17^2+(L3/2)^2)^0.5)+(Z17/2-N17))^0.5</f>
        <v>45.944975036848746</v>
      </c>
      <c r="AB17" s="24">
        <f t="shared" si="3"/>
        <v>8.266181686994603</v>
      </c>
      <c r="AC17" s="13">
        <f t="shared" ref="AC17:AC27" si="18">+(O3^2+(O3/2)^2)^0.5+(P17^2+(O3/2)^2)^0.5+Q17</f>
        <v>74.100542846084622</v>
      </c>
      <c r="AD17" s="6">
        <f t="shared" ref="AD17:AD27" si="19">+(AC17/2*(AC17/2-(O3^2+(O3/2)^2)^0.5)+(AC17/2-(P17^2+(O3/2)^2)^0.5)+(AC17/2-Q17))^0.5</f>
        <v>27.715360022951181</v>
      </c>
      <c r="AE17" s="59"/>
      <c r="AF17" s="60">
        <f t="shared" ref="AF17:AF27" si="20">+(R3^2+(R3/2)^2)^0.5+(S17^2+(R3/2)^2)^0.5+T17</f>
        <v>33.136701164721835</v>
      </c>
      <c r="AG17" s="61">
        <f t="shared" ref="AG17:AG27" si="21">+(AF17/2*(AF17/2-(R3^2+(R3/2)^2)^0.5)+(AF17/2-(S17^2+(R3/2)^2)^0.5)+(AF17/2-T17))^0.5</f>
        <v>11.998568780113587</v>
      </c>
      <c r="AM17">
        <f>+(I2^2+(I2/2)^2)^0.5+(J16^2+(I2/2)^2)^0.5+K16</f>
        <v>76.416855132922365</v>
      </c>
      <c r="AN17">
        <f>+(AM17/2*(AM17/2-(I2^2+(I2/2)^2)^0.5)+(AM17/2-(J16^2+(I2/2)^2)^0.5)+(AM17/2-K16))^0.5</f>
        <v>25.057497946855506</v>
      </c>
    </row>
    <row r="18" spans="1:42" x14ac:dyDescent="0.25">
      <c r="A18" s="13">
        <f t="shared" si="1"/>
        <v>0</v>
      </c>
      <c r="B18" s="13" t="str">
        <f t="shared" si="1"/>
        <v>Siliciclastic rocks</v>
      </c>
      <c r="C18" s="13" t="str">
        <f t="shared" si="1"/>
        <v>Conglomerates</v>
      </c>
      <c r="I18" s="24">
        <f t="shared" ref="I18:I27" si="22">90-J4</f>
        <v>53.24</v>
      </c>
      <c r="J18" s="13">
        <f t="shared" ref="J18:J27" si="23">+I4*TAN(RADIANS(I18))</f>
        <v>40.160249671214324</v>
      </c>
      <c r="K18" s="6">
        <f t="shared" ref="K18:K27" si="24">+SQRT(J18^2+I4^2)</f>
        <v>50.128291948302703</v>
      </c>
      <c r="L18" s="24">
        <f t="shared" si="4"/>
        <v>51.09</v>
      </c>
      <c r="M18" s="13">
        <f t="shared" si="5"/>
        <v>27.874599378014864</v>
      </c>
      <c r="N18" s="6">
        <f t="shared" si="6"/>
        <v>35.822385326563982</v>
      </c>
      <c r="O18" s="24">
        <f t="shared" si="7"/>
        <v>48.06</v>
      </c>
      <c r="P18" s="13">
        <f t="shared" si="8"/>
        <v>16.6943116956603</v>
      </c>
      <c r="Q18" s="6">
        <f t="shared" si="9"/>
        <v>22.44326275281427</v>
      </c>
      <c r="R18" s="59">
        <f t="shared" si="10"/>
        <v>43.04</v>
      </c>
      <c r="S18" s="60">
        <f t="shared" si="11"/>
        <v>7.003658645626996</v>
      </c>
      <c r="T18" s="61">
        <f t="shared" si="12"/>
        <v>10.261638973598018</v>
      </c>
      <c r="V18" s="24">
        <f t="shared" si="13"/>
        <v>43.754615108933422</v>
      </c>
      <c r="W18" s="13">
        <f t="shared" si="14"/>
        <v>126.53941370601585</v>
      </c>
      <c r="X18" s="6">
        <f t="shared" si="15"/>
        <v>43.754615108933422</v>
      </c>
      <c r="Y18" s="24">
        <f t="shared" si="2"/>
        <v>21.877307554466711</v>
      </c>
      <c r="Z18" s="13">
        <f t="shared" si="16"/>
        <v>91.037354828134085</v>
      </c>
      <c r="AA18" s="6">
        <f t="shared" si="17"/>
        <v>30.855285084661176</v>
      </c>
      <c r="AB18" s="24">
        <f t="shared" si="3"/>
        <v>5.4693268886166777</v>
      </c>
      <c r="AC18" s="13">
        <f t="shared" si="18"/>
        <v>57.515413029439721</v>
      </c>
      <c r="AD18" s="6">
        <f t="shared" si="19"/>
        <v>19.013016435819523</v>
      </c>
      <c r="AE18" s="59"/>
      <c r="AF18" s="60">
        <f t="shared" si="20"/>
        <v>26.591309187056662</v>
      </c>
      <c r="AG18" s="61">
        <f t="shared" si="21"/>
        <v>8.5832530516821048</v>
      </c>
    </row>
    <row r="19" spans="1:42" x14ac:dyDescent="0.25">
      <c r="A19" s="13">
        <f t="shared" si="1"/>
        <v>0</v>
      </c>
      <c r="B19" s="13">
        <f t="shared" si="1"/>
        <v>0</v>
      </c>
      <c r="C19" s="13" t="str">
        <f t="shared" si="1"/>
        <v>Sandstones</v>
      </c>
      <c r="I19" s="24">
        <f t="shared" si="22"/>
        <v>55.7</v>
      </c>
      <c r="J19" s="13">
        <f t="shared" si="23"/>
        <v>43.978355360141336</v>
      </c>
      <c r="K19" s="6">
        <f t="shared" si="24"/>
        <v>53.236225825868537</v>
      </c>
      <c r="L19" s="24">
        <f t="shared" si="4"/>
        <v>53.56</v>
      </c>
      <c r="M19" s="13">
        <f t="shared" si="5"/>
        <v>30.473693384936777</v>
      </c>
      <c r="N19" s="6">
        <f t="shared" si="6"/>
        <v>37.88002096777587</v>
      </c>
      <c r="O19" s="24">
        <f t="shared" si="7"/>
        <v>50.55</v>
      </c>
      <c r="P19" s="13">
        <f t="shared" si="8"/>
        <v>18.228842581085445</v>
      </c>
      <c r="Q19" s="6">
        <f t="shared" si="9"/>
        <v>23.6070053553176</v>
      </c>
      <c r="R19" s="59">
        <f t="shared" si="10"/>
        <v>45.5</v>
      </c>
      <c r="S19" s="60">
        <f t="shared" si="11"/>
        <v>7.6320554472909388</v>
      </c>
      <c r="T19" s="61">
        <f t="shared" si="12"/>
        <v>10.700386457998762</v>
      </c>
      <c r="V19" s="24">
        <f t="shared" si="13"/>
        <v>47.301458859575035</v>
      </c>
      <c r="W19" s="13">
        <f t="shared" si="14"/>
        <v>133.24331633778056</v>
      </c>
      <c r="X19" s="6">
        <f t="shared" si="15"/>
        <v>47.301458859575035</v>
      </c>
      <c r="Y19" s="24">
        <f t="shared" si="2"/>
        <v>23.650729429787518</v>
      </c>
      <c r="Z19" s="13">
        <f t="shared" si="16"/>
        <v>95.519758509230442</v>
      </c>
      <c r="AA19" s="6">
        <f t="shared" si="17"/>
        <v>33.237411817019613</v>
      </c>
      <c r="AB19" s="24">
        <f t="shared" si="3"/>
        <v>5.9126823574468794</v>
      </c>
      <c r="AC19" s="13">
        <f t="shared" si="18"/>
        <v>60.088951000478559</v>
      </c>
      <c r="AD19" s="6">
        <f t="shared" si="19"/>
        <v>20.385775584074832</v>
      </c>
      <c r="AE19" s="59"/>
      <c r="AF19" s="60">
        <f t="shared" si="20"/>
        <v>27.589215348753861</v>
      </c>
      <c r="AG19" s="61">
        <f t="shared" si="21"/>
        <v>9.1107164369728082</v>
      </c>
      <c r="AL19" s="12">
        <f>ROUNDUP(3^3/4^3,1)</f>
        <v>0.5</v>
      </c>
      <c r="AM19" s="12">
        <f>0.5^3</f>
        <v>0.125</v>
      </c>
    </row>
    <row r="20" spans="1:42" x14ac:dyDescent="0.25">
      <c r="A20" s="13">
        <f t="shared" si="1"/>
        <v>0</v>
      </c>
      <c r="B20" s="13">
        <f t="shared" si="1"/>
        <v>0</v>
      </c>
      <c r="C20" s="13" t="str">
        <f t="shared" si="1"/>
        <v>Shales</v>
      </c>
      <c r="I20" s="24">
        <f t="shared" si="22"/>
        <v>69.19</v>
      </c>
      <c r="J20" s="13">
        <f t="shared" si="23"/>
        <v>78.934054276419332</v>
      </c>
      <c r="K20" s="6">
        <f t="shared" si="24"/>
        <v>84.442790838014787</v>
      </c>
      <c r="L20" s="24">
        <f t="shared" si="4"/>
        <v>67.41</v>
      </c>
      <c r="M20" s="13">
        <f t="shared" si="5"/>
        <v>54.079380168846328</v>
      </c>
      <c r="N20" s="6">
        <f t="shared" si="6"/>
        <v>58.573281958983735</v>
      </c>
      <c r="O20" s="24">
        <f t="shared" si="7"/>
        <v>64.8</v>
      </c>
      <c r="P20" s="13">
        <f t="shared" si="8"/>
        <v>31.876622597358043</v>
      </c>
      <c r="Q20" s="6">
        <f t="shared" si="9"/>
        <v>35.229519840815279</v>
      </c>
      <c r="R20" s="59">
        <f t="shared" si="10"/>
        <v>64.8</v>
      </c>
      <c r="S20" s="60">
        <f t="shared" si="11"/>
        <v>15.938311298679022</v>
      </c>
      <c r="T20" s="61">
        <f t="shared" si="12"/>
        <v>17.614759920407639</v>
      </c>
      <c r="V20" s="24">
        <f t="shared" si="13"/>
        <v>80.877570199645348</v>
      </c>
      <c r="W20" s="13">
        <f t="shared" si="14"/>
        <v>198.33046521937788</v>
      </c>
      <c r="X20" s="6">
        <f t="shared" si="15"/>
        <v>80.877570199645348</v>
      </c>
      <c r="Y20" s="24">
        <f t="shared" si="2"/>
        <v>40.438785099822674</v>
      </c>
      <c r="Z20" s="13">
        <f t="shared" si="16"/>
        <v>138.96618873408417</v>
      </c>
      <c r="AA20" s="6">
        <f t="shared" si="17"/>
        <v>55.72392477010289</v>
      </c>
      <c r="AB20" s="24">
        <f t="shared" si="3"/>
        <v>10.109696274955668</v>
      </c>
      <c r="AC20" s="13">
        <f t="shared" si="18"/>
        <v>84.747076381872461</v>
      </c>
      <c r="AD20" s="6">
        <f t="shared" si="19"/>
        <v>33.191285148877604</v>
      </c>
      <c r="AE20" s="59"/>
      <c r="AF20" s="60">
        <f t="shared" si="20"/>
        <v>42.37353819093623</v>
      </c>
      <c r="AG20" s="61">
        <f t="shared" si="21"/>
        <v>16.721482587268927</v>
      </c>
    </row>
    <row r="21" spans="1:42" x14ac:dyDescent="0.25">
      <c r="A21" s="13">
        <f t="shared" si="1"/>
        <v>0</v>
      </c>
      <c r="B21" s="13" t="str">
        <f t="shared" si="1"/>
        <v>Magmatic rocks</v>
      </c>
      <c r="C21" s="13" t="str">
        <f t="shared" si="1"/>
        <v>Plutonic rocks</v>
      </c>
      <c r="I21" s="24">
        <f t="shared" si="22"/>
        <v>30.840000000000003</v>
      </c>
      <c r="J21" s="13">
        <f t="shared" si="23"/>
        <v>5.9706625332153127</v>
      </c>
      <c r="K21" s="6">
        <f t="shared" si="24"/>
        <v>11.64683695625302</v>
      </c>
      <c r="L21" s="24">
        <f t="shared" si="4"/>
        <v>29.47</v>
      </c>
      <c r="M21" s="13">
        <f t="shared" si="5"/>
        <v>4.2381133551736045</v>
      </c>
      <c r="N21" s="6">
        <f t="shared" si="6"/>
        <v>8.6146157668987691</v>
      </c>
      <c r="O21" s="24">
        <f t="shared" si="7"/>
        <v>27.75</v>
      </c>
      <c r="P21" s="13">
        <f t="shared" si="8"/>
        <v>2.6306272574601701</v>
      </c>
      <c r="Q21" s="6">
        <f t="shared" si="9"/>
        <v>5.6497964359516901</v>
      </c>
      <c r="R21" s="59">
        <f t="shared" si="10"/>
        <v>25.39</v>
      </c>
      <c r="S21" s="60">
        <f t="shared" si="11"/>
        <v>1.186552610470355</v>
      </c>
      <c r="T21" s="61">
        <f t="shared" si="12"/>
        <v>2.767292376568478</v>
      </c>
      <c r="V21" s="24">
        <f t="shared" si="13"/>
        <v>8.6229915536158561</v>
      </c>
      <c r="W21" s="13">
        <f t="shared" si="14"/>
        <v>30.614911500604443</v>
      </c>
      <c r="X21" s="6">
        <f t="shared" si="15"/>
        <v>8.6229915536158561</v>
      </c>
      <c r="Y21" s="24">
        <f t="shared" si="2"/>
        <v>4.3114957768079281</v>
      </c>
      <c r="Z21" s="13">
        <f t="shared" si="16"/>
        <v>22.658855115378479</v>
      </c>
      <c r="AA21" s="6">
        <f t="shared" si="17"/>
        <v>6.4607310407747578</v>
      </c>
      <c r="AB21" s="24">
        <f t="shared" si="3"/>
        <v>1.077873944201982</v>
      </c>
      <c r="AC21" s="13">
        <f t="shared" si="18"/>
        <v>14.869043365339856</v>
      </c>
      <c r="AD21" s="6">
        <f t="shared" si="19"/>
        <v>4.3934090336802889</v>
      </c>
      <c r="AE21" s="59"/>
      <c r="AF21" s="60">
        <f t="shared" si="20"/>
        <v>7.2858642492968348</v>
      </c>
      <c r="AG21" s="61">
        <f t="shared" si="21"/>
        <v>2.4256410702133304</v>
      </c>
      <c r="AK21" s="79">
        <f t="shared" ref="AK21:AK32" si="25">+V16/$V16</f>
        <v>1</v>
      </c>
      <c r="AL21" s="27">
        <f t="shared" ref="AL21:AL32" si="26">+Y16/$V16</f>
        <v>0.5</v>
      </c>
      <c r="AM21" s="79">
        <f t="shared" ref="AM21:AM32" si="27">+AB16/$V16</f>
        <v>0.125</v>
      </c>
    </row>
    <row r="22" spans="1:42" x14ac:dyDescent="0.25">
      <c r="A22" s="13">
        <f t="shared" si="1"/>
        <v>0</v>
      </c>
      <c r="B22" s="13">
        <f t="shared" si="1"/>
        <v>0</v>
      </c>
      <c r="C22" s="13" t="str">
        <f t="shared" si="1"/>
        <v>Volcanic rocks</v>
      </c>
      <c r="I22" s="24">
        <f t="shared" si="22"/>
        <v>30.840000000000003</v>
      </c>
      <c r="J22" s="13">
        <f t="shared" si="23"/>
        <v>5.9706625332153127</v>
      </c>
      <c r="K22" s="6">
        <f t="shared" si="24"/>
        <v>11.64683695625302</v>
      </c>
      <c r="L22" s="24">
        <f t="shared" si="4"/>
        <v>29.47</v>
      </c>
      <c r="M22" s="13">
        <f t="shared" si="5"/>
        <v>4.2381133551736045</v>
      </c>
      <c r="N22" s="6">
        <f t="shared" si="6"/>
        <v>8.6146157668987691</v>
      </c>
      <c r="O22" s="24">
        <f t="shared" si="7"/>
        <v>27.75</v>
      </c>
      <c r="P22" s="13">
        <f t="shared" si="8"/>
        <v>2.6306272574601701</v>
      </c>
      <c r="Q22" s="6">
        <f t="shared" si="9"/>
        <v>5.6497964359516901</v>
      </c>
      <c r="R22" s="59">
        <f t="shared" si="10"/>
        <v>25.39</v>
      </c>
      <c r="S22" s="60">
        <f t="shared" si="11"/>
        <v>1.186552610470355</v>
      </c>
      <c r="T22" s="61">
        <f t="shared" si="12"/>
        <v>2.767292376568478</v>
      </c>
      <c r="V22" s="24">
        <f t="shared" si="13"/>
        <v>8.6229915536158561</v>
      </c>
      <c r="W22" s="13">
        <f t="shared" si="14"/>
        <v>30.614911500604443</v>
      </c>
      <c r="X22" s="6">
        <f t="shared" si="15"/>
        <v>8.6229915536158561</v>
      </c>
      <c r="Y22" s="24">
        <f t="shared" si="2"/>
        <v>4.3114957768079281</v>
      </c>
      <c r="Z22" s="13">
        <f t="shared" si="16"/>
        <v>22.658855115378479</v>
      </c>
      <c r="AA22" s="6">
        <f t="shared" si="17"/>
        <v>6.4607310407747578</v>
      </c>
      <c r="AB22" s="24">
        <f t="shared" si="3"/>
        <v>1.077873944201982</v>
      </c>
      <c r="AC22" s="13">
        <f t="shared" si="18"/>
        <v>14.869043365339856</v>
      </c>
      <c r="AD22" s="6">
        <f t="shared" si="19"/>
        <v>4.3934090336802889</v>
      </c>
      <c r="AE22" s="59"/>
      <c r="AF22" s="60">
        <f t="shared" si="20"/>
        <v>7.2858642492968348</v>
      </c>
      <c r="AG22" s="61">
        <f t="shared" si="21"/>
        <v>2.4256410702133304</v>
      </c>
      <c r="AK22" s="79">
        <f t="shared" si="25"/>
        <v>1</v>
      </c>
      <c r="AL22" s="27">
        <f t="shared" si="26"/>
        <v>0.5</v>
      </c>
      <c r="AM22" s="79">
        <f t="shared" si="27"/>
        <v>0.125</v>
      </c>
    </row>
    <row r="23" spans="1:42" x14ac:dyDescent="0.25">
      <c r="A23" s="13">
        <f t="shared" si="1"/>
        <v>0</v>
      </c>
      <c r="B23" s="13" t="str">
        <f t="shared" si="1"/>
        <v>Metamorphic rocks</v>
      </c>
      <c r="C23" s="13" t="str">
        <f t="shared" si="1"/>
        <v>Gneiss</v>
      </c>
      <c r="I23" s="24">
        <f t="shared" si="22"/>
        <v>27.78</v>
      </c>
      <c r="J23" s="13">
        <f t="shared" si="23"/>
        <v>5.2679417087166049</v>
      </c>
      <c r="K23" s="6">
        <f t="shared" si="24"/>
        <v>11.30270807578591</v>
      </c>
      <c r="L23" s="24">
        <f t="shared" si="4"/>
        <v>26.520000000000003</v>
      </c>
      <c r="M23" s="13">
        <f t="shared" si="5"/>
        <v>3.7426314137976693</v>
      </c>
      <c r="N23" s="6">
        <f t="shared" si="6"/>
        <v>8.3819621747861124</v>
      </c>
      <c r="O23" s="24">
        <f t="shared" si="7"/>
        <v>24.950000000000003</v>
      </c>
      <c r="P23" s="13">
        <f t="shared" si="8"/>
        <v>2.3262283537322732</v>
      </c>
      <c r="Q23" s="6">
        <f t="shared" si="9"/>
        <v>5.5146476182715389</v>
      </c>
      <c r="R23" s="59">
        <f t="shared" si="10"/>
        <v>22.810000000000002</v>
      </c>
      <c r="S23" s="60">
        <f t="shared" si="11"/>
        <v>1.0514167042083116</v>
      </c>
      <c r="T23" s="61">
        <f t="shared" si="12"/>
        <v>2.7120982810156913</v>
      </c>
      <c r="V23" s="24">
        <f t="shared" si="13"/>
        <v>8.1302979698947659</v>
      </c>
      <c r="W23" s="13">
        <f t="shared" si="14"/>
        <v>29.746050775237777</v>
      </c>
      <c r="X23" s="6">
        <f t="shared" si="15"/>
        <v>8.1302979698947659</v>
      </c>
      <c r="Y23" s="24">
        <f t="shared" si="2"/>
        <v>4.065148984947383</v>
      </c>
      <c r="Z23" s="13">
        <f t="shared" si="16"/>
        <v>22.06531013409549</v>
      </c>
      <c r="AA23" s="6">
        <f t="shared" si="17"/>
        <v>6.1313218485682217</v>
      </c>
      <c r="AB23" s="24">
        <f t="shared" si="3"/>
        <v>1.0162872462368457</v>
      </c>
      <c r="AC23" s="13">
        <f t="shared" si="18"/>
        <v>14.519687743112524</v>
      </c>
      <c r="AD23" s="6">
        <f t="shared" si="19"/>
        <v>4.2085320452664785</v>
      </c>
      <c r="AE23" s="59"/>
      <c r="AF23" s="60">
        <f t="shared" si="20"/>
        <v>7.1405775977711343</v>
      </c>
      <c r="AG23" s="61">
        <f t="shared" si="21"/>
        <v>2.35855602271914</v>
      </c>
      <c r="AK23" s="79">
        <f t="shared" si="25"/>
        <v>1</v>
      </c>
      <c r="AL23" s="27">
        <f t="shared" si="26"/>
        <v>0.5</v>
      </c>
      <c r="AM23" s="79">
        <f t="shared" si="27"/>
        <v>0.125</v>
      </c>
    </row>
    <row r="24" spans="1:42" x14ac:dyDescent="0.25">
      <c r="A24" s="13">
        <f t="shared" si="1"/>
        <v>0</v>
      </c>
      <c r="B24" s="13">
        <f t="shared" si="1"/>
        <v>0</v>
      </c>
      <c r="C24" s="13" t="str">
        <f t="shared" si="1"/>
        <v>Marbles</v>
      </c>
      <c r="I24" s="24">
        <f t="shared" si="22"/>
        <v>43.69</v>
      </c>
      <c r="J24" s="13">
        <f t="shared" si="23"/>
        <v>9.5528689410929797</v>
      </c>
      <c r="K24" s="6">
        <f t="shared" si="24"/>
        <v>13.829580796455796</v>
      </c>
      <c r="L24" s="24">
        <f t="shared" si="4"/>
        <v>41.86</v>
      </c>
      <c r="M24" s="13">
        <f t="shared" si="5"/>
        <v>6.7199197993687854</v>
      </c>
      <c r="N24" s="6">
        <f t="shared" si="6"/>
        <v>10.070120262933736</v>
      </c>
      <c r="O24" s="24">
        <f t="shared" si="7"/>
        <v>39.47</v>
      </c>
      <c r="P24" s="13">
        <f t="shared" si="8"/>
        <v>4.1172868252006207</v>
      </c>
      <c r="Q24" s="6">
        <f t="shared" si="9"/>
        <v>6.4770402809439602</v>
      </c>
      <c r="R24" s="59">
        <f t="shared" si="10"/>
        <v>35.950000000000003</v>
      </c>
      <c r="S24" s="60">
        <f t="shared" si="11"/>
        <v>1.8130251489598788</v>
      </c>
      <c r="T24" s="61">
        <f t="shared" si="12"/>
        <v>3.0882131064356599</v>
      </c>
      <c r="V24" s="24">
        <f t="shared" si="13"/>
        <v>11.461505843441191</v>
      </c>
      <c r="W24" s="13">
        <f t="shared" si="14"/>
        <v>35.792188766584616</v>
      </c>
      <c r="X24" s="6">
        <f t="shared" si="15"/>
        <v>11.461505843441191</v>
      </c>
      <c r="Y24" s="24">
        <f t="shared" si="2"/>
        <v>5.7307529217205957</v>
      </c>
      <c r="Z24" s="13">
        <f t="shared" si="16"/>
        <v>26.150816823450633</v>
      </c>
      <c r="AA24" s="6">
        <f t="shared" si="17"/>
        <v>8.3493070006334964</v>
      </c>
      <c r="AB24" s="24">
        <f t="shared" si="3"/>
        <v>1.4326882304301489</v>
      </c>
      <c r="AC24" s="13">
        <f t="shared" si="18"/>
        <v>16.884060938694297</v>
      </c>
      <c r="AD24" s="6">
        <f t="shared" si="19"/>
        <v>5.4466194465166566</v>
      </c>
      <c r="AE24" s="59"/>
      <c r="AF24" s="60">
        <f t="shared" si="20"/>
        <v>8.0854697770571118</v>
      </c>
      <c r="AG24" s="61">
        <f t="shared" si="21"/>
        <v>2.7998219262304658</v>
      </c>
      <c r="AK24" s="79">
        <f t="shared" si="25"/>
        <v>1</v>
      </c>
      <c r="AL24" s="27">
        <f t="shared" si="26"/>
        <v>0.5</v>
      </c>
      <c r="AM24" s="79">
        <f t="shared" si="27"/>
        <v>0.125</v>
      </c>
    </row>
    <row r="25" spans="1:42" x14ac:dyDescent="0.25">
      <c r="A25" s="13">
        <f t="shared" si="1"/>
        <v>0</v>
      </c>
      <c r="B25" s="13">
        <f t="shared" si="1"/>
        <v>0</v>
      </c>
      <c r="C25" s="13" t="str">
        <f t="shared" si="1"/>
        <v>Phyllites</v>
      </c>
      <c r="I25" s="24">
        <f t="shared" si="22"/>
        <v>48.41</v>
      </c>
      <c r="J25" s="13">
        <f t="shared" si="23"/>
        <v>22.534462653731332</v>
      </c>
      <c r="K25" s="6">
        <f t="shared" si="24"/>
        <v>30.12975285481798</v>
      </c>
      <c r="L25" s="24">
        <f t="shared" si="4"/>
        <v>46.4</v>
      </c>
      <c r="M25" s="13">
        <f t="shared" si="5"/>
        <v>15.751551736366718</v>
      </c>
      <c r="N25" s="6">
        <f t="shared" si="6"/>
        <v>21.751123697488307</v>
      </c>
      <c r="O25" s="24">
        <f t="shared" si="7"/>
        <v>43.69</v>
      </c>
      <c r="P25" s="13">
        <f t="shared" si="8"/>
        <v>9.5528689410929797</v>
      </c>
      <c r="Q25" s="6">
        <f t="shared" si="9"/>
        <v>13.829580796455796</v>
      </c>
      <c r="R25" s="59">
        <f t="shared" si="10"/>
        <v>39.47</v>
      </c>
      <c r="S25" s="60">
        <f t="shared" si="11"/>
        <v>4.1172868252006207</v>
      </c>
      <c r="T25" s="61">
        <f t="shared" si="12"/>
        <v>6.4770402809439602</v>
      </c>
      <c r="V25" s="24">
        <f t="shared" si="13"/>
        <v>25.449277714530236</v>
      </c>
      <c r="W25" s="13">
        <f t="shared" si="14"/>
        <v>77.144073478429135</v>
      </c>
      <c r="X25" s="6">
        <f t="shared" si="15"/>
        <v>25.449277714530236</v>
      </c>
      <c r="Y25" s="24">
        <f t="shared" si="2"/>
        <v>12.724638857265118</v>
      </c>
      <c r="Z25" s="13">
        <f t="shared" si="16"/>
        <v>55.967589567413356</v>
      </c>
      <c r="AA25" s="6">
        <f t="shared" si="17"/>
        <v>18.181330391147572</v>
      </c>
      <c r="AB25" s="24">
        <f t="shared" si="3"/>
        <v>3.1811597143162795</v>
      </c>
      <c r="AC25" s="13">
        <f t="shared" si="18"/>
        <v>35.792188766584616</v>
      </c>
      <c r="AD25" s="6">
        <f t="shared" si="19"/>
        <v>11.461505843441191</v>
      </c>
      <c r="AE25" s="59"/>
      <c r="AF25" s="60">
        <f t="shared" si="20"/>
        <v>16.884060938694297</v>
      </c>
      <c r="AG25" s="61">
        <f t="shared" si="21"/>
        <v>5.4466194465166566</v>
      </c>
      <c r="AK25" s="79">
        <f t="shared" si="25"/>
        <v>1</v>
      </c>
      <c r="AL25" s="27">
        <f t="shared" si="26"/>
        <v>0.5</v>
      </c>
      <c r="AM25" s="79">
        <f t="shared" si="27"/>
        <v>0.125</v>
      </c>
    </row>
    <row r="26" spans="1:42" x14ac:dyDescent="0.25">
      <c r="A26" s="13">
        <f t="shared" si="1"/>
        <v>0</v>
      </c>
      <c r="B26" s="13">
        <f t="shared" si="1"/>
        <v>0</v>
      </c>
      <c r="C26" s="13" t="str">
        <f t="shared" si="1"/>
        <v>Quartzites</v>
      </c>
      <c r="I26" s="24">
        <f t="shared" si="22"/>
        <v>32.96</v>
      </c>
      <c r="J26" s="13">
        <f t="shared" si="23"/>
        <v>12.968309757821858</v>
      </c>
      <c r="K26" s="6">
        <f t="shared" si="24"/>
        <v>23.836464879986245</v>
      </c>
      <c r="L26" s="24">
        <f t="shared" si="4"/>
        <v>31.43</v>
      </c>
      <c r="M26" s="13">
        <f t="shared" si="5"/>
        <v>9.1668228593266186</v>
      </c>
      <c r="N26" s="6">
        <f t="shared" si="6"/>
        <v>17.579267371943377</v>
      </c>
      <c r="O26" s="24">
        <f t="shared" si="7"/>
        <v>29.47</v>
      </c>
      <c r="P26" s="13">
        <f t="shared" si="8"/>
        <v>5.6508178068981394</v>
      </c>
      <c r="Q26" s="6">
        <f t="shared" si="9"/>
        <v>11.486154355865025</v>
      </c>
      <c r="R26" s="59">
        <f t="shared" si="10"/>
        <v>26.68</v>
      </c>
      <c r="S26" s="60">
        <f t="shared" si="11"/>
        <v>2.5125515789967157</v>
      </c>
      <c r="T26" s="61">
        <f t="shared" si="12"/>
        <v>5.5957944420000709</v>
      </c>
      <c r="V26" s="24">
        <f t="shared" si="13"/>
        <v>17.367311911778359</v>
      </c>
      <c r="W26" s="13">
        <f t="shared" si="14"/>
        <v>62.573257074444925</v>
      </c>
      <c r="X26" s="6">
        <f t="shared" si="15"/>
        <v>17.367311911778359</v>
      </c>
      <c r="Y26" s="24">
        <f t="shared" si="2"/>
        <v>8.6836559558891793</v>
      </c>
      <c r="Z26" s="13">
        <f t="shared" si="16"/>
        <v>46.193790093013945</v>
      </c>
      <c r="AA26" s="6">
        <f t="shared" si="17"/>
        <v>12.762850981338323</v>
      </c>
      <c r="AB26" s="24">
        <f t="shared" si="3"/>
        <v>2.1709139889722948</v>
      </c>
      <c r="AC26" s="13">
        <f t="shared" si="18"/>
        <v>30.211806820504638</v>
      </c>
      <c r="AD26" s="6">
        <f t="shared" si="19"/>
        <v>8.395208353163202</v>
      </c>
      <c r="AE26" s="59"/>
      <c r="AF26" s="60">
        <f t="shared" si="20"/>
        <v>14.730384710304591</v>
      </c>
      <c r="AG26" s="61">
        <f t="shared" si="21"/>
        <v>4.3201332662821326</v>
      </c>
      <c r="AK26" s="79">
        <f t="shared" si="25"/>
        <v>1</v>
      </c>
      <c r="AL26" s="27">
        <f t="shared" si="26"/>
        <v>0.5</v>
      </c>
      <c r="AM26" s="79">
        <f t="shared" si="27"/>
        <v>0.125</v>
      </c>
      <c r="AO26" s="12" t="s">
        <v>61</v>
      </c>
      <c r="AP26" s="12" t="s">
        <v>51</v>
      </c>
    </row>
    <row r="27" spans="1:42" x14ac:dyDescent="0.25">
      <c r="A27" s="13">
        <f t="shared" si="1"/>
        <v>0</v>
      </c>
      <c r="B27" s="13">
        <f t="shared" si="1"/>
        <v>0</v>
      </c>
      <c r="C27" s="13" t="str">
        <f t="shared" si="1"/>
        <v>Schists</v>
      </c>
      <c r="I27" s="24">
        <f t="shared" si="22"/>
        <v>64.02</v>
      </c>
      <c r="J27" s="13">
        <f t="shared" si="23"/>
        <v>61.563647777073655</v>
      </c>
      <c r="K27" s="6">
        <f t="shared" si="24"/>
        <v>68.484178666459783</v>
      </c>
      <c r="L27" s="24">
        <f t="shared" si="4"/>
        <v>62.019999999999996</v>
      </c>
      <c r="M27" s="13">
        <f t="shared" si="5"/>
        <v>42.352003432792877</v>
      </c>
      <c r="N27" s="6">
        <f t="shared" si="6"/>
        <v>47.957712568170926</v>
      </c>
      <c r="O27" s="24">
        <f t="shared" si="7"/>
        <v>59.129999999999995</v>
      </c>
      <c r="P27" s="13">
        <f t="shared" si="8"/>
        <v>25.092980743163054</v>
      </c>
      <c r="Q27" s="6">
        <f t="shared" si="9"/>
        <v>29.234528943985943</v>
      </c>
      <c r="R27" s="59">
        <f t="shared" si="10"/>
        <v>54.08</v>
      </c>
      <c r="S27" s="60">
        <f t="shared" si="11"/>
        <v>10.353233156351443</v>
      </c>
      <c r="T27" s="61">
        <f t="shared" si="12"/>
        <v>12.784343424273883</v>
      </c>
      <c r="V27" s="24">
        <f t="shared" si="13"/>
        <v>64.018133616707374</v>
      </c>
      <c r="W27" s="13">
        <f t="shared" si="14"/>
        <v>165.38987877176788</v>
      </c>
      <c r="X27" s="6">
        <f t="shared" si="15"/>
        <v>64.018133616707374</v>
      </c>
      <c r="Y27" s="24">
        <f t="shared" si="2"/>
        <v>32.009066808353687</v>
      </c>
      <c r="Z27" s="13">
        <f t="shared" si="16"/>
        <v>116.93418811223739</v>
      </c>
      <c r="AA27" s="6">
        <f t="shared" si="17"/>
        <v>44.41590242925281</v>
      </c>
      <c r="AB27" s="24">
        <f t="shared" si="3"/>
        <v>8.0022667020884217</v>
      </c>
      <c r="AC27" s="13">
        <f t="shared" si="18"/>
        <v>72.19487807555754</v>
      </c>
      <c r="AD27" s="6">
        <f t="shared" si="19"/>
        <v>26.728695416189765</v>
      </c>
      <c r="AE27" s="59"/>
      <c r="AF27" s="60">
        <f t="shared" si="20"/>
        <v>32.18104405741289</v>
      </c>
      <c r="AG27" s="61">
        <f t="shared" si="21"/>
        <v>11.505086924301843</v>
      </c>
      <c r="AK27" s="79">
        <f t="shared" si="25"/>
        <v>1</v>
      </c>
      <c r="AL27" s="27">
        <f t="shared" si="26"/>
        <v>0.5</v>
      </c>
      <c r="AM27" s="79">
        <f t="shared" si="27"/>
        <v>0.125</v>
      </c>
      <c r="AO27" s="12">
        <v>69.069999999999993</v>
      </c>
      <c r="AP27" s="27">
        <v>23.788563191533793</v>
      </c>
    </row>
    <row r="28" spans="1:42" ht="15.75" thickBot="1" x14ac:dyDescent="0.3">
      <c r="R28" s="65"/>
      <c r="S28" s="65"/>
      <c r="T28" s="65"/>
      <c r="AE28" s="65"/>
      <c r="AF28" s="65"/>
      <c r="AG28" s="65"/>
      <c r="AK28" s="79">
        <f t="shared" si="25"/>
        <v>1</v>
      </c>
      <c r="AL28" s="27">
        <f t="shared" si="26"/>
        <v>0.5</v>
      </c>
      <c r="AM28" s="79">
        <f t="shared" si="27"/>
        <v>0.125</v>
      </c>
      <c r="AO28" s="12">
        <v>48.14</v>
      </c>
      <c r="AP28" s="27">
        <v>13.3253636336939</v>
      </c>
    </row>
    <row r="29" spans="1:42" x14ac:dyDescent="0.25">
      <c r="A29" s="13" t="str">
        <f t="shared" ref="A29:D41" si="28">+A1</f>
        <v>RockID</v>
      </c>
      <c r="B29" s="13" t="str">
        <f t="shared" si="28"/>
        <v>LEVEL 4</v>
      </c>
      <c r="C29" s="13" t="str">
        <f t="shared" si="28"/>
        <v>LEVEL 3</v>
      </c>
      <c r="D29" s="13" t="str">
        <f t="shared" si="28"/>
        <v>γ [kN/m3]</v>
      </c>
      <c r="I29" s="23" t="s">
        <v>48</v>
      </c>
      <c r="J29" s="4" t="s">
        <v>49</v>
      </c>
      <c r="K29" s="5" t="s">
        <v>50</v>
      </c>
      <c r="L29" s="23" t="s">
        <v>48</v>
      </c>
      <c r="M29" s="4" t="s">
        <v>49</v>
      </c>
      <c r="N29" s="5" t="s">
        <v>50</v>
      </c>
      <c r="O29" s="23" t="s">
        <v>48</v>
      </c>
      <c r="P29" s="4" t="s">
        <v>49</v>
      </c>
      <c r="Q29" s="5" t="s">
        <v>50</v>
      </c>
      <c r="R29" s="56" t="s">
        <v>48</v>
      </c>
      <c r="S29" s="57" t="s">
        <v>49</v>
      </c>
      <c r="T29" s="58" t="s">
        <v>50</v>
      </c>
      <c r="V29" s="23" t="s">
        <v>59</v>
      </c>
      <c r="W29" s="4" t="s">
        <v>60</v>
      </c>
      <c r="X29" s="5" t="s">
        <v>51</v>
      </c>
      <c r="Y29" s="23" t="s">
        <v>59</v>
      </c>
      <c r="Z29" s="4" t="s">
        <v>60</v>
      </c>
      <c r="AA29" s="5" t="s">
        <v>51</v>
      </c>
      <c r="AB29" s="23" t="s">
        <v>59</v>
      </c>
      <c r="AC29" s="4" t="s">
        <v>60</v>
      </c>
      <c r="AD29" s="5" t="s">
        <v>51</v>
      </c>
      <c r="AE29" s="56" t="s">
        <v>59</v>
      </c>
      <c r="AF29" s="57" t="s">
        <v>60</v>
      </c>
      <c r="AG29" s="58" t="s">
        <v>51</v>
      </c>
      <c r="AK29" s="79">
        <f t="shared" si="25"/>
        <v>1</v>
      </c>
      <c r="AL29" s="27">
        <f t="shared" si="26"/>
        <v>0.5</v>
      </c>
      <c r="AM29" s="79">
        <f t="shared" si="27"/>
        <v>0.125</v>
      </c>
      <c r="AO29" s="12">
        <v>52.954000000000008</v>
      </c>
      <c r="AP29" s="27">
        <v>14.590249354945406</v>
      </c>
    </row>
    <row r="30" spans="1:42" x14ac:dyDescent="0.25">
      <c r="A30" s="13">
        <f t="shared" si="28"/>
        <v>0</v>
      </c>
      <c r="B30" s="13" t="str">
        <f t="shared" si="28"/>
        <v>Calcareous rocks</v>
      </c>
      <c r="C30" s="13" t="str">
        <f t="shared" si="28"/>
        <v>Limestones</v>
      </c>
      <c r="D30" s="13">
        <f t="shared" si="28"/>
        <v>24</v>
      </c>
      <c r="I30" s="24">
        <f>+(I2*J16/2)*I2/3*$D2</f>
        <v>35353.032588086724</v>
      </c>
      <c r="J30" s="13">
        <f>+I30*COS(RADIANS(J2))</f>
        <v>26210.402539937822</v>
      </c>
      <c r="K30" s="6">
        <f>+K2*1000*V16*2</f>
        <v>8118.6293347811843</v>
      </c>
      <c r="L30" s="24">
        <f>+(L2*M16/2)*L2/3*$D2</f>
        <v>13906.615151081365</v>
      </c>
      <c r="M30" s="13">
        <f>+L30*COS(RADIANS(M2))</f>
        <v>9978.2567850316445</v>
      </c>
      <c r="N30" s="6">
        <f>+N2*1000*Y16*2</f>
        <v>3583.2222064003372</v>
      </c>
      <c r="O30" s="24">
        <f>+(O2*P16/2)*O2/3*$D2</f>
        <v>3752.3106467626367</v>
      </c>
      <c r="P30" s="13">
        <f>+O30*COS(RADIANS(P2))</f>
        <v>2567.2008332526084</v>
      </c>
      <c r="Q30" s="6">
        <f>+Q2*1000*AB16*2</f>
        <v>770.51806186580677</v>
      </c>
      <c r="R30" s="59">
        <f>+(R2*S16/2)*R2/3*$D2</f>
        <v>405.18108124094283</v>
      </c>
      <c r="S30" s="60">
        <f>+R30*COS(RADIANS(S2))</f>
        <v>255.09861650029541</v>
      </c>
      <c r="T30" s="61">
        <f>+T2*1000*AG16*2</f>
        <v>1090.0283743382765</v>
      </c>
      <c r="V30" s="24">
        <f t="shared" ref="V30:V41" si="29">+J30*TAN(RADIANS(J2))+K30</f>
        <v>31843.12536459693</v>
      </c>
      <c r="W30" s="13">
        <f t="shared" ref="W30:W41" si="30">+I30*SIN(RADIANS(J2))</f>
        <v>23724.496029815742</v>
      </c>
      <c r="X30" s="26">
        <f t="shared" ref="X30:X41" si="31">+(V30-K44)/W30</f>
        <v>1.2566495428519049</v>
      </c>
      <c r="Y30" s="24">
        <f t="shared" ref="Y30:Y41" si="32">+M30*TAN(RADIANS(M2))+N30</f>
        <v>13269.725006289249</v>
      </c>
      <c r="Z30" s="13">
        <f t="shared" ref="Z30:Z41" si="33">+L30*SIN(RADIANS(M2))</f>
        <v>9686.5027998889127</v>
      </c>
      <c r="AA30" s="26">
        <f t="shared" ref="AA30:AA41" si="34">+(Y30-N44)/Z30</f>
        <v>1.2596810796377929</v>
      </c>
      <c r="AB30" s="24">
        <f t="shared" ref="AB30:AB41" si="35">+P30*TAN(RADIANS(P2))+Q30</f>
        <v>3507.1793619823102</v>
      </c>
      <c r="AC30" s="13">
        <f t="shared" ref="AC30:AC41" si="36">+O30*SIN(RADIANS(P2))</f>
        <v>2736.6613001165033</v>
      </c>
      <c r="AD30" s="26">
        <f t="shared" ref="AD30:AD41" si="37">+(AB30-Q44)/AC30</f>
        <v>1.1218565947064971</v>
      </c>
      <c r="AE30" s="59">
        <f t="shared" ref="AE30:AE41" si="38">+S30*TAN(RADIANS(S2))+T30</f>
        <v>1404.8241882482057</v>
      </c>
      <c r="AF30" s="60">
        <f t="shared" ref="AF30:AF41" si="39">+R30*SIN(RADIANS(S2))</f>
        <v>314.79581390992911</v>
      </c>
      <c r="AG30" s="67">
        <f t="shared" ref="AG30:AG41" si="40">+(AE30-T44)/AF30</f>
        <v>4.1526167286005515</v>
      </c>
      <c r="AK30" s="79">
        <f t="shared" si="25"/>
        <v>1</v>
      </c>
      <c r="AL30" s="27">
        <f t="shared" si="26"/>
        <v>0.5</v>
      </c>
      <c r="AM30" s="79">
        <f t="shared" si="27"/>
        <v>0.125</v>
      </c>
      <c r="AO30" s="12">
        <v>60.174999999999997</v>
      </c>
      <c r="AP30" s="27">
        <v>17.385111414122889</v>
      </c>
    </row>
    <row r="31" spans="1:42" x14ac:dyDescent="0.25">
      <c r="A31" s="13">
        <f t="shared" si="28"/>
        <v>0</v>
      </c>
      <c r="B31" s="13">
        <f t="shared" si="28"/>
        <v>0</v>
      </c>
      <c r="C31" s="13" t="str">
        <f t="shared" si="28"/>
        <v>Marlstones</v>
      </c>
      <c r="D31" s="13">
        <f t="shared" si="28"/>
        <v>24</v>
      </c>
      <c r="I31" s="24">
        <f t="shared" ref="I31:I41" si="41">+(I3*J17/2)*I3/3*$D3</f>
        <v>229511.68270097789</v>
      </c>
      <c r="J31" s="13">
        <f t="shared" ref="J31:J41" si="42">+I31*COS(RADIANS(J3))</f>
        <v>207668.37936484217</v>
      </c>
      <c r="K31" s="6">
        <f t="shared" ref="K31:K41" si="43">+K3*1000*V17*2</f>
        <v>12300.07835024797</v>
      </c>
      <c r="L31" s="24">
        <f t="shared" ref="L31:L41" si="44">+(L3*M17/2)*L3/3*$D3</f>
        <v>88998.625287635034</v>
      </c>
      <c r="M31" s="13">
        <f t="shared" ref="M31:M41" si="45">+L31*COS(RADIANS(M3))</f>
        <v>79220.638551384676</v>
      </c>
      <c r="N31" s="6">
        <f t="shared" ref="N31:N41" si="46">+N3*1000*Y17*2</f>
        <v>5356.4857331725025</v>
      </c>
      <c r="O31" s="24">
        <f t="shared" ref="O31:O41" si="47">+(O3*P17/2)*O3/3*$D3</f>
        <v>23524.701867213276</v>
      </c>
      <c r="P31" s="13">
        <f t="shared" ref="P31:P41" si="48">+O31*COS(RADIANS(P3))</f>
        <v>20403.713343926498</v>
      </c>
      <c r="Q31" s="6">
        <f t="shared" ref="Q31:Q41" si="49">+Q3*1000*AB17*2</f>
        <v>1124.200709431266</v>
      </c>
      <c r="R31" s="59">
        <f t="shared" ref="R31:R41" si="50">+(R3*S17/2)*R3/3*$D3</f>
        <v>2451.6592721517809</v>
      </c>
      <c r="S31" s="60">
        <f t="shared" ref="S31:S41" si="51">+R31*COS(RADIANS(S3))</f>
        <v>2019.5066692732057</v>
      </c>
      <c r="T31" s="61">
        <f t="shared" ref="T31:T41" si="52">+T3*1000*AG17*2</f>
        <v>1247.8511531318131</v>
      </c>
      <c r="V31" s="24">
        <f t="shared" si="29"/>
        <v>110021.40001657809</v>
      </c>
      <c r="W31" s="13">
        <f t="shared" si="30"/>
        <v>97721.321666330114</v>
      </c>
      <c r="X31" s="26">
        <f t="shared" si="31"/>
        <v>1.0186342492869787</v>
      </c>
      <c r="Y31" s="24">
        <f t="shared" si="32"/>
        <v>45913.183461164786</v>
      </c>
      <c r="Z31" s="13">
        <f t="shared" si="33"/>
        <v>40556.697727992279</v>
      </c>
      <c r="AA31" s="26">
        <f t="shared" si="34"/>
        <v>1.0038690389712113</v>
      </c>
      <c r="AB31" s="24">
        <f t="shared" si="35"/>
        <v>12833.175033433501</v>
      </c>
      <c r="AC31" s="13">
        <f t="shared" si="36"/>
        <v>11708.974324002234</v>
      </c>
      <c r="AD31" s="26">
        <f t="shared" si="37"/>
        <v>0.92820254211063069</v>
      </c>
      <c r="AE31" s="59">
        <f t="shared" si="38"/>
        <v>2637.8964759500454</v>
      </c>
      <c r="AF31" s="60">
        <f t="shared" si="39"/>
        <v>1390.0453228182323</v>
      </c>
      <c r="AG31" s="67">
        <f t="shared" si="40"/>
        <v>1.6191491856096019</v>
      </c>
      <c r="AK31" s="79">
        <f t="shared" si="25"/>
        <v>1</v>
      </c>
      <c r="AL31" s="27">
        <f t="shared" si="26"/>
        <v>0.5</v>
      </c>
      <c r="AM31" s="79">
        <f t="shared" si="27"/>
        <v>0.125</v>
      </c>
      <c r="AO31" s="12">
        <v>72.210000000000008</v>
      </c>
      <c r="AP31" s="27">
        <v>27.674606276674176</v>
      </c>
    </row>
    <row r="32" spans="1:42" x14ac:dyDescent="0.25">
      <c r="A32" s="13">
        <f t="shared" si="28"/>
        <v>0</v>
      </c>
      <c r="B32" s="13" t="str">
        <f t="shared" si="28"/>
        <v>Siliciclastic rocks</v>
      </c>
      <c r="C32" s="13" t="str">
        <f t="shared" si="28"/>
        <v>Conglomerates</v>
      </c>
      <c r="D32" s="13">
        <f t="shared" si="28"/>
        <v>24</v>
      </c>
      <c r="I32" s="24">
        <f t="shared" si="41"/>
        <v>144576.89881637157</v>
      </c>
      <c r="J32" s="13">
        <f t="shared" si="42"/>
        <v>115827.69185799011</v>
      </c>
      <c r="K32" s="6">
        <f t="shared" si="43"/>
        <v>12338.801460719225</v>
      </c>
      <c r="L32" s="24">
        <f t="shared" si="44"/>
        <v>56446.063740480102</v>
      </c>
      <c r="M32" s="13">
        <f t="shared" si="45"/>
        <v>43922.575196716884</v>
      </c>
      <c r="N32" s="6">
        <f t="shared" si="46"/>
        <v>5206.7991979630769</v>
      </c>
      <c r="O32" s="24">
        <f t="shared" si="47"/>
        <v>15024.880526094268</v>
      </c>
      <c r="P32" s="13">
        <f t="shared" si="48"/>
        <v>11176.184205267635</v>
      </c>
      <c r="Q32" s="6">
        <f t="shared" si="49"/>
        <v>1017.2948012827021</v>
      </c>
      <c r="R32" s="59">
        <f t="shared" si="50"/>
        <v>1575.823195266074</v>
      </c>
      <c r="S32" s="60">
        <f t="shared" si="51"/>
        <v>1075.5131586582297</v>
      </c>
      <c r="T32" s="61">
        <f t="shared" si="52"/>
        <v>1064.323378408581</v>
      </c>
      <c r="V32" s="24">
        <f t="shared" si="29"/>
        <v>98862.933760383661</v>
      </c>
      <c r="W32" s="13">
        <f t="shared" si="30"/>
        <v>86524.13229966443</v>
      </c>
      <c r="X32" s="26">
        <f t="shared" si="31"/>
        <v>1.0776962973570989</v>
      </c>
      <c r="Y32" s="24">
        <f t="shared" si="32"/>
        <v>40660.508452187707</v>
      </c>
      <c r="Z32" s="13">
        <f t="shared" si="33"/>
        <v>35453.709254224632</v>
      </c>
      <c r="AA32" s="26">
        <f t="shared" si="34"/>
        <v>1.0652200742308033</v>
      </c>
      <c r="AB32" s="24">
        <f t="shared" si="35"/>
        <v>11059.204053677538</v>
      </c>
      <c r="AC32" s="13">
        <f t="shared" si="36"/>
        <v>10041.909252394837</v>
      </c>
      <c r="AD32" s="26">
        <f t="shared" si="37"/>
        <v>0.98677352334629831</v>
      </c>
      <c r="AE32" s="59">
        <f t="shared" si="38"/>
        <v>2216.0569362645538</v>
      </c>
      <c r="AF32" s="60">
        <f t="shared" si="39"/>
        <v>1151.7335578559725</v>
      </c>
      <c r="AG32" s="67">
        <f t="shared" si="40"/>
        <v>1.7114681780500565</v>
      </c>
      <c r="AK32" s="79">
        <f t="shared" si="25"/>
        <v>1</v>
      </c>
      <c r="AL32" s="27">
        <f t="shared" si="26"/>
        <v>0.5</v>
      </c>
      <c r="AM32" s="79">
        <f t="shared" si="27"/>
        <v>0.125</v>
      </c>
    </row>
    <row r="33" spans="1:39" x14ac:dyDescent="0.25">
      <c r="A33" s="13">
        <f t="shared" si="28"/>
        <v>0</v>
      </c>
      <c r="B33" s="13">
        <f t="shared" si="28"/>
        <v>0</v>
      </c>
      <c r="C33" s="13" t="str">
        <f t="shared" si="28"/>
        <v>Sandstones</v>
      </c>
      <c r="D33" s="13">
        <f t="shared" si="28"/>
        <v>24</v>
      </c>
      <c r="I33" s="24">
        <f t="shared" si="41"/>
        <v>158322.0792965088</v>
      </c>
      <c r="J33" s="13">
        <f t="shared" si="42"/>
        <v>130789.59968786901</v>
      </c>
      <c r="K33" s="6">
        <f t="shared" si="43"/>
        <v>12203.776385770359</v>
      </c>
      <c r="L33" s="24">
        <f t="shared" si="44"/>
        <v>61709.229104496975</v>
      </c>
      <c r="M33" s="13">
        <f t="shared" si="45"/>
        <v>49643.798464393294</v>
      </c>
      <c r="N33" s="6">
        <f t="shared" si="46"/>
        <v>5155.8590156936789</v>
      </c>
      <c r="O33" s="24">
        <f t="shared" si="47"/>
        <v>16405.958322976898</v>
      </c>
      <c r="P33" s="13">
        <f t="shared" si="48"/>
        <v>12668.342602549936</v>
      </c>
      <c r="Q33" s="6">
        <f t="shared" si="49"/>
        <v>1016.9813654808632</v>
      </c>
      <c r="R33" s="59">
        <f t="shared" si="50"/>
        <v>1717.2124756404614</v>
      </c>
      <c r="S33" s="60">
        <f t="shared" si="51"/>
        <v>1224.8025695437232</v>
      </c>
      <c r="T33" s="61">
        <f t="shared" si="52"/>
        <v>1075.0645395627914</v>
      </c>
      <c r="V33" s="24">
        <f t="shared" si="29"/>
        <v>101422.39219131283</v>
      </c>
      <c r="W33" s="13">
        <f t="shared" si="30"/>
        <v>89218.615805542475</v>
      </c>
      <c r="X33" s="26">
        <f t="shared" si="31"/>
        <v>1.0665690054726533</v>
      </c>
      <c r="Y33" s="24">
        <f t="shared" si="32"/>
        <v>41809.947883076507</v>
      </c>
      <c r="Z33" s="13">
        <f t="shared" si="33"/>
        <v>36654.088867382838</v>
      </c>
      <c r="AA33" s="26">
        <f t="shared" si="34"/>
        <v>1.0532921473208918</v>
      </c>
      <c r="AB33" s="24">
        <f t="shared" si="35"/>
        <v>11441.402893780325</v>
      </c>
      <c r="AC33" s="13">
        <f t="shared" si="36"/>
        <v>10424.421528299461</v>
      </c>
      <c r="AD33" s="26">
        <f t="shared" si="37"/>
        <v>0.97670179533983092</v>
      </c>
      <c r="AE33" s="59">
        <f t="shared" si="38"/>
        <v>2278.6746725104726</v>
      </c>
      <c r="AF33" s="60">
        <f t="shared" si="39"/>
        <v>1203.6101329476814</v>
      </c>
      <c r="AG33" s="67">
        <f t="shared" si="40"/>
        <v>1.6738797530283429</v>
      </c>
    </row>
    <row r="34" spans="1:39" x14ac:dyDescent="0.25">
      <c r="A34" s="13">
        <f t="shared" si="28"/>
        <v>0</v>
      </c>
      <c r="B34" s="13">
        <f t="shared" si="28"/>
        <v>0</v>
      </c>
      <c r="C34" s="13" t="str">
        <f t="shared" si="28"/>
        <v>Shales</v>
      </c>
      <c r="D34" s="13">
        <f t="shared" si="28"/>
        <v>24</v>
      </c>
      <c r="I34" s="24">
        <f t="shared" si="41"/>
        <v>284162.59539510956</v>
      </c>
      <c r="J34" s="13">
        <f t="shared" si="42"/>
        <v>265624.87461212726</v>
      </c>
      <c r="K34" s="6">
        <f t="shared" si="43"/>
        <v>10675.839266353187</v>
      </c>
      <c r="L34" s="24">
        <f t="shared" si="44"/>
        <v>109510.74484191381</v>
      </c>
      <c r="M34" s="13">
        <f t="shared" si="45"/>
        <v>101108.78210694235</v>
      </c>
      <c r="N34" s="6">
        <f t="shared" si="46"/>
        <v>4610.0215013797851</v>
      </c>
      <c r="O34" s="24">
        <f t="shared" si="47"/>
        <v>28688.960337622237</v>
      </c>
      <c r="P34" s="13">
        <f t="shared" si="48"/>
        <v>25958.547420605271</v>
      </c>
      <c r="Q34" s="6">
        <f t="shared" si="49"/>
        <v>950.31144984583284</v>
      </c>
      <c r="R34" s="59">
        <f t="shared" si="50"/>
        <v>3586.1200422027796</v>
      </c>
      <c r="S34" s="60">
        <f t="shared" si="51"/>
        <v>3244.8184275756589</v>
      </c>
      <c r="T34" s="61">
        <f t="shared" si="52"/>
        <v>1571.8193632032792</v>
      </c>
      <c r="V34" s="24">
        <f t="shared" si="29"/>
        <v>111630.31717088405</v>
      </c>
      <c r="W34" s="13">
        <f t="shared" si="30"/>
        <v>100954.47790453087</v>
      </c>
      <c r="X34" s="26">
        <f t="shared" si="31"/>
        <v>0.96039151923790389</v>
      </c>
      <c r="Y34" s="24">
        <f t="shared" si="32"/>
        <v>46676.842354417924</v>
      </c>
      <c r="Z34" s="13">
        <f t="shared" si="33"/>
        <v>42066.820853038138</v>
      </c>
      <c r="AA34" s="26">
        <f t="shared" si="34"/>
        <v>0.93996944161559171</v>
      </c>
      <c r="AB34" s="24">
        <f t="shared" si="35"/>
        <v>13165.476658137097</v>
      </c>
      <c r="AC34" s="13">
        <f t="shared" si="36"/>
        <v>12215.165208291264</v>
      </c>
      <c r="AD34" s="26">
        <f t="shared" si="37"/>
        <v>0.86332831016995781</v>
      </c>
      <c r="AE34" s="59">
        <f t="shared" si="38"/>
        <v>3098.7150142396872</v>
      </c>
      <c r="AF34" s="60">
        <f t="shared" si="39"/>
        <v>1526.895651036408</v>
      </c>
      <c r="AG34" s="67">
        <f t="shared" si="40"/>
        <v>1.6004828702451923</v>
      </c>
      <c r="AK34" s="79" t="e">
        <f t="shared" ref="AK34:AK45" si="53">+$X44/X44</f>
        <v>#VALUE!</v>
      </c>
      <c r="AL34" s="27" t="e">
        <f>+$X44/AA44</f>
        <v>#VALUE!</v>
      </c>
      <c r="AM34" s="27" t="e">
        <f>+$X44/AD44</f>
        <v>#VALUE!</v>
      </c>
    </row>
    <row r="35" spans="1:39" x14ac:dyDescent="0.25">
      <c r="A35" s="13">
        <f t="shared" si="28"/>
        <v>0</v>
      </c>
      <c r="B35" s="13" t="str">
        <f t="shared" si="28"/>
        <v>Magmatic rocks</v>
      </c>
      <c r="C35" s="13" t="str">
        <f t="shared" si="28"/>
        <v>Plutonic rocks</v>
      </c>
      <c r="D35" s="13">
        <f t="shared" si="28"/>
        <v>27</v>
      </c>
      <c r="I35" s="24">
        <f t="shared" si="41"/>
        <v>2686.7981399468904</v>
      </c>
      <c r="J35" s="13">
        <f t="shared" si="42"/>
        <v>1377.3666660526908</v>
      </c>
      <c r="K35" s="6">
        <f t="shared" si="43"/>
        <v>5070.3190335261233</v>
      </c>
      <c r="L35" s="24">
        <f t="shared" si="44"/>
        <v>1072.7724430283188</v>
      </c>
      <c r="M35" s="13">
        <f t="shared" si="45"/>
        <v>527.76947235770547</v>
      </c>
      <c r="N35" s="6">
        <f t="shared" si="46"/>
        <v>2362.6996856907444</v>
      </c>
      <c r="O35" s="24">
        <f t="shared" si="47"/>
        <v>295.94556646426912</v>
      </c>
      <c r="P35" s="13">
        <f t="shared" si="48"/>
        <v>137.79655297160409</v>
      </c>
      <c r="Q35" s="6">
        <f t="shared" si="49"/>
        <v>545.40421576620292</v>
      </c>
      <c r="R35" s="59">
        <f t="shared" si="50"/>
        <v>33.371792169478731</v>
      </c>
      <c r="S35" s="60">
        <f t="shared" si="51"/>
        <v>14.309072452933593</v>
      </c>
      <c r="T35" s="61">
        <f t="shared" si="52"/>
        <v>1130.348738719412</v>
      </c>
      <c r="V35" s="24">
        <f t="shared" si="29"/>
        <v>7377.2098658086052</v>
      </c>
      <c r="W35" s="13">
        <f t="shared" si="30"/>
        <v>2306.8908322824823</v>
      </c>
      <c r="X35" s="26">
        <f t="shared" si="31"/>
        <v>3.0561894104919265</v>
      </c>
      <c r="Y35" s="24">
        <f t="shared" si="32"/>
        <v>3296.6697593912977</v>
      </c>
      <c r="Z35" s="13">
        <f t="shared" si="33"/>
        <v>933.97007370055314</v>
      </c>
      <c r="AA35" s="26">
        <f t="shared" si="34"/>
        <v>3.337625486422465</v>
      </c>
      <c r="AB35" s="24">
        <f t="shared" si="35"/>
        <v>807.31238344907808</v>
      </c>
      <c r="AC35" s="13">
        <f t="shared" si="36"/>
        <v>261.90816768287516</v>
      </c>
      <c r="AD35" s="26">
        <f t="shared" si="37"/>
        <v>2.7866269793217615</v>
      </c>
      <c r="AE35" s="59">
        <f t="shared" si="38"/>
        <v>1160.4971542356473</v>
      </c>
      <c r="AF35" s="60">
        <f t="shared" si="39"/>
        <v>30.148415516235325</v>
      </c>
      <c r="AG35" s="67">
        <f t="shared" si="40"/>
        <v>37.873313910179746</v>
      </c>
      <c r="AK35" s="79" t="e">
        <f t="shared" si="53"/>
        <v>#VALUE!</v>
      </c>
      <c r="AL35" s="27" t="e">
        <f>+$X45/AA45</f>
        <v>#VALUE!</v>
      </c>
      <c r="AM35" s="27" t="e">
        <f>+$X45/AD45</f>
        <v>#VALUE!</v>
      </c>
    </row>
    <row r="36" spans="1:39" x14ac:dyDescent="0.25">
      <c r="A36" s="13">
        <f t="shared" si="28"/>
        <v>0</v>
      </c>
      <c r="B36" s="13">
        <f t="shared" si="28"/>
        <v>0</v>
      </c>
      <c r="C36" s="13" t="str">
        <f t="shared" si="28"/>
        <v>Volcanic rocks</v>
      </c>
      <c r="D36" s="13">
        <f t="shared" si="28"/>
        <v>27</v>
      </c>
      <c r="I36" s="24">
        <f t="shared" si="41"/>
        <v>2686.7981399468904</v>
      </c>
      <c r="J36" s="13">
        <f t="shared" si="42"/>
        <v>1377.3666660526908</v>
      </c>
      <c r="K36" s="6">
        <f t="shared" si="43"/>
        <v>5070.3190335261233</v>
      </c>
      <c r="L36" s="24">
        <f t="shared" si="44"/>
        <v>1072.7724430283188</v>
      </c>
      <c r="M36" s="13">
        <f t="shared" si="45"/>
        <v>527.76947235770547</v>
      </c>
      <c r="N36" s="6">
        <f t="shared" si="46"/>
        <v>2362.6996856907444</v>
      </c>
      <c r="O36" s="24">
        <f t="shared" si="47"/>
        <v>295.94556646426912</v>
      </c>
      <c r="P36" s="13">
        <f t="shared" si="48"/>
        <v>137.79655297160409</v>
      </c>
      <c r="Q36" s="6">
        <f t="shared" si="49"/>
        <v>545.40421576620292</v>
      </c>
      <c r="R36" s="59">
        <f t="shared" si="50"/>
        <v>33.371792169478731</v>
      </c>
      <c r="S36" s="60">
        <f t="shared" si="51"/>
        <v>14.309072452933593</v>
      </c>
      <c r="T36" s="61">
        <f t="shared" si="52"/>
        <v>1130.348738719412</v>
      </c>
      <c r="V36" s="24">
        <f t="shared" si="29"/>
        <v>7377.2098658086052</v>
      </c>
      <c r="W36" s="13">
        <f t="shared" si="30"/>
        <v>2306.8908322824823</v>
      </c>
      <c r="X36" s="26">
        <f t="shared" si="31"/>
        <v>3.0561894104919265</v>
      </c>
      <c r="Y36" s="24">
        <f t="shared" si="32"/>
        <v>3296.6697593912977</v>
      </c>
      <c r="Z36" s="13">
        <f t="shared" si="33"/>
        <v>933.97007370055314</v>
      </c>
      <c r="AA36" s="26">
        <f t="shared" si="34"/>
        <v>3.337625486422465</v>
      </c>
      <c r="AB36" s="24">
        <f t="shared" si="35"/>
        <v>807.31238344907808</v>
      </c>
      <c r="AC36" s="13">
        <f t="shared" si="36"/>
        <v>261.90816768287516</v>
      </c>
      <c r="AD36" s="26">
        <f t="shared" si="37"/>
        <v>2.7866269793217615</v>
      </c>
      <c r="AE36" s="59">
        <f t="shared" si="38"/>
        <v>1160.4971542356473</v>
      </c>
      <c r="AF36" s="60">
        <f t="shared" si="39"/>
        <v>30.148415516235325</v>
      </c>
      <c r="AG36" s="67">
        <f t="shared" si="40"/>
        <v>37.873313910179746</v>
      </c>
      <c r="AK36" s="79" t="e">
        <f t="shared" si="53"/>
        <v>#VALUE!</v>
      </c>
      <c r="AL36" s="27" t="e">
        <f>+$X46/AA46</f>
        <v>#VALUE!</v>
      </c>
      <c r="AM36" s="27" t="e">
        <f>+$X46/AD46</f>
        <v>#VALUE!</v>
      </c>
    </row>
    <row r="37" spans="1:39" x14ac:dyDescent="0.25">
      <c r="A37" s="13">
        <f t="shared" si="28"/>
        <v>0</v>
      </c>
      <c r="B37" s="13" t="str">
        <f t="shared" si="28"/>
        <v>Metamorphic rocks</v>
      </c>
      <c r="C37" s="13" t="str">
        <f t="shared" si="28"/>
        <v>Gneiss</v>
      </c>
      <c r="D37" s="13">
        <f t="shared" si="28"/>
        <v>27</v>
      </c>
      <c r="I37" s="24">
        <f t="shared" si="41"/>
        <v>2370.573768922472</v>
      </c>
      <c r="J37" s="13">
        <f t="shared" si="42"/>
        <v>1104.8718897420415</v>
      </c>
      <c r="K37" s="6">
        <f t="shared" si="43"/>
        <v>5707.4691748661253</v>
      </c>
      <c r="L37" s="24">
        <f t="shared" si="44"/>
        <v>947.35357661753505</v>
      </c>
      <c r="M37" s="13">
        <f t="shared" si="45"/>
        <v>423.00301312357561</v>
      </c>
      <c r="N37" s="6">
        <f t="shared" si="46"/>
        <v>2658.6074361555884</v>
      </c>
      <c r="O37" s="24">
        <f t="shared" si="47"/>
        <v>261.70068979488076</v>
      </c>
      <c r="P37" s="13">
        <f t="shared" si="48"/>
        <v>110.39246873637137</v>
      </c>
      <c r="Q37" s="6">
        <f t="shared" si="49"/>
        <v>613.83749672705483</v>
      </c>
      <c r="R37" s="59">
        <f t="shared" si="50"/>
        <v>29.571094805858763</v>
      </c>
      <c r="S37" s="60">
        <f t="shared" si="51"/>
        <v>11.464017826434979</v>
      </c>
      <c r="T37" s="61">
        <f t="shared" si="52"/>
        <v>1316.0742606772801</v>
      </c>
      <c r="V37" s="24">
        <f t="shared" si="29"/>
        <v>7804.8194320146886</v>
      </c>
      <c r="W37" s="13">
        <f t="shared" si="30"/>
        <v>2097.3502571485633</v>
      </c>
      <c r="X37" s="26">
        <f t="shared" si="31"/>
        <v>3.5734520297961643</v>
      </c>
      <c r="Y37" s="24">
        <f t="shared" si="32"/>
        <v>3506.2791001968089</v>
      </c>
      <c r="Z37" s="13">
        <f t="shared" si="33"/>
        <v>847.67166404122065</v>
      </c>
      <c r="AA37" s="26">
        <f t="shared" si="34"/>
        <v>3.9346822581029621</v>
      </c>
      <c r="AB37" s="24">
        <f t="shared" si="35"/>
        <v>851.11529569991637</v>
      </c>
      <c r="AC37" s="13">
        <f t="shared" si="36"/>
        <v>237.27779897286152</v>
      </c>
      <c r="AD37" s="26">
        <f t="shared" si="37"/>
        <v>3.2741451392748586</v>
      </c>
      <c r="AE37" s="59">
        <f t="shared" si="38"/>
        <v>1343.3327628975464</v>
      </c>
      <c r="AF37" s="60">
        <f t="shared" si="39"/>
        <v>27.258502220266397</v>
      </c>
      <c r="AG37" s="67">
        <f t="shared" si="40"/>
        <v>48.619955859406851</v>
      </c>
      <c r="AK37" s="79" t="e">
        <f t="shared" si="53"/>
        <v>#VALUE!</v>
      </c>
      <c r="AL37" s="27" t="e">
        <f>+$X47/AA47</f>
        <v>#VALUE!</v>
      </c>
      <c r="AM37" s="27" t="e">
        <f>+$X47/AD47</f>
        <v>#VALUE!</v>
      </c>
    </row>
    <row r="38" spans="1:39" x14ac:dyDescent="0.25">
      <c r="A38" s="13">
        <f t="shared" si="28"/>
        <v>0</v>
      </c>
      <c r="B38" s="13">
        <f t="shared" si="28"/>
        <v>0</v>
      </c>
      <c r="C38" s="13" t="str">
        <f t="shared" si="28"/>
        <v>Marbles</v>
      </c>
      <c r="D38" s="13">
        <f t="shared" si="28"/>
        <v>27</v>
      </c>
      <c r="I38" s="24">
        <f t="shared" si="41"/>
        <v>4298.7910234918409</v>
      </c>
      <c r="J38" s="13">
        <f t="shared" si="42"/>
        <v>2969.4166335894092</v>
      </c>
      <c r="K38" s="6">
        <f t="shared" si="43"/>
        <v>2934.145495920945</v>
      </c>
      <c r="L38" s="24">
        <f t="shared" si="44"/>
        <v>1700.9796992152237</v>
      </c>
      <c r="M38" s="13">
        <f t="shared" si="45"/>
        <v>1135.0854667698579</v>
      </c>
      <c r="N38" s="6">
        <f t="shared" si="46"/>
        <v>1329.5346778391781</v>
      </c>
      <c r="O38" s="24">
        <f t="shared" si="47"/>
        <v>463.1947678350698</v>
      </c>
      <c r="P38" s="13">
        <f t="shared" si="48"/>
        <v>294.44092245652251</v>
      </c>
      <c r="Q38" s="6">
        <f t="shared" si="49"/>
        <v>297.999151929471</v>
      </c>
      <c r="R38" s="59">
        <f t="shared" si="50"/>
        <v>50.991332314496589</v>
      </c>
      <c r="S38" s="60">
        <f t="shared" si="51"/>
        <v>29.93594181453842</v>
      </c>
      <c r="T38" s="61">
        <f t="shared" si="52"/>
        <v>503.96794672148383</v>
      </c>
      <c r="V38" s="24">
        <f t="shared" si="29"/>
        <v>6042.5484813487628</v>
      </c>
      <c r="W38" s="13">
        <f t="shared" si="30"/>
        <v>3108.4029854278174</v>
      </c>
      <c r="X38" s="26">
        <f t="shared" si="31"/>
        <v>1.8011624821045935</v>
      </c>
      <c r="Y38" s="24">
        <f t="shared" si="32"/>
        <v>2596.3862556769955</v>
      </c>
      <c r="Z38" s="13">
        <f t="shared" si="33"/>
        <v>1266.8515778378171</v>
      </c>
      <c r="AA38" s="26">
        <f t="shared" si="34"/>
        <v>1.8625668139655664</v>
      </c>
      <c r="AB38" s="24">
        <f t="shared" si="35"/>
        <v>655.565839601486</v>
      </c>
      <c r="AC38" s="13">
        <f t="shared" si="36"/>
        <v>357.56668767201495</v>
      </c>
      <c r="AD38" s="26">
        <f t="shared" si="37"/>
        <v>1.5573204210712066</v>
      </c>
      <c r="AE38" s="59">
        <f t="shared" si="38"/>
        <v>545.24694088175852</v>
      </c>
      <c r="AF38" s="60">
        <f t="shared" si="39"/>
        <v>41.278994160274713</v>
      </c>
      <c r="AG38" s="67">
        <f t="shared" si="40"/>
        <v>12.659417477744757</v>
      </c>
      <c r="AK38" s="79">
        <f t="shared" si="53"/>
        <v>1</v>
      </c>
      <c r="AL38" s="27">
        <f>+$X48/AA48</f>
        <v>1.5298104426492158</v>
      </c>
      <c r="AM38" s="27">
        <f>+$X48/AD48</f>
        <v>3.39449085119417</v>
      </c>
    </row>
    <row r="39" spans="1:39" x14ac:dyDescent="0.25">
      <c r="A39" s="13">
        <f t="shared" si="28"/>
        <v>0</v>
      </c>
      <c r="B39" s="13">
        <f t="shared" si="28"/>
        <v>0</v>
      </c>
      <c r="C39" s="13" t="str">
        <f t="shared" si="28"/>
        <v>Phyllites</v>
      </c>
      <c r="D39" s="13">
        <f t="shared" si="28"/>
        <v>27</v>
      </c>
      <c r="I39" s="24">
        <f t="shared" si="41"/>
        <v>40562.032776716398</v>
      </c>
      <c r="J39" s="13">
        <f t="shared" si="42"/>
        <v>30336.910401181049</v>
      </c>
      <c r="K39" s="6">
        <f t="shared" si="43"/>
        <v>8652.7544229402811</v>
      </c>
      <c r="L39" s="24">
        <f t="shared" si="44"/>
        <v>15948.446133071302</v>
      </c>
      <c r="M39" s="13">
        <f t="shared" si="45"/>
        <v>11549.415923221424</v>
      </c>
      <c r="N39" s="6">
        <f t="shared" si="46"/>
        <v>3817.3916571795353</v>
      </c>
      <c r="O39" s="24">
        <f t="shared" si="47"/>
        <v>4298.7910234918409</v>
      </c>
      <c r="P39" s="13">
        <f t="shared" si="48"/>
        <v>2969.4166335894092</v>
      </c>
      <c r="Q39" s="6">
        <f t="shared" si="49"/>
        <v>814.37688686496756</v>
      </c>
      <c r="R39" s="59">
        <f t="shared" si="50"/>
        <v>463.1947678350698</v>
      </c>
      <c r="S39" s="60">
        <f t="shared" si="51"/>
        <v>294.44092245652251</v>
      </c>
      <c r="T39" s="61">
        <f t="shared" si="52"/>
        <v>1122.0036059824313</v>
      </c>
      <c r="V39" s="24">
        <f t="shared" si="29"/>
        <v>35577.656842264449</v>
      </c>
      <c r="W39" s="13">
        <f t="shared" si="30"/>
        <v>26924.902419324168</v>
      </c>
      <c r="X39" s="26">
        <f t="shared" si="31"/>
        <v>1.2444864732959953</v>
      </c>
      <c r="Y39" s="24">
        <f t="shared" si="32"/>
        <v>14815.751802761075</v>
      </c>
      <c r="Z39" s="13">
        <f t="shared" si="33"/>
        <v>10998.360145581539</v>
      </c>
      <c r="AA39" s="26">
        <f t="shared" si="34"/>
        <v>1.2482422965153124</v>
      </c>
      <c r="AB39" s="24">
        <f t="shared" si="35"/>
        <v>3922.7798722927855</v>
      </c>
      <c r="AC39" s="13">
        <f t="shared" si="36"/>
        <v>3108.4029854278174</v>
      </c>
      <c r="AD39" s="26">
        <f t="shared" si="37"/>
        <v>1.1192146719289355</v>
      </c>
      <c r="AE39" s="59">
        <f t="shared" si="38"/>
        <v>1479.5702936544462</v>
      </c>
      <c r="AF39" s="60">
        <f t="shared" si="39"/>
        <v>357.56668767201495</v>
      </c>
      <c r="AG39" s="67">
        <f t="shared" si="40"/>
        <v>3.8617981100241394</v>
      </c>
      <c r="AK39" s="79" t="e">
        <f t="shared" si="53"/>
        <v>#VALUE!</v>
      </c>
      <c r="AL39" s="27"/>
      <c r="AM39" s="27"/>
    </row>
    <row r="40" spans="1:39" x14ac:dyDescent="0.25">
      <c r="A40" s="13">
        <f t="shared" si="28"/>
        <v>0</v>
      </c>
      <c r="B40" s="13">
        <f t="shared" si="28"/>
        <v>0</v>
      </c>
      <c r="C40" s="13" t="str">
        <f t="shared" si="28"/>
        <v>Quartzites</v>
      </c>
      <c r="D40" s="13">
        <f t="shared" si="28"/>
        <v>27</v>
      </c>
      <c r="I40" s="24">
        <f t="shared" si="41"/>
        <v>23342.957564079348</v>
      </c>
      <c r="J40" s="13">
        <f t="shared" si="42"/>
        <v>12699.815424763037</v>
      </c>
      <c r="K40" s="6">
        <f t="shared" si="43"/>
        <v>15456.907601482739</v>
      </c>
      <c r="L40" s="24">
        <f t="shared" si="44"/>
        <v>9281.4081450681988</v>
      </c>
      <c r="M40" s="13">
        <f t="shared" si="45"/>
        <v>4839.8504073464019</v>
      </c>
      <c r="N40" s="6">
        <f t="shared" si="46"/>
        <v>7051.1286361820139</v>
      </c>
      <c r="O40" s="24">
        <f t="shared" si="47"/>
        <v>2542.8680131041629</v>
      </c>
      <c r="P40" s="13">
        <f t="shared" si="48"/>
        <v>1251.0091196627091</v>
      </c>
      <c r="Q40" s="6">
        <f t="shared" si="49"/>
        <v>1584.7672119497752</v>
      </c>
      <c r="R40" s="59">
        <f t="shared" si="50"/>
        <v>282.6620526371305</v>
      </c>
      <c r="S40" s="60">
        <f t="shared" si="51"/>
        <v>126.91727582867239</v>
      </c>
      <c r="T40" s="61">
        <f t="shared" si="52"/>
        <v>2799.4463565508217</v>
      </c>
      <c r="V40" s="24">
        <f t="shared" si="29"/>
        <v>35042.829995267515</v>
      </c>
      <c r="W40" s="13">
        <f t="shared" si="30"/>
        <v>19585.922393784778</v>
      </c>
      <c r="X40" s="26">
        <f t="shared" si="31"/>
        <v>1.7196402670293944</v>
      </c>
      <c r="Y40" s="24">
        <f t="shared" si="32"/>
        <v>14970.748904215525</v>
      </c>
      <c r="Z40" s="13">
        <f t="shared" si="33"/>
        <v>7919.6202680335109</v>
      </c>
      <c r="AA40" s="26">
        <f t="shared" si="34"/>
        <v>1.7964308969816867</v>
      </c>
      <c r="AB40" s="24">
        <f t="shared" si="35"/>
        <v>3798.6222014621972</v>
      </c>
      <c r="AC40" s="13">
        <f t="shared" si="36"/>
        <v>2213.854989512422</v>
      </c>
      <c r="AD40" s="26">
        <f t="shared" si="37"/>
        <v>1.5717561024585618</v>
      </c>
      <c r="AE40" s="59">
        <f t="shared" si="38"/>
        <v>3052.0128648160007</v>
      </c>
      <c r="AF40" s="60">
        <f t="shared" si="39"/>
        <v>252.56650826517878</v>
      </c>
      <c r="AG40" s="67">
        <f t="shared" si="40"/>
        <v>11.78241250978818</v>
      </c>
      <c r="AK40" s="79" t="e">
        <f t="shared" si="53"/>
        <v>#VALUE!</v>
      </c>
      <c r="AL40" s="27"/>
      <c r="AM40" s="27"/>
    </row>
    <row r="41" spans="1:39" x14ac:dyDescent="0.25">
      <c r="A41" s="13">
        <f t="shared" si="28"/>
        <v>0</v>
      </c>
      <c r="B41" s="13">
        <f t="shared" si="28"/>
        <v>0</v>
      </c>
      <c r="C41" s="13" t="str">
        <f t="shared" si="28"/>
        <v>Schists</v>
      </c>
      <c r="D41" s="13">
        <f t="shared" si="28"/>
        <v>24</v>
      </c>
      <c r="I41" s="24">
        <f t="shared" si="41"/>
        <v>221629.13199746516</v>
      </c>
      <c r="J41" s="13">
        <f t="shared" si="42"/>
        <v>199232.84596698859</v>
      </c>
      <c r="K41" s="6">
        <f t="shared" si="43"/>
        <v>10755.046447606839</v>
      </c>
      <c r="L41" s="24">
        <f t="shared" si="44"/>
        <v>85762.806951405568</v>
      </c>
      <c r="M41" s="13">
        <f t="shared" si="45"/>
        <v>75738.113848710869</v>
      </c>
      <c r="N41" s="6">
        <f t="shared" si="46"/>
        <v>4545.2874867862238</v>
      </c>
      <c r="O41" s="24">
        <f t="shared" si="47"/>
        <v>22583.682668846748</v>
      </c>
      <c r="P41" s="13">
        <f t="shared" si="48"/>
        <v>19384.335400268359</v>
      </c>
      <c r="Q41" s="6">
        <f t="shared" si="49"/>
        <v>912.25840403808013</v>
      </c>
      <c r="R41" s="59">
        <f t="shared" si="50"/>
        <v>2329.4774601790746</v>
      </c>
      <c r="S41" s="60">
        <f t="shared" si="51"/>
        <v>1886.4968248511489</v>
      </c>
      <c r="T41" s="61">
        <f t="shared" si="52"/>
        <v>897.3967800955437</v>
      </c>
      <c r="V41" s="24">
        <f t="shared" si="29"/>
        <v>107841.32373664512</v>
      </c>
      <c r="W41" s="13">
        <f t="shared" si="30"/>
        <v>97086.277289038262</v>
      </c>
      <c r="X41" s="26">
        <f t="shared" si="31"/>
        <v>1.0083697897060913</v>
      </c>
      <c r="Y41" s="24">
        <f t="shared" si="32"/>
        <v>44782.051357949756</v>
      </c>
      <c r="Z41" s="13">
        <f t="shared" si="33"/>
        <v>40236.763871163523</v>
      </c>
      <c r="AA41" s="26">
        <f t="shared" si="34"/>
        <v>0.99048671792572718</v>
      </c>
      <c r="AB41" s="24">
        <f t="shared" si="35"/>
        <v>12499.763052454489</v>
      </c>
      <c r="AC41" s="13">
        <f t="shared" si="36"/>
        <v>11587.504648416409</v>
      </c>
      <c r="AD41" s="26">
        <f t="shared" si="37"/>
        <v>0.91834417543607305</v>
      </c>
      <c r="AE41" s="59">
        <f t="shared" si="38"/>
        <v>2263.9965632467365</v>
      </c>
      <c r="AF41" s="60">
        <f t="shared" si="39"/>
        <v>1366.5997831511925</v>
      </c>
      <c r="AG41" s="67">
        <f t="shared" si="40"/>
        <v>1.3903574166371631</v>
      </c>
      <c r="AK41" s="79" t="e">
        <f t="shared" si="53"/>
        <v>#VALUE!</v>
      </c>
      <c r="AL41" s="27"/>
      <c r="AM41" s="27"/>
    </row>
    <row r="42" spans="1:39" ht="15.75" thickBot="1" x14ac:dyDescent="0.3">
      <c r="R42" s="65"/>
      <c r="S42" s="65"/>
      <c r="T42" s="65"/>
      <c r="AE42" s="65"/>
      <c r="AF42" s="65"/>
      <c r="AG42" s="65"/>
      <c r="AK42" s="79" t="e">
        <f t="shared" si="53"/>
        <v>#VALUE!</v>
      </c>
      <c r="AL42" s="27"/>
      <c r="AM42" s="27"/>
    </row>
    <row r="43" spans="1:39" x14ac:dyDescent="0.25">
      <c r="K43" s="5" t="s">
        <v>76</v>
      </c>
      <c r="N43" s="5" t="s">
        <v>76</v>
      </c>
      <c r="Q43" s="5" t="s">
        <v>76</v>
      </c>
      <c r="R43" s="65"/>
      <c r="S43" s="65"/>
      <c r="T43" s="58" t="s">
        <v>76</v>
      </c>
      <c r="V43" s="23" t="s">
        <v>51</v>
      </c>
      <c r="W43" s="4" t="s">
        <v>75</v>
      </c>
      <c r="X43" s="5" t="s">
        <v>77</v>
      </c>
      <c r="Y43" s="23" t="s">
        <v>51</v>
      </c>
      <c r="Z43" s="4" t="s">
        <v>75</v>
      </c>
      <c r="AA43" s="5" t="s">
        <v>77</v>
      </c>
      <c r="AB43" s="23" t="s">
        <v>51</v>
      </c>
      <c r="AC43" s="4" t="s">
        <v>75</v>
      </c>
      <c r="AD43" s="5" t="s">
        <v>77</v>
      </c>
      <c r="AE43" s="56" t="s">
        <v>51</v>
      </c>
      <c r="AF43" s="57" t="s">
        <v>75</v>
      </c>
      <c r="AG43" s="58" t="s">
        <v>77</v>
      </c>
      <c r="AK43" s="79" t="e">
        <f t="shared" si="53"/>
        <v>#VALUE!</v>
      </c>
      <c r="AL43" s="27" t="e">
        <f>+$X53/AA53</f>
        <v>#VALUE!</v>
      </c>
      <c r="AM43" s="27" t="e">
        <f>+$X53/AD53</f>
        <v>#VALUE!</v>
      </c>
    </row>
    <row r="44" spans="1:39" x14ac:dyDescent="0.25">
      <c r="K44" s="6">
        <f>K16^2*SIN(RADIANS(AVERAGE(J2,90)))*10/4</f>
        <v>2029.7482743371434</v>
      </c>
      <c r="N44" s="6">
        <f>N16^2*SIN(RADIANS(AVERAGE(M2,90)))*10/4</f>
        <v>1067.8207014106792</v>
      </c>
      <c r="Q44" s="6">
        <f>Q16^2*SIN(RADIANS(AVERAGE(P2,90)))*10/4</f>
        <v>437.03783496855465</v>
      </c>
      <c r="R44" s="65"/>
      <c r="S44" s="65"/>
      <c r="T44" s="61">
        <f>T16^2*SIN(RADIANS(AVERAGE(S2,90)))*10/4</f>
        <v>97.597825312407906</v>
      </c>
      <c r="V44" s="47">
        <f t="shared" ref="V44:V55" si="54">+(J30*TAN(RADIANS(J2))+K30)/(I30*SIN(RADIANS(J2)))</f>
        <v>1.3422045013971258</v>
      </c>
      <c r="W44" s="3">
        <f t="shared" ref="W44:W55" si="55">+IF(V44&lt;1,"",(J30*TAN(RADIANS(J2))+K30)-(I30*SIN(RADIANS(J2))))</f>
        <v>8118.6293347811879</v>
      </c>
      <c r="X44" s="26" t="str">
        <f t="shared" ref="X44:X55" si="56">+IF(IF(V44&lt;1,"",(4*W44/10/SIN(RADIANS(AVERAGE(J2,90))))^0.5)&lt;K16,IF(V44&lt;1,"",(4*W44/10/SIN(RADIANS(AVERAGE(J2,90))))^0.5),"")</f>
        <v/>
      </c>
      <c r="Y44" s="47">
        <f t="shared" ref="Y44:Y55" si="57">+(M30*TAN(RADIANS(M2))+N30)/(L30*SIN(RADIANS(M2)))</f>
        <v>1.369919080232076</v>
      </c>
      <c r="Z44" s="3">
        <f t="shared" ref="Z44:Z55" si="58">+IF(Y44&lt;1,"",(M30*TAN(RADIANS(M2))+N30)-(L30*SIN(RADIANS(M2))))</f>
        <v>3583.2222064003363</v>
      </c>
      <c r="AA44" s="26" t="str">
        <f t="shared" ref="AA44:AA55" si="59">+IF(IF(Y44&lt;1,"",(4*Z44/10/SIN(RADIANS(AVERAGE(M2,90))))^0.5)&lt;N16,IF(Y44&lt;1,"",(4*Z44/10/SIN(RADIANS(AVERAGE(M2,90))))^0.5),"")</f>
        <v/>
      </c>
      <c r="AB44" s="47">
        <f t="shared" ref="AB44:AB55" si="60">+(P30*TAN(RADIANS(P2))+Q30)/(O30*SIN(RADIANS(P2)))</f>
        <v>1.2815540461046477</v>
      </c>
      <c r="AC44" s="3">
        <f t="shared" ref="AC44:AC55" si="61">+IF(AB44&lt;1,"",(P30*TAN(RADIANS(P2))+Q30)-(O30*SIN(RADIANS(P2))))</f>
        <v>770.51806186580689</v>
      </c>
      <c r="AD44" s="26" t="str">
        <f t="shared" ref="AD44:AD55" si="62">+IF(IF(AB44&lt;1,"",(4*AC44/10/SIN(RADIANS(AVERAGE(P2,90))))^0.5)&lt;Q16,IF(AB44&lt;1,"",(4*AC44/10/SIN(RADIANS(AVERAGE(P2,90))))^0.5),"")</f>
        <v/>
      </c>
      <c r="AE44" s="80">
        <f t="shared" ref="AE44:AE55" si="63">+(S30*TAN(RADIANS(S2))+T30)/(R30*SIN(RADIANS(S2)))</f>
        <v>4.4626520626165656</v>
      </c>
      <c r="AF44" s="72">
        <f t="shared" ref="AF44:AF55" si="64">+IF(AE44&lt;1,"",(S30*TAN(RADIANS(S2))+T30)-(R30*SIN(RADIANS(S2))))</f>
        <v>1090.0283743382765</v>
      </c>
      <c r="AG44" s="67">
        <f t="shared" ref="AG44:AG55" si="65">+IF(AE44&lt;1,"",(4*AF44/10/SIN(RADIANS(AVERAGE(S2,90))))^0.5/T16)</f>
        <v>3.3419414060720727</v>
      </c>
      <c r="AK44" s="79" t="e">
        <f t="shared" si="53"/>
        <v>#VALUE!</v>
      </c>
      <c r="AL44" s="27" t="e">
        <f>+$X54/AA54</f>
        <v>#VALUE!</v>
      </c>
      <c r="AM44" s="27" t="e">
        <f>+$X54/AD54</f>
        <v>#VALUE!</v>
      </c>
    </row>
    <row r="45" spans="1:39" x14ac:dyDescent="0.25">
      <c r="K45" s="6">
        <f t="shared" ref="K45:K55" si="66">K17^2*SIN(RADIANS(AVERAGE(J3,90)))*10/4</f>
        <v>10479.114881664562</v>
      </c>
      <c r="N45" s="6">
        <f t="shared" ref="N45:N55" si="67">N17^2*SIN(RADIANS(AVERAGE(M3,90)))*10/4</f>
        <v>5199.5702891192686</v>
      </c>
      <c r="Q45" s="6">
        <f t="shared" ref="Q45:Q55" si="68">Q17^2*SIN(RADIANS(AVERAGE(P3,90)))*10/4</f>
        <v>1964.8753003865236</v>
      </c>
      <c r="R45" s="65"/>
      <c r="S45" s="65"/>
      <c r="T45" s="61">
        <f t="shared" ref="T45:T55" si="69">T17^2*SIN(RADIANS(AVERAGE(S3,90)))*10/4</f>
        <v>387.20572354846877</v>
      </c>
      <c r="V45" s="47">
        <f t="shared" si="54"/>
        <v>1.1258689315751034</v>
      </c>
      <c r="W45" s="3">
        <f t="shared" si="55"/>
        <v>12300.078350247975</v>
      </c>
      <c r="X45" s="26" t="str">
        <f t="shared" si="56"/>
        <v/>
      </c>
      <c r="Y45" s="47">
        <f t="shared" si="57"/>
        <v>1.1320740107860274</v>
      </c>
      <c r="Z45" s="3">
        <f t="shared" si="58"/>
        <v>5356.485733172507</v>
      </c>
      <c r="AA45" s="26" t="str">
        <f t="shared" si="59"/>
        <v/>
      </c>
      <c r="AB45" s="47">
        <f t="shared" si="60"/>
        <v>1.09601188612454</v>
      </c>
      <c r="AC45" s="3">
        <f t="shared" si="61"/>
        <v>1124.2007094312667</v>
      </c>
      <c r="AD45" s="26">
        <f t="shared" si="62"/>
        <v>22.795596681404859</v>
      </c>
      <c r="AE45" s="80">
        <f t="shared" si="63"/>
        <v>1.8977053716506673</v>
      </c>
      <c r="AF45" s="72">
        <f t="shared" si="64"/>
        <v>1247.8511531318131</v>
      </c>
      <c r="AG45" s="67">
        <f t="shared" si="65"/>
        <v>1.795190363046794</v>
      </c>
      <c r="AK45" s="79" t="e">
        <f t="shared" si="53"/>
        <v>#VALUE!</v>
      </c>
      <c r="AL45" s="27" t="e">
        <f>+$X55/AA55</f>
        <v>#VALUE!</v>
      </c>
      <c r="AM45" s="27" t="e">
        <f>+$X55/AD55</f>
        <v>#VALUE!</v>
      </c>
    </row>
    <row r="46" spans="1:39" x14ac:dyDescent="0.25">
      <c r="K46" s="6">
        <f t="shared" si="66"/>
        <v>5616.1967489995222</v>
      </c>
      <c r="N46" s="6">
        <f t="shared" si="67"/>
        <v>2894.5056486452263</v>
      </c>
      <c r="Q46" s="6">
        <f t="shared" si="68"/>
        <v>1150.1138795680931</v>
      </c>
      <c r="R46" s="65"/>
      <c r="S46" s="65"/>
      <c r="T46" s="61">
        <f t="shared" si="69"/>
        <v>244.90160240168331</v>
      </c>
      <c r="V46" s="47">
        <f t="shared" si="54"/>
        <v>1.142605318687109</v>
      </c>
      <c r="W46" s="3">
        <f t="shared" si="55"/>
        <v>12338.801460719231</v>
      </c>
      <c r="X46" s="26" t="str">
        <f t="shared" si="56"/>
        <v/>
      </c>
      <c r="Y46" s="47">
        <f t="shared" si="57"/>
        <v>1.1468619026750393</v>
      </c>
      <c r="Z46" s="3">
        <f t="shared" si="58"/>
        <v>5206.7991979630751</v>
      </c>
      <c r="AA46" s="26" t="str">
        <f t="shared" si="59"/>
        <v/>
      </c>
      <c r="AB46" s="47">
        <f t="shared" si="60"/>
        <v>1.1013049187872408</v>
      </c>
      <c r="AC46" s="3">
        <f t="shared" si="61"/>
        <v>1017.2948012827019</v>
      </c>
      <c r="AD46" s="26">
        <f t="shared" si="62"/>
        <v>21.107606258508515</v>
      </c>
      <c r="AE46" s="80">
        <f t="shared" si="63"/>
        <v>1.9241055547516466</v>
      </c>
      <c r="AF46" s="72">
        <f t="shared" si="64"/>
        <v>1064.3233784085812</v>
      </c>
      <c r="AG46" s="67">
        <f t="shared" si="65"/>
        <v>2.0846876208441825</v>
      </c>
      <c r="AK46" s="79"/>
    </row>
    <row r="47" spans="1:39" x14ac:dyDescent="0.25">
      <c r="K47" s="6">
        <f t="shared" si="66"/>
        <v>6264.5818619486508</v>
      </c>
      <c r="N47" s="6">
        <f t="shared" si="67"/>
        <v>3202.4839118600457</v>
      </c>
      <c r="Q47" s="6">
        <f t="shared" si="68"/>
        <v>1259.8516717110574</v>
      </c>
      <c r="R47" s="65"/>
      <c r="S47" s="65"/>
      <c r="T47" s="61">
        <f t="shared" si="69"/>
        <v>263.97604042959665</v>
      </c>
      <c r="V47" s="47">
        <f t="shared" si="54"/>
        <v>1.1367850899230407</v>
      </c>
      <c r="W47" s="3">
        <f t="shared" si="55"/>
        <v>12203.776385770354</v>
      </c>
      <c r="X47" s="26" t="str">
        <f t="shared" si="56"/>
        <v/>
      </c>
      <c r="Y47" s="47">
        <f t="shared" si="57"/>
        <v>1.1406625884044737</v>
      </c>
      <c r="Z47" s="3">
        <f t="shared" si="58"/>
        <v>5155.8590156936698</v>
      </c>
      <c r="AA47" s="26" t="str">
        <f t="shared" si="59"/>
        <v/>
      </c>
      <c r="AB47" s="47">
        <f t="shared" si="60"/>
        <v>1.0975575827128667</v>
      </c>
      <c r="AC47" s="3">
        <f t="shared" si="61"/>
        <v>1016.981365480864</v>
      </c>
      <c r="AD47" s="26">
        <f t="shared" si="62"/>
        <v>21.209854433045248</v>
      </c>
      <c r="AE47" s="80">
        <f t="shared" si="63"/>
        <v>1.893199974089552</v>
      </c>
      <c r="AF47" s="72">
        <f t="shared" si="64"/>
        <v>1075.0645395627912</v>
      </c>
      <c r="AG47" s="67">
        <f t="shared" si="65"/>
        <v>2.0180643637441342</v>
      </c>
      <c r="AL47" s="27" t="e">
        <f>+AVERAGE(AL34:AL45)</f>
        <v>#VALUE!</v>
      </c>
      <c r="AM47" s="27" t="e">
        <f>+AVERAGE(AM34:AM45)</f>
        <v>#VALUE!</v>
      </c>
    </row>
    <row r="48" spans="1:39" x14ac:dyDescent="0.25">
      <c r="K48" s="6">
        <f t="shared" si="66"/>
        <v>14674.492762282263</v>
      </c>
      <c r="N48" s="6">
        <f t="shared" si="67"/>
        <v>7135.3162466445319</v>
      </c>
      <c r="Q48" s="6">
        <f t="shared" si="68"/>
        <v>2619.7787204161405</v>
      </c>
      <c r="R48" s="65"/>
      <c r="S48" s="65"/>
      <c r="T48" s="61">
        <f t="shared" si="69"/>
        <v>654.94468010403511</v>
      </c>
      <c r="V48" s="47">
        <f t="shared" si="54"/>
        <v>1.1057490414288405</v>
      </c>
      <c r="W48" s="3">
        <f t="shared" si="55"/>
        <v>10675.839266353185</v>
      </c>
      <c r="X48" s="26">
        <f t="shared" si="56"/>
        <v>72.024796913484721</v>
      </c>
      <c r="Y48" s="47">
        <f t="shared" si="57"/>
        <v>1.1095880650806738</v>
      </c>
      <c r="Z48" s="3">
        <f t="shared" si="58"/>
        <v>4610.0215013797861</v>
      </c>
      <c r="AA48" s="26">
        <f t="shared" si="59"/>
        <v>47.080863684495021</v>
      </c>
      <c r="AB48" s="47">
        <f t="shared" si="60"/>
        <v>1.0777976747462075</v>
      </c>
      <c r="AC48" s="3">
        <f t="shared" si="61"/>
        <v>950.31144984583261</v>
      </c>
      <c r="AD48" s="26">
        <f t="shared" si="62"/>
        <v>21.218144361221846</v>
      </c>
      <c r="AE48" s="80">
        <f t="shared" si="63"/>
        <v>2.0294215993976921</v>
      </c>
      <c r="AF48" s="72">
        <f t="shared" si="64"/>
        <v>1571.8193632032792</v>
      </c>
      <c r="AG48" s="67">
        <f t="shared" si="65"/>
        <v>1.5491697490312322</v>
      </c>
    </row>
    <row r="49" spans="11:33" x14ac:dyDescent="0.25">
      <c r="K49" s="6">
        <f t="shared" si="66"/>
        <v>326.9145330259762</v>
      </c>
      <c r="N49" s="6">
        <f t="shared" si="67"/>
        <v>179.42743785246353</v>
      </c>
      <c r="Q49" s="6">
        <f t="shared" si="68"/>
        <v>77.472017279250267</v>
      </c>
      <c r="R49" s="65"/>
      <c r="S49" s="65"/>
      <c r="T49" s="61">
        <f t="shared" si="69"/>
        <v>18.676749494732967</v>
      </c>
      <c r="V49" s="47">
        <f t="shared" si="54"/>
        <v>3.1979015922957443</v>
      </c>
      <c r="W49" s="3">
        <f t="shared" si="55"/>
        <v>5070.3190335261224</v>
      </c>
      <c r="X49" s="26" t="str">
        <f t="shared" si="56"/>
        <v/>
      </c>
      <c r="Y49" s="47">
        <f t="shared" si="57"/>
        <v>3.5297381064141748</v>
      </c>
      <c r="Z49" s="3">
        <f t="shared" si="58"/>
        <v>2362.6996856907444</v>
      </c>
      <c r="AA49" s="26" t="str">
        <f t="shared" si="59"/>
        <v/>
      </c>
      <c r="AB49" s="47">
        <f t="shared" si="60"/>
        <v>3.0824253805883282</v>
      </c>
      <c r="AC49" s="3">
        <f t="shared" si="61"/>
        <v>545.40421576620292</v>
      </c>
      <c r="AD49" s="26" t="str">
        <f t="shared" si="62"/>
        <v/>
      </c>
      <c r="AE49" s="80">
        <f t="shared" si="63"/>
        <v>38.49280747808136</v>
      </c>
      <c r="AF49" s="72">
        <f t="shared" si="64"/>
        <v>1130.348738719412</v>
      </c>
      <c r="AG49" s="67">
        <f t="shared" si="65"/>
        <v>7.7795697713120076</v>
      </c>
    </row>
    <row r="50" spans="11:33" x14ac:dyDescent="0.25">
      <c r="K50" s="6">
        <f t="shared" si="66"/>
        <v>326.9145330259762</v>
      </c>
      <c r="N50" s="6">
        <f t="shared" si="67"/>
        <v>179.42743785246353</v>
      </c>
      <c r="Q50" s="6">
        <f t="shared" si="68"/>
        <v>77.472017279250267</v>
      </c>
      <c r="R50" s="65"/>
      <c r="S50" s="65"/>
      <c r="T50" s="61">
        <f t="shared" si="69"/>
        <v>18.676749494732967</v>
      </c>
      <c r="V50" s="47">
        <f t="shared" si="54"/>
        <v>3.1979015922957443</v>
      </c>
      <c r="W50" s="3">
        <f t="shared" si="55"/>
        <v>5070.3190335261224</v>
      </c>
      <c r="X50" s="26" t="str">
        <f t="shared" si="56"/>
        <v/>
      </c>
      <c r="Y50" s="47">
        <f t="shared" si="57"/>
        <v>3.5297381064141748</v>
      </c>
      <c r="Z50" s="3">
        <f t="shared" si="58"/>
        <v>2362.6996856907444</v>
      </c>
      <c r="AA50" s="26" t="str">
        <f t="shared" si="59"/>
        <v/>
      </c>
      <c r="AB50" s="47">
        <f t="shared" si="60"/>
        <v>3.0824253805883282</v>
      </c>
      <c r="AC50" s="3">
        <f t="shared" si="61"/>
        <v>545.40421576620292</v>
      </c>
      <c r="AD50" s="26" t="str">
        <f t="shared" si="62"/>
        <v/>
      </c>
      <c r="AE50" s="80">
        <f t="shared" si="63"/>
        <v>38.49280747808136</v>
      </c>
      <c r="AF50" s="72">
        <f t="shared" si="64"/>
        <v>1130.348738719412</v>
      </c>
      <c r="AG50" s="67">
        <f t="shared" si="65"/>
        <v>7.7795697713120076</v>
      </c>
    </row>
    <row r="51" spans="11:33" x14ac:dyDescent="0.25">
      <c r="K51" s="6">
        <f t="shared" si="66"/>
        <v>310.03889841364798</v>
      </c>
      <c r="N51" s="6">
        <f t="shared" si="67"/>
        <v>170.9604429972033</v>
      </c>
      <c r="Q51" s="6">
        <f t="shared" si="68"/>
        <v>74.23334353508487</v>
      </c>
      <c r="R51" s="65"/>
      <c r="S51" s="65"/>
      <c r="T51" s="61">
        <f t="shared" si="69"/>
        <v>18.025588154650723</v>
      </c>
      <c r="V51" s="47">
        <f t="shared" si="54"/>
        <v>3.7212761222942667</v>
      </c>
      <c r="W51" s="3">
        <f t="shared" si="55"/>
        <v>5707.4691748661253</v>
      </c>
      <c r="X51" s="26" t="str">
        <f t="shared" si="56"/>
        <v/>
      </c>
      <c r="Y51" s="47">
        <f t="shared" si="57"/>
        <v>4.136364643216746</v>
      </c>
      <c r="Z51" s="3">
        <f t="shared" si="58"/>
        <v>2658.6074361555884</v>
      </c>
      <c r="AA51" s="26" t="str">
        <f t="shared" si="59"/>
        <v/>
      </c>
      <c r="AB51" s="47">
        <f t="shared" si="60"/>
        <v>3.586999286845467</v>
      </c>
      <c r="AC51" s="3">
        <f t="shared" si="61"/>
        <v>613.83749672705483</v>
      </c>
      <c r="AD51" s="26" t="str">
        <f t="shared" si="62"/>
        <v/>
      </c>
      <c r="AE51" s="80">
        <f t="shared" si="63"/>
        <v>49.281239007284604</v>
      </c>
      <c r="AF51" s="72">
        <f t="shared" si="64"/>
        <v>1316.0742606772801</v>
      </c>
      <c r="AG51" s="67">
        <f t="shared" si="65"/>
        <v>8.544673560175637</v>
      </c>
    </row>
    <row r="52" spans="11:33" x14ac:dyDescent="0.25">
      <c r="K52" s="6">
        <f t="shared" si="66"/>
        <v>443.80964473426684</v>
      </c>
      <c r="N52" s="6">
        <f t="shared" si="67"/>
        <v>236.79054857636174</v>
      </c>
      <c r="Q52" s="6">
        <f t="shared" si="68"/>
        <v>98.719934995067135</v>
      </c>
      <c r="R52" s="65"/>
      <c r="S52" s="65"/>
      <c r="T52" s="61">
        <f t="shared" si="69"/>
        <v>22.678920745453031</v>
      </c>
      <c r="V52" s="47">
        <f t="shared" si="54"/>
        <v>1.9439398654795434</v>
      </c>
      <c r="W52" s="3">
        <f t="shared" si="55"/>
        <v>2934.1454959209455</v>
      </c>
      <c r="X52" s="26" t="str">
        <f t="shared" si="56"/>
        <v/>
      </c>
      <c r="Y52" s="47">
        <f t="shared" si="57"/>
        <v>2.0494794347640508</v>
      </c>
      <c r="Z52" s="3">
        <f t="shared" si="58"/>
        <v>1329.5346778391784</v>
      </c>
      <c r="AA52" s="26" t="str">
        <f t="shared" si="59"/>
        <v/>
      </c>
      <c r="AB52" s="47">
        <f t="shared" si="60"/>
        <v>1.8334085981824364</v>
      </c>
      <c r="AC52" s="3">
        <f t="shared" si="61"/>
        <v>297.99915192947105</v>
      </c>
      <c r="AD52" s="26" t="str">
        <f t="shared" si="62"/>
        <v/>
      </c>
      <c r="AE52" s="80">
        <f t="shared" si="63"/>
        <v>13.20882332463621</v>
      </c>
      <c r="AF52" s="72">
        <f t="shared" si="64"/>
        <v>503.96794672148383</v>
      </c>
      <c r="AG52" s="67">
        <f t="shared" si="65"/>
        <v>4.7140074662707079</v>
      </c>
    </row>
    <row r="53" spans="11:33" x14ac:dyDescent="0.25">
      <c r="K53" s="6">
        <f t="shared" si="66"/>
        <v>2069.9799866009075</v>
      </c>
      <c r="N53" s="6">
        <f t="shared" si="67"/>
        <v>1087.1334767378894</v>
      </c>
      <c r="Q53" s="6">
        <f t="shared" si="68"/>
        <v>443.80964473426684</v>
      </c>
      <c r="R53" s="65"/>
      <c r="S53" s="65"/>
      <c r="T53" s="61">
        <f t="shared" si="69"/>
        <v>98.719934995067135</v>
      </c>
      <c r="V53" s="47">
        <f t="shared" si="54"/>
        <v>1.3213662314605139</v>
      </c>
      <c r="W53" s="3">
        <f t="shared" si="55"/>
        <v>8652.7544229402811</v>
      </c>
      <c r="X53" s="26" t="str">
        <f t="shared" si="56"/>
        <v/>
      </c>
      <c r="Y53" s="47">
        <f t="shared" si="57"/>
        <v>1.3470873481728209</v>
      </c>
      <c r="Z53" s="3">
        <f t="shared" si="58"/>
        <v>3817.3916571795362</v>
      </c>
      <c r="AA53" s="26" t="str">
        <f t="shared" si="59"/>
        <v/>
      </c>
      <c r="AB53" s="47">
        <f t="shared" si="60"/>
        <v>1.2619920553038857</v>
      </c>
      <c r="AC53" s="3">
        <f t="shared" si="61"/>
        <v>814.37688686496813</v>
      </c>
      <c r="AD53" s="26" t="str">
        <f t="shared" si="62"/>
        <v/>
      </c>
      <c r="AE53" s="80">
        <f t="shared" si="63"/>
        <v>4.1378862871353697</v>
      </c>
      <c r="AF53" s="72">
        <f t="shared" si="64"/>
        <v>1122.0036059824313</v>
      </c>
      <c r="AG53" s="67">
        <f t="shared" si="65"/>
        <v>3.3712790052522204</v>
      </c>
    </row>
    <row r="54" spans="11:33" x14ac:dyDescent="0.25">
      <c r="K54" s="6">
        <f t="shared" si="66"/>
        <v>1362.0891800024654</v>
      </c>
      <c r="N54" s="6">
        <f t="shared" si="67"/>
        <v>743.69836235773971</v>
      </c>
      <c r="Q54" s="6">
        <f t="shared" si="68"/>
        <v>318.9821117377129</v>
      </c>
      <c r="R54" s="65"/>
      <c r="S54" s="65"/>
      <c r="T54" s="61">
        <f t="shared" si="69"/>
        <v>76.170078278838403</v>
      </c>
      <c r="V54" s="47">
        <f t="shared" si="54"/>
        <v>1.7891845628055636</v>
      </c>
      <c r="W54" s="3">
        <f t="shared" si="55"/>
        <v>15456.907601482737</v>
      </c>
      <c r="X54" s="26" t="str">
        <f t="shared" si="56"/>
        <v/>
      </c>
      <c r="Y54" s="47">
        <f t="shared" si="57"/>
        <v>1.8903367077640014</v>
      </c>
      <c r="Z54" s="3">
        <f t="shared" si="58"/>
        <v>7051.1286361820139</v>
      </c>
      <c r="AA54" s="26" t="str">
        <f t="shared" si="59"/>
        <v/>
      </c>
      <c r="AB54" s="47">
        <f t="shared" si="60"/>
        <v>1.715840567452344</v>
      </c>
      <c r="AC54" s="3">
        <f t="shared" si="61"/>
        <v>1584.7672119497752</v>
      </c>
      <c r="AD54" s="26" t="str">
        <f t="shared" si="62"/>
        <v/>
      </c>
      <c r="AE54" s="80">
        <f t="shared" si="63"/>
        <v>12.083996749131842</v>
      </c>
      <c r="AF54" s="72">
        <f t="shared" si="64"/>
        <v>2799.4463565508217</v>
      </c>
      <c r="AG54" s="67">
        <f t="shared" si="65"/>
        <v>6.0623900339512042</v>
      </c>
    </row>
    <row r="55" spans="11:33" x14ac:dyDescent="0.25">
      <c r="K55" s="6">
        <f t="shared" si="66"/>
        <v>9942.4547233503399</v>
      </c>
      <c r="N55" s="6">
        <f t="shared" si="67"/>
        <v>4928.0711712485227</v>
      </c>
      <c r="Q55" s="6">
        <f t="shared" si="68"/>
        <v>1858.4456507428579</v>
      </c>
      <c r="R55" s="65"/>
      <c r="S55" s="65"/>
      <c r="T55" s="61">
        <f t="shared" si="69"/>
        <v>363.93441916773747</v>
      </c>
      <c r="V55" s="47">
        <f t="shared" si="54"/>
        <v>1.110778235070109</v>
      </c>
      <c r="W55" s="3">
        <f t="shared" si="55"/>
        <v>10755.046447606859</v>
      </c>
      <c r="X55" s="26" t="str">
        <f t="shared" si="56"/>
        <v/>
      </c>
      <c r="Y55" s="47">
        <f t="shared" si="57"/>
        <v>1.1129635450142079</v>
      </c>
      <c r="Z55" s="3">
        <f t="shared" si="58"/>
        <v>4545.2874867862338</v>
      </c>
      <c r="AA55" s="26">
        <f t="shared" si="59"/>
        <v>46.057531038551147</v>
      </c>
      <c r="AB55" s="47">
        <f t="shared" si="60"/>
        <v>1.0787277702764722</v>
      </c>
      <c r="AC55" s="3">
        <f t="shared" si="61"/>
        <v>912.2584040380807</v>
      </c>
      <c r="AD55" s="26">
        <f t="shared" si="62"/>
        <v>20.482365158526594</v>
      </c>
      <c r="AE55" s="80">
        <f t="shared" si="63"/>
        <v>1.6566639268932633</v>
      </c>
      <c r="AF55" s="72">
        <f t="shared" si="64"/>
        <v>897.39678009554405</v>
      </c>
      <c r="AG55" s="67">
        <f t="shared" si="65"/>
        <v>1.5702929755909552</v>
      </c>
    </row>
    <row r="56" spans="11:33" ht="15.75" thickBot="1" x14ac:dyDescent="0.3">
      <c r="AE56" s="65"/>
      <c r="AF56" s="65"/>
      <c r="AG56" s="65"/>
    </row>
    <row r="57" spans="11:33" x14ac:dyDescent="0.25">
      <c r="V57" s="12" t="s">
        <v>64</v>
      </c>
      <c r="W57" s="12" t="s">
        <v>63</v>
      </c>
      <c r="X57" s="5" t="s">
        <v>78</v>
      </c>
      <c r="Y57" s="12" t="s">
        <v>64</v>
      </c>
      <c r="Z57" s="12" t="s">
        <v>63</v>
      </c>
      <c r="AA57" s="5" t="s">
        <v>78</v>
      </c>
      <c r="AB57" s="12" t="s">
        <v>64</v>
      </c>
      <c r="AC57" s="12" t="s">
        <v>63</v>
      </c>
      <c r="AD57" s="5" t="s">
        <v>78</v>
      </c>
      <c r="AE57" s="68" t="s">
        <v>64</v>
      </c>
      <c r="AF57" s="68" t="s">
        <v>63</v>
      </c>
      <c r="AG57" s="58" t="s">
        <v>51</v>
      </c>
    </row>
    <row r="58" spans="11:33" x14ac:dyDescent="0.25">
      <c r="V58" s="46">
        <f>+(W58)^(1/3)</f>
        <v>11.378154081201652</v>
      </c>
      <c r="W58" s="27">
        <f>+(I2*J16/2)*I2/3</f>
        <v>1473.0430245036134</v>
      </c>
      <c r="X58" s="26">
        <f t="shared" ref="X58:X69" si="70">+IF(V44&lt;1,"",(4*W44/10/SIN(RADIANS(AVERAGE(J2,90))))^0.5/K16)</f>
        <v>1.9999551955965955</v>
      </c>
      <c r="Y58" s="46">
        <f t="shared" ref="Y58:Y69" si="71">+(Z58)^(1/3)</f>
        <v>8.3368770785825657</v>
      </c>
      <c r="Z58" s="27">
        <f t="shared" ref="Z58:Z69" si="72">+(L2*M16/2)*L2/3</f>
        <v>579.44229796172351</v>
      </c>
      <c r="AA58" s="26">
        <f t="shared" ref="AA58:AA69" si="73">+IF(Y44&lt;1,"",(4*Z44/10/SIN(RADIANS(AVERAGE(M2,90))))^0.5/N16)</f>
        <v>1.8318406933522311</v>
      </c>
      <c r="AB58" s="46">
        <f t="shared" ref="AB58:AB69" si="74">+(AC58)^(1/3)</f>
        <v>5.3871927507303612</v>
      </c>
      <c r="AC58" s="27">
        <f t="shared" ref="AC58:AC69" si="75">+(O2*P16/2)*O2/3</f>
        <v>156.3462769484432</v>
      </c>
      <c r="AD58" s="26">
        <f t="shared" ref="AD58:AD69" si="76">+IF(AB44&lt;1,"",(4*AC44/10/SIN(RADIANS(AVERAGE(P2,90))))^0.5/Q16)</f>
        <v>1.3277976440885242</v>
      </c>
      <c r="AE58" s="69">
        <f t="shared" ref="AE58:AE69" si="77">+(AF58)^(1/3)</f>
        <v>2.5653461402978124</v>
      </c>
      <c r="AF58" s="70">
        <f t="shared" ref="AF58:AF69" si="78">+(R2*S16/2)*R2/3</f>
        <v>16.88254505170595</v>
      </c>
      <c r="AG58" s="67">
        <f t="shared" ref="AG58:AG69" si="79">+AG30</f>
        <v>4.1526167286005515</v>
      </c>
    </row>
    <row r="59" spans="11:33" x14ac:dyDescent="0.25">
      <c r="V59" s="46">
        <f t="shared" ref="V59:V69" si="80">+(W59)^(1/3)</f>
        <v>21.225822026647119</v>
      </c>
      <c r="W59" s="27">
        <f t="shared" ref="W59:W69" si="81">+(I3*J17/2)*I3/3</f>
        <v>9562.9867792074128</v>
      </c>
      <c r="X59" s="26">
        <f t="shared" si="70"/>
        <v>1.0834070022231326</v>
      </c>
      <c r="Y59" s="46">
        <f t="shared" si="71"/>
        <v>15.478327050994363</v>
      </c>
      <c r="Z59" s="27">
        <f t="shared" si="72"/>
        <v>3708.2760536514597</v>
      </c>
      <c r="AA59" s="26">
        <f t="shared" si="73"/>
        <v>1.0149771134309251</v>
      </c>
      <c r="AB59" s="46">
        <f t="shared" si="74"/>
        <v>9.9335457317133713</v>
      </c>
      <c r="AC59" s="27">
        <f t="shared" si="75"/>
        <v>980.19591113388651</v>
      </c>
      <c r="AD59" s="26">
        <f t="shared" si="76"/>
        <v>0.75640506944427566</v>
      </c>
      <c r="AE59" s="69">
        <f t="shared" si="77"/>
        <v>4.6746556360945375</v>
      </c>
      <c r="AF59" s="70">
        <f t="shared" si="78"/>
        <v>102.15246967299088</v>
      </c>
      <c r="AG59" s="67">
        <f t="shared" si="79"/>
        <v>1.6191491856096019</v>
      </c>
    </row>
    <row r="60" spans="11:33" x14ac:dyDescent="0.25">
      <c r="V60" s="46">
        <f t="shared" si="80"/>
        <v>18.195439676453429</v>
      </c>
      <c r="W60" s="27">
        <f t="shared" si="81"/>
        <v>6024.037450682149</v>
      </c>
      <c r="X60" s="26">
        <f t="shared" si="70"/>
        <v>1.4822290859157785</v>
      </c>
      <c r="Y60" s="46">
        <f t="shared" si="71"/>
        <v>13.29864746364262</v>
      </c>
      <c r="Z60" s="27">
        <f t="shared" si="72"/>
        <v>2351.9193225200042</v>
      </c>
      <c r="AA60" s="26">
        <f t="shared" si="73"/>
        <v>1.3412144195259215</v>
      </c>
      <c r="AB60" s="46">
        <f t="shared" si="74"/>
        <v>8.5546043555616507</v>
      </c>
      <c r="AC60" s="27">
        <f t="shared" si="75"/>
        <v>626.03668858726121</v>
      </c>
      <c r="AD60" s="26">
        <f t="shared" si="76"/>
        <v>0.94048741891870102</v>
      </c>
      <c r="AE60" s="69">
        <f t="shared" si="77"/>
        <v>4.0342742264348388</v>
      </c>
      <c r="AF60" s="70">
        <f t="shared" si="78"/>
        <v>65.659299802753083</v>
      </c>
      <c r="AG60" s="67">
        <f t="shared" si="79"/>
        <v>1.7114681780500565</v>
      </c>
    </row>
    <row r="61" spans="11:33" x14ac:dyDescent="0.25">
      <c r="V61" s="46">
        <f t="shared" si="80"/>
        <v>18.754698251642555</v>
      </c>
      <c r="W61" s="27">
        <f t="shared" si="81"/>
        <v>6596.7533040212002</v>
      </c>
      <c r="X61" s="26">
        <f t="shared" si="70"/>
        <v>1.3957289166779683</v>
      </c>
      <c r="Y61" s="46">
        <f t="shared" si="71"/>
        <v>13.699760024485723</v>
      </c>
      <c r="Z61" s="27">
        <f t="shared" si="72"/>
        <v>2571.2178793540406</v>
      </c>
      <c r="AA61" s="26">
        <f t="shared" si="73"/>
        <v>1.268840517245194</v>
      </c>
      <c r="AB61" s="46">
        <f t="shared" si="74"/>
        <v>8.8090712107053264</v>
      </c>
      <c r="AC61" s="27">
        <f t="shared" si="75"/>
        <v>683.58159679070411</v>
      </c>
      <c r="AD61" s="26">
        <f t="shared" si="76"/>
        <v>0.89845595041844717</v>
      </c>
      <c r="AE61" s="69">
        <f t="shared" si="77"/>
        <v>4.151492564562882</v>
      </c>
      <c r="AF61" s="70">
        <f t="shared" si="78"/>
        <v>71.550519818352555</v>
      </c>
      <c r="AG61" s="67">
        <f t="shared" si="79"/>
        <v>1.6738797530283429</v>
      </c>
    </row>
    <row r="62" spans="11:33" x14ac:dyDescent="0.25">
      <c r="V62" s="46">
        <f t="shared" si="80"/>
        <v>22.792146252015034</v>
      </c>
      <c r="W62" s="27">
        <f t="shared" si="81"/>
        <v>11840.108141462899</v>
      </c>
      <c r="X62" s="26">
        <f t="shared" si="70"/>
        <v>0.85294192907063793</v>
      </c>
      <c r="Y62" s="46">
        <f t="shared" si="71"/>
        <v>16.586261073433736</v>
      </c>
      <c r="Z62" s="27">
        <f t="shared" si="72"/>
        <v>4562.9477017464087</v>
      </c>
      <c r="AA62" s="26">
        <f t="shared" si="73"/>
        <v>0.80379418925959545</v>
      </c>
      <c r="AB62" s="46">
        <f t="shared" si="74"/>
        <v>10.612911013323563</v>
      </c>
      <c r="AC62" s="27">
        <f t="shared" si="75"/>
        <v>1195.3733474009266</v>
      </c>
      <c r="AD62" s="26">
        <f t="shared" si="76"/>
        <v>0.6022830982964319</v>
      </c>
      <c r="AE62" s="69">
        <f t="shared" si="77"/>
        <v>5.3064555066617807</v>
      </c>
      <c r="AF62" s="70">
        <f t="shared" si="78"/>
        <v>149.42166842511583</v>
      </c>
      <c r="AG62" s="67">
        <f t="shared" si="79"/>
        <v>1.6004828702451923</v>
      </c>
    </row>
    <row r="63" spans="11:33" x14ac:dyDescent="0.25">
      <c r="V63" s="46">
        <f t="shared" si="80"/>
        <v>4.6340113333327988</v>
      </c>
      <c r="W63" s="27">
        <f t="shared" si="81"/>
        <v>99.511042220255206</v>
      </c>
      <c r="X63" s="26">
        <f t="shared" si="70"/>
        <v>3.9382250435866553</v>
      </c>
      <c r="Y63" s="46">
        <f t="shared" si="71"/>
        <v>3.4123058310199372</v>
      </c>
      <c r="Z63" s="27">
        <f t="shared" si="72"/>
        <v>39.732312704752545</v>
      </c>
      <c r="AA63" s="26">
        <f t="shared" si="73"/>
        <v>3.6287732710210037</v>
      </c>
      <c r="AB63" s="46">
        <f t="shared" si="74"/>
        <v>2.2213450514448536</v>
      </c>
      <c r="AC63" s="27">
        <f t="shared" si="75"/>
        <v>10.960946906084041</v>
      </c>
      <c r="AD63" s="26">
        <f t="shared" si="76"/>
        <v>2.6533027855347928</v>
      </c>
      <c r="AE63" s="69">
        <f t="shared" si="77"/>
        <v>1.0731783976374623</v>
      </c>
      <c r="AF63" s="70">
        <f t="shared" si="78"/>
        <v>1.2359923025732864</v>
      </c>
      <c r="AG63" s="67">
        <f t="shared" si="79"/>
        <v>37.873313910179746</v>
      </c>
    </row>
    <row r="64" spans="11:33" x14ac:dyDescent="0.25">
      <c r="V64" s="46">
        <f t="shared" si="80"/>
        <v>4.6340113333327988</v>
      </c>
      <c r="W64" s="27">
        <f t="shared" si="81"/>
        <v>99.511042220255206</v>
      </c>
      <c r="X64" s="26">
        <f t="shared" si="70"/>
        <v>3.9382250435866553</v>
      </c>
      <c r="Y64" s="46">
        <f t="shared" si="71"/>
        <v>3.4123058310199372</v>
      </c>
      <c r="Z64" s="27">
        <f t="shared" si="72"/>
        <v>39.732312704752545</v>
      </c>
      <c r="AA64" s="26">
        <f t="shared" si="73"/>
        <v>3.6287732710210037</v>
      </c>
      <c r="AB64" s="46">
        <f t="shared" si="74"/>
        <v>2.2213450514448536</v>
      </c>
      <c r="AC64" s="27">
        <f t="shared" si="75"/>
        <v>10.960946906084041</v>
      </c>
      <c r="AD64" s="26">
        <f t="shared" si="76"/>
        <v>2.6533027855347928</v>
      </c>
      <c r="AE64" s="69">
        <f t="shared" si="77"/>
        <v>1.0731783976374623</v>
      </c>
      <c r="AF64" s="70">
        <f t="shared" si="78"/>
        <v>1.2359923025732864</v>
      </c>
      <c r="AG64" s="67">
        <f t="shared" si="79"/>
        <v>37.873313910179746</v>
      </c>
    </row>
    <row r="65" spans="9:35" x14ac:dyDescent="0.25">
      <c r="V65" s="46">
        <f t="shared" si="80"/>
        <v>4.4445715649035602</v>
      </c>
      <c r="W65" s="27">
        <f t="shared" si="81"/>
        <v>87.799028478610083</v>
      </c>
      <c r="X65" s="26">
        <f t="shared" si="70"/>
        <v>4.2905571856373834</v>
      </c>
      <c r="Y65" s="46">
        <f t="shared" si="71"/>
        <v>3.2737796515132396</v>
      </c>
      <c r="Z65" s="27">
        <f t="shared" si="72"/>
        <v>35.087169504353149</v>
      </c>
      <c r="AA65" s="26">
        <f t="shared" si="73"/>
        <v>3.9434768014367254</v>
      </c>
      <c r="AB65" s="46">
        <f t="shared" si="74"/>
        <v>2.1321300989223424</v>
      </c>
      <c r="AC65" s="27">
        <f t="shared" si="75"/>
        <v>9.6926181405511382</v>
      </c>
      <c r="AD65" s="26">
        <f t="shared" si="76"/>
        <v>2.8755915321297776</v>
      </c>
      <c r="AE65" s="69">
        <f t="shared" si="77"/>
        <v>1.0307845010061456</v>
      </c>
      <c r="AF65" s="70">
        <f t="shared" si="78"/>
        <v>1.0952257335503246</v>
      </c>
      <c r="AG65" s="67">
        <f t="shared" si="79"/>
        <v>48.619955859406851</v>
      </c>
    </row>
    <row r="66" spans="9:35" x14ac:dyDescent="0.25">
      <c r="K66" t="s">
        <v>86</v>
      </c>
      <c r="V66" s="46">
        <f t="shared" si="80"/>
        <v>5.4199363920898236</v>
      </c>
      <c r="W66" s="27">
        <f t="shared" si="81"/>
        <v>159.21448235154966</v>
      </c>
      <c r="X66" s="26">
        <f t="shared" si="70"/>
        <v>2.571239047384156</v>
      </c>
      <c r="Y66" s="46">
        <f t="shared" si="71"/>
        <v>3.9790413783245047</v>
      </c>
      <c r="Z66" s="27">
        <f t="shared" si="72"/>
        <v>62.99924811908236</v>
      </c>
      <c r="AA66" s="26">
        <f t="shared" si="73"/>
        <v>2.3695596881656091</v>
      </c>
      <c r="AB66" s="46">
        <f t="shared" si="74"/>
        <v>2.5790907684708269</v>
      </c>
      <c r="AC66" s="27">
        <f t="shared" si="75"/>
        <v>17.155361771669252</v>
      </c>
      <c r="AD66" s="26">
        <f t="shared" si="76"/>
        <v>1.7374210689353302</v>
      </c>
      <c r="AE66" s="69">
        <f t="shared" si="77"/>
        <v>1.2360732230362192</v>
      </c>
      <c r="AF66" s="70">
        <f t="shared" si="78"/>
        <v>1.8885678634998737</v>
      </c>
      <c r="AG66" s="67">
        <f t="shared" si="79"/>
        <v>12.659417477744757</v>
      </c>
    </row>
    <row r="67" spans="9:35" x14ac:dyDescent="0.25">
      <c r="V67" s="46">
        <f t="shared" si="80"/>
        <v>11.452983872382692</v>
      </c>
      <c r="W67" s="27">
        <f t="shared" si="81"/>
        <v>1502.2975102487555</v>
      </c>
      <c r="X67" s="26">
        <f t="shared" si="70"/>
        <v>2.0445329576939519</v>
      </c>
      <c r="Y67" s="46">
        <f t="shared" si="71"/>
        <v>8.3904425978816803</v>
      </c>
      <c r="Z67" s="27">
        <f t="shared" si="72"/>
        <v>590.68319011375195</v>
      </c>
      <c r="AA67" s="26">
        <f t="shared" si="73"/>
        <v>1.8738806442614959</v>
      </c>
      <c r="AB67" s="46">
        <f t="shared" si="74"/>
        <v>5.4199363920898236</v>
      </c>
      <c r="AC67" s="27">
        <f t="shared" si="75"/>
        <v>159.21448235154966</v>
      </c>
      <c r="AD67" s="26">
        <f t="shared" si="76"/>
        <v>1.3546102318753275</v>
      </c>
      <c r="AE67" s="69">
        <f t="shared" si="77"/>
        <v>2.5790907684708269</v>
      </c>
      <c r="AF67" s="70">
        <f t="shared" si="78"/>
        <v>17.155361771669252</v>
      </c>
      <c r="AG67" s="67">
        <f t="shared" si="79"/>
        <v>3.8617981100241394</v>
      </c>
    </row>
    <row r="68" spans="9:35" x14ac:dyDescent="0.25">
      <c r="V68" s="46">
        <f t="shared" si="80"/>
        <v>9.5264415124324664</v>
      </c>
      <c r="W68" s="27">
        <f t="shared" si="81"/>
        <v>864.55398385479066</v>
      </c>
      <c r="X68" s="26">
        <f t="shared" si="70"/>
        <v>3.368670503826066</v>
      </c>
      <c r="Y68" s="46">
        <f t="shared" si="71"/>
        <v>7.0051381135012472</v>
      </c>
      <c r="Z68" s="27">
        <f t="shared" si="72"/>
        <v>343.75585722474813</v>
      </c>
      <c r="AA68" s="26">
        <f t="shared" si="73"/>
        <v>3.0791504276964812</v>
      </c>
      <c r="AB68" s="46">
        <f t="shared" si="74"/>
        <v>4.5497411080265833</v>
      </c>
      <c r="AC68" s="27">
        <f t="shared" si="75"/>
        <v>94.180296781635661</v>
      </c>
      <c r="AD68" s="26">
        <f t="shared" si="76"/>
        <v>2.2289461392396657</v>
      </c>
      <c r="AE68" s="69">
        <f t="shared" si="77"/>
        <v>2.1876000002166442</v>
      </c>
      <c r="AF68" s="70">
        <f t="shared" si="78"/>
        <v>10.468964912486316</v>
      </c>
      <c r="AG68" s="67">
        <f t="shared" si="79"/>
        <v>11.78241250978818</v>
      </c>
    </row>
    <row r="69" spans="9:35" x14ac:dyDescent="0.25">
      <c r="I69" s="12" t="s">
        <v>83</v>
      </c>
      <c r="J69" s="12"/>
      <c r="K69" s="12">
        <v>124.89883582066588</v>
      </c>
      <c r="L69" s="12">
        <v>120.14341328638764</v>
      </c>
      <c r="M69" s="12">
        <v>120.04951944019979</v>
      </c>
      <c r="N69" s="12">
        <v>124.88114955788365</v>
      </c>
      <c r="O69" s="12"/>
      <c r="P69" s="12"/>
      <c r="Q69" s="12"/>
      <c r="R69" s="12"/>
      <c r="S69" s="12"/>
      <c r="T69" s="12"/>
      <c r="V69" s="46">
        <f t="shared" si="80"/>
        <v>20.979986349331831</v>
      </c>
      <c r="W69" s="27">
        <f t="shared" si="81"/>
        <v>9234.5471665610476</v>
      </c>
      <c r="X69" s="26">
        <f t="shared" si="70"/>
        <v>1.0400622515117788</v>
      </c>
      <c r="Y69" s="46">
        <f t="shared" si="71"/>
        <v>15.288419176805478</v>
      </c>
      <c r="Z69" s="27">
        <f t="shared" si="72"/>
        <v>3573.4502896418985</v>
      </c>
      <c r="AA69" s="26">
        <f t="shared" si="73"/>
        <v>0.9603779782674432</v>
      </c>
      <c r="AB69" s="46">
        <f t="shared" si="74"/>
        <v>9.7992876681623127</v>
      </c>
      <c r="AC69" s="27">
        <f t="shared" si="75"/>
        <v>940.98677786861447</v>
      </c>
      <c r="AD69" s="26">
        <f t="shared" si="76"/>
        <v>0.70062237697659835</v>
      </c>
      <c r="AE69" s="69">
        <f t="shared" si="77"/>
        <v>4.5956726923229398</v>
      </c>
      <c r="AF69" s="70">
        <f t="shared" si="78"/>
        <v>97.061560840794769</v>
      </c>
      <c r="AG69" s="67">
        <f t="shared" si="79"/>
        <v>1.3903574166371631</v>
      </c>
    </row>
    <row r="70" spans="9:35" x14ac:dyDescent="0.25">
      <c r="I70" s="12" t="s">
        <v>84</v>
      </c>
      <c r="J70" s="12"/>
      <c r="K70" s="12">
        <v>0.24695097213176728</v>
      </c>
      <c r="L70" s="12">
        <v>0.27004336947668328</v>
      </c>
      <c r="M70" s="12">
        <v>0.26556472287301075</v>
      </c>
      <c r="N70" s="12">
        <v>0.24701078070750543</v>
      </c>
      <c r="O70" s="12"/>
      <c r="P70" s="12"/>
      <c r="Q70" s="12"/>
      <c r="R70" s="12"/>
      <c r="S70" s="12"/>
      <c r="T70" s="12"/>
    </row>
    <row r="71" spans="9:35" ht="15.75" thickBot="1" x14ac:dyDescent="0.3">
      <c r="I71" s="12"/>
    </row>
    <row r="72" spans="9:35" x14ac:dyDescent="0.25">
      <c r="V72" s="23" t="s">
        <v>103</v>
      </c>
      <c r="W72" s="4" t="s">
        <v>104</v>
      </c>
      <c r="X72" s="5"/>
      <c r="Y72" s="23" t="s">
        <v>103</v>
      </c>
      <c r="Z72" s="4" t="s">
        <v>104</v>
      </c>
      <c r="AA72" s="5"/>
      <c r="AB72" s="23" t="s">
        <v>103</v>
      </c>
      <c r="AC72" s="4" t="s">
        <v>104</v>
      </c>
      <c r="AD72" s="5"/>
      <c r="AE72" s="56"/>
      <c r="AF72" s="57"/>
      <c r="AG72" s="58"/>
      <c r="AI72" s="12" t="s">
        <v>107</v>
      </c>
    </row>
    <row r="73" spans="9:35" x14ac:dyDescent="0.25">
      <c r="I73" s="86" t="s">
        <v>101</v>
      </c>
      <c r="J73" s="51" t="str">
        <f>+$X$44</f>
        <v/>
      </c>
      <c r="K73" s="3" t="str">
        <f>+$X$45</f>
        <v/>
      </c>
      <c r="L73" s="3" t="str">
        <f>+$X$46</f>
        <v/>
      </c>
      <c r="M73" s="3" t="str">
        <f>+$X$47</f>
        <v/>
      </c>
      <c r="N73" s="3">
        <v>12.312126455192233</v>
      </c>
      <c r="O73" s="3" t="str">
        <f>+$X$49</f>
        <v/>
      </c>
      <c r="P73" s="3" t="str">
        <f>+$X$50</f>
        <v/>
      </c>
      <c r="Q73" s="3" t="str">
        <f>+$X$51</f>
        <v/>
      </c>
      <c r="R73" s="3" t="str">
        <f>+$X$52</f>
        <v/>
      </c>
      <c r="S73" s="3" t="str">
        <f>+$X$53</f>
        <v/>
      </c>
      <c r="T73" s="3" t="str">
        <f>+$X$54</f>
        <v/>
      </c>
      <c r="V73" s="47" t="str">
        <f>+IF(X44="","",X44*$AI$73*((I2^2+(I2/2)^2)^0.5+(J16^2+(I2/2)^2)^0.5)/3)</f>
        <v/>
      </c>
      <c r="W73" s="3" t="str">
        <f>+IF(V73="","",V73*1000/((I2^2+(I2/2)^2)^0.5+(J16^2+(I2/2)^2)^0.5)/$AI$73)</f>
        <v/>
      </c>
      <c r="X73" s="26"/>
      <c r="Y73" s="47" t="str">
        <f>+IF(AA44="","",AA44*$AI$73*((L2^2+(L2/2)^2)^0.5+(M16^2+(L2/2)^2)^0.5)/3)</f>
        <v/>
      </c>
      <c r="Z73" s="3" t="str">
        <f>+IF(Y73="","",Y73*1000/((L2^2+(L2/2)^2)^0.5+(M16^2+(L2/2)^2)^0.5)/$AI$73)</f>
        <v/>
      </c>
      <c r="AA73" s="26"/>
      <c r="AB73" s="47" t="str">
        <f>+IF(AD44="","",AD44*$AI$73*((O2^2+(O2/2)^2)^0.5+(P16^2+(O2/2)^2)^0.5)/3)</f>
        <v/>
      </c>
      <c r="AC73" s="3" t="str">
        <f>+IF(AB73="","",AB73*1000/((O2^2+(O2/2)^2)^0.5+(P16^2+(O2/2)^2)^0.5)/$AI$73)</f>
        <v/>
      </c>
      <c r="AD73" s="26"/>
      <c r="AE73" s="80"/>
      <c r="AF73" s="72"/>
      <c r="AG73" s="67"/>
      <c r="AI73" s="12">
        <v>1E-3</v>
      </c>
    </row>
    <row r="74" spans="9:35" x14ac:dyDescent="0.25">
      <c r="I74" s="87"/>
      <c r="J74" s="51" t="str">
        <f>+$AA$44</f>
        <v/>
      </c>
      <c r="K74" s="3" t="str">
        <f>+$AA$45</f>
        <v/>
      </c>
      <c r="L74" s="3" t="str">
        <f>+$AA$46</f>
        <v/>
      </c>
      <c r="M74" s="3" t="str">
        <f>+$AA$47</f>
        <v/>
      </c>
      <c r="N74" s="3">
        <v>15.581904915631016</v>
      </c>
      <c r="O74" s="3" t="str">
        <f>+$AA$49</f>
        <v/>
      </c>
      <c r="P74" s="3" t="str">
        <f>+$AA$50</f>
        <v/>
      </c>
      <c r="Q74" s="3" t="str">
        <f>+$AA$51</f>
        <v/>
      </c>
      <c r="R74" s="3" t="str">
        <f>+$AA$52</f>
        <v/>
      </c>
      <c r="S74" s="3" t="str">
        <f>+$AA$53</f>
        <v/>
      </c>
      <c r="T74" s="3" t="str">
        <f>+$AA$54</f>
        <v/>
      </c>
      <c r="V74" s="47" t="str">
        <f t="shared" ref="V74:V84" si="82">+IF(X45="","",X45*$AI$73*((I3^2+(I3/2)^2)^0.5+(J17^2+(I3/2)^2)^0.5)/3)</f>
        <v/>
      </c>
      <c r="W74" s="3" t="str">
        <f t="shared" ref="W74:W84" si="83">+IF(V74="","",V74*1000/((I3^2+(I3/2)^2)^0.5+(J17^2+(I3/2)^2)^0.5)/$AI$73)</f>
        <v/>
      </c>
      <c r="X74" s="26"/>
      <c r="Y74" s="47" t="str">
        <f t="shared" ref="Y74:Y84" si="84">+IF(AA45="","",AA45*$AI$73*((L3^2+(L3/2)^2)^0.5+(M17^2+(L3/2)^2)^0.5)/3)</f>
        <v/>
      </c>
      <c r="Z74" s="3" t="str">
        <f t="shared" ref="Z74:Z84" si="85">+IF(Y74="","",Y74*1000/((L3^2+(L3/2)^2)^0.5+(M17^2+(L3/2)^2)^0.5)/$AI$73)</f>
        <v/>
      </c>
      <c r="AA74" s="26"/>
      <c r="AB74" s="47">
        <f t="shared" ref="AB74:AB84" si="86">+IF(AD45="","",AD45*$AI$73*((O3^2+(O3/2)^2)^0.5+(P17^2+(O3/2)^2)^0.5)/3)</f>
        <v>0.33406023443690452</v>
      </c>
      <c r="AC74" s="3">
        <f t="shared" ref="AC74:AC84" si="87">+IF(AB74="","",AB74*1000/((O3^2+(O3/2)^2)^0.5+(P17^2+(O3/2)^2)^0.5)/$AI$73)</f>
        <v>7598.5322271349542</v>
      </c>
      <c r="AD74" s="26"/>
      <c r="AE74" s="80"/>
      <c r="AF74" s="72"/>
      <c r="AG74" s="67"/>
    </row>
    <row r="75" spans="9:35" x14ac:dyDescent="0.25">
      <c r="I75" s="87"/>
      <c r="J75" s="51" t="str">
        <f>+$AD$44</f>
        <v/>
      </c>
      <c r="K75" s="3">
        <f>+$AD$45</f>
        <v>22.795596681404859</v>
      </c>
      <c r="L75" s="3">
        <f>+$AD$46</f>
        <v>21.107606258508515</v>
      </c>
      <c r="M75" s="3">
        <f>+$AD$47</f>
        <v>21.209854433045248</v>
      </c>
      <c r="N75" s="3">
        <v>21.69303611417125</v>
      </c>
      <c r="O75" s="3" t="str">
        <f>+$AD$49</f>
        <v/>
      </c>
      <c r="P75" s="3" t="str">
        <f>+$AD$50</f>
        <v/>
      </c>
      <c r="Q75" s="3" t="str">
        <f>+$AD$51</f>
        <v/>
      </c>
      <c r="R75" s="3" t="str">
        <f>+$AD$52</f>
        <v/>
      </c>
      <c r="S75" s="3" t="str">
        <f>+$AD$53</f>
        <v/>
      </c>
      <c r="T75" s="3" t="str">
        <f>+$AD$54</f>
        <v/>
      </c>
      <c r="V75" s="47" t="str">
        <f t="shared" si="82"/>
        <v/>
      </c>
      <c r="W75" s="3" t="str">
        <f t="shared" si="83"/>
        <v/>
      </c>
      <c r="X75" s="26"/>
      <c r="Y75" s="47" t="str">
        <f t="shared" si="84"/>
        <v/>
      </c>
      <c r="Z75" s="3" t="str">
        <f t="shared" si="85"/>
        <v/>
      </c>
      <c r="AA75" s="26"/>
      <c r="AB75" s="47">
        <f t="shared" si="86"/>
        <v>0.2467630462260835</v>
      </c>
      <c r="AC75" s="3">
        <f t="shared" si="87"/>
        <v>7035.8687528361716</v>
      </c>
      <c r="AD75" s="26"/>
      <c r="AE75" s="80"/>
      <c r="AF75" s="72"/>
      <c r="AG75" s="67"/>
    </row>
    <row r="76" spans="9:35" x14ac:dyDescent="0.25">
      <c r="I76" s="88"/>
      <c r="J76" s="51"/>
      <c r="K76" s="3"/>
      <c r="L76" s="3"/>
      <c r="M76" s="3"/>
      <c r="N76" s="3"/>
      <c r="O76" s="3"/>
      <c r="P76" s="3"/>
      <c r="Q76" s="3"/>
      <c r="R76" s="3"/>
      <c r="S76" s="3"/>
      <c r="T76" s="3"/>
      <c r="V76" s="47" t="str">
        <f t="shared" si="82"/>
        <v/>
      </c>
      <c r="W76" s="3" t="str">
        <f t="shared" si="83"/>
        <v/>
      </c>
      <c r="X76" s="26"/>
      <c r="Y76" s="47" t="str">
        <f t="shared" si="84"/>
        <v/>
      </c>
      <c r="Z76" s="3" t="str">
        <f t="shared" si="85"/>
        <v/>
      </c>
      <c r="AA76" s="26"/>
      <c r="AB76" s="47">
        <f t="shared" si="86"/>
        <v>0.257925585522711</v>
      </c>
      <c r="AC76" s="3">
        <f t="shared" si="87"/>
        <v>7069.9514776817487</v>
      </c>
      <c r="AD76" s="26"/>
      <c r="AE76" s="80"/>
      <c r="AF76" s="72"/>
      <c r="AG76" s="67"/>
    </row>
    <row r="77" spans="9:35" x14ac:dyDescent="0.25">
      <c r="V77" s="47">
        <f t="shared" si="82"/>
        <v>2.7342455394222509</v>
      </c>
      <c r="W77" s="3">
        <f t="shared" si="83"/>
        <v>24008.265637828237</v>
      </c>
      <c r="X77" s="26"/>
      <c r="Y77" s="47">
        <f t="shared" si="84"/>
        <v>1.2616558283596067</v>
      </c>
      <c r="Z77" s="3">
        <f t="shared" si="85"/>
        <v>15693.621228165008</v>
      </c>
      <c r="AA77" s="26"/>
      <c r="AB77" s="47">
        <f t="shared" si="86"/>
        <v>0.35022355436770547</v>
      </c>
      <c r="AC77" s="3">
        <f t="shared" si="87"/>
        <v>7072.7147870739473</v>
      </c>
      <c r="AD77" s="26"/>
      <c r="AE77" s="80"/>
      <c r="AF77" s="72"/>
      <c r="AG77" s="67"/>
    </row>
    <row r="78" spans="9:35" x14ac:dyDescent="0.25">
      <c r="I78" s="85" t="s">
        <v>82</v>
      </c>
      <c r="J78" s="51">
        <f>+Acc_crit_perType!I64</f>
        <v>1473.0430245036134</v>
      </c>
      <c r="K78" s="51">
        <f>+Acc_crit_perType!J64</f>
        <v>9562.9867792074128</v>
      </c>
      <c r="L78" s="51">
        <f>+Acc_crit_perType!K64</f>
        <v>6024.037450682149</v>
      </c>
      <c r="M78" s="51">
        <f>+Acc_crit_perType!L64</f>
        <v>6596.7533040212002</v>
      </c>
      <c r="N78" s="51">
        <f>+Acc_crit_perType!M64</f>
        <v>11840.108141462899</v>
      </c>
      <c r="O78" s="51">
        <f>+Acc_crit_perType!N64</f>
        <v>99.511042220255206</v>
      </c>
      <c r="P78" s="51">
        <f>+Acc_crit_perType!O64</f>
        <v>99.511042220255206</v>
      </c>
      <c r="Q78" s="51">
        <f>+Acc_crit_perType!P64</f>
        <v>87.799028478610083</v>
      </c>
      <c r="R78" s="51">
        <f>+Acc_crit_perType!Q64</f>
        <v>159.21448235154966</v>
      </c>
      <c r="S78" s="51">
        <f>+Acc_crit_perType!R64</f>
        <v>1502.2975102487555</v>
      </c>
      <c r="T78" s="51">
        <f>+Acc_crit_perType!S64</f>
        <v>864.55398385479066</v>
      </c>
      <c r="V78" s="47" t="str">
        <f t="shared" si="82"/>
        <v/>
      </c>
      <c r="W78" s="3" t="str">
        <f t="shared" si="83"/>
        <v/>
      </c>
      <c r="X78" s="26"/>
      <c r="Y78" s="47" t="str">
        <f t="shared" si="84"/>
        <v/>
      </c>
      <c r="Z78" s="3" t="str">
        <f t="shared" si="85"/>
        <v/>
      </c>
      <c r="AA78" s="26"/>
      <c r="AB78" s="47" t="str">
        <f t="shared" si="86"/>
        <v/>
      </c>
      <c r="AC78" s="3" t="str">
        <f t="shared" si="87"/>
        <v/>
      </c>
      <c r="AD78" s="26"/>
      <c r="AE78" s="80"/>
      <c r="AF78" s="72"/>
      <c r="AG78" s="67"/>
    </row>
    <row r="79" spans="9:35" x14ac:dyDescent="0.25">
      <c r="I79" s="85"/>
      <c r="J79" s="51">
        <f>+Acc_crit_perType!I65</f>
        <v>579.44229796172351</v>
      </c>
      <c r="K79" s="51">
        <f>+Acc_crit_perType!J65</f>
        <v>3708.2760536514597</v>
      </c>
      <c r="L79" s="51">
        <f>+Acc_crit_perType!K65</f>
        <v>2351.9193225200042</v>
      </c>
      <c r="M79" s="51">
        <f>+Acc_crit_perType!L65</f>
        <v>2571.2178793540406</v>
      </c>
      <c r="N79" s="51">
        <f>+Acc_crit_perType!M65</f>
        <v>4562.9477017464087</v>
      </c>
      <c r="O79" s="51">
        <f>+Acc_crit_perType!N65</f>
        <v>39.732312704752545</v>
      </c>
      <c r="P79" s="51">
        <f>+Acc_crit_perType!O65</f>
        <v>39.732312704752545</v>
      </c>
      <c r="Q79" s="51">
        <f>+Acc_crit_perType!P65</f>
        <v>35.087169504353149</v>
      </c>
      <c r="R79" s="51">
        <f>+Acc_crit_perType!Q65</f>
        <v>62.99924811908236</v>
      </c>
      <c r="S79" s="51">
        <f>+Acc_crit_perType!R65</f>
        <v>590.68319011375195</v>
      </c>
      <c r="T79" s="51">
        <f>+Acc_crit_perType!S65</f>
        <v>343.75585722474813</v>
      </c>
      <c r="V79" s="47" t="str">
        <f t="shared" si="82"/>
        <v/>
      </c>
      <c r="W79" s="3" t="str">
        <f t="shared" si="83"/>
        <v/>
      </c>
      <c r="X79" s="26"/>
      <c r="Y79" s="47" t="str">
        <f t="shared" si="84"/>
        <v/>
      </c>
      <c r="Z79" s="3" t="str">
        <f t="shared" si="85"/>
        <v/>
      </c>
      <c r="AA79" s="26"/>
      <c r="AB79" s="47" t="str">
        <f t="shared" si="86"/>
        <v/>
      </c>
      <c r="AC79" s="3" t="str">
        <f t="shared" si="87"/>
        <v/>
      </c>
      <c r="AD79" s="26"/>
      <c r="AE79" s="80"/>
      <c r="AF79" s="72"/>
      <c r="AG79" s="67"/>
    </row>
    <row r="80" spans="9:35" x14ac:dyDescent="0.25">
      <c r="I80" s="85"/>
      <c r="J80" s="51">
        <f>+Acc_crit_perType!I66</f>
        <v>156.3462769484432</v>
      </c>
      <c r="K80" s="51">
        <f>+Acc_crit_perType!J66</f>
        <v>980.19591113388651</v>
      </c>
      <c r="L80" s="51">
        <f>+Acc_crit_perType!K66</f>
        <v>626.03668858726121</v>
      </c>
      <c r="M80" s="51">
        <f>+Acc_crit_perType!L66</f>
        <v>683.58159679070411</v>
      </c>
      <c r="N80" s="51">
        <f>+Acc_crit_perType!M66</f>
        <v>1195.3733474009266</v>
      </c>
      <c r="O80" s="51">
        <f>+Acc_crit_perType!N66</f>
        <v>10.960946906084041</v>
      </c>
      <c r="P80" s="51">
        <f>+Acc_crit_perType!O66</f>
        <v>10.960946906084041</v>
      </c>
      <c r="Q80" s="51">
        <f>+Acc_crit_perType!P66</f>
        <v>9.6926181405511382</v>
      </c>
      <c r="R80" s="51">
        <f>+Acc_crit_perType!Q66</f>
        <v>17.155361771669252</v>
      </c>
      <c r="S80" s="51">
        <f>+Acc_crit_perType!R66</f>
        <v>159.21448235154966</v>
      </c>
      <c r="T80" s="51">
        <f>+Acc_crit_perType!S66</f>
        <v>94.180296781635661</v>
      </c>
      <c r="V80" s="47" t="str">
        <f t="shared" si="82"/>
        <v/>
      </c>
      <c r="W80" s="3" t="str">
        <f t="shared" si="83"/>
        <v/>
      </c>
      <c r="X80" s="26"/>
      <c r="Y80" s="47" t="str">
        <f t="shared" si="84"/>
        <v/>
      </c>
      <c r="Z80" s="3" t="str">
        <f t="shared" si="85"/>
        <v/>
      </c>
      <c r="AA80" s="26"/>
      <c r="AB80" s="47" t="str">
        <f t="shared" si="86"/>
        <v/>
      </c>
      <c r="AC80" s="3" t="str">
        <f t="shared" si="87"/>
        <v/>
      </c>
      <c r="AD80" s="26"/>
      <c r="AE80" s="80"/>
      <c r="AF80" s="72"/>
      <c r="AG80" s="67"/>
    </row>
    <row r="81" spans="9:33" x14ac:dyDescent="0.25">
      <c r="I81" s="85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V81" s="47" t="str">
        <f t="shared" si="82"/>
        <v/>
      </c>
      <c r="W81" s="3" t="str">
        <f t="shared" si="83"/>
        <v/>
      </c>
      <c r="X81" s="26"/>
      <c r="Y81" s="47" t="str">
        <f t="shared" si="84"/>
        <v/>
      </c>
      <c r="Z81" s="3" t="str">
        <f t="shared" si="85"/>
        <v/>
      </c>
      <c r="AA81" s="26"/>
      <c r="AB81" s="47" t="str">
        <f t="shared" si="86"/>
        <v/>
      </c>
      <c r="AC81" s="3" t="str">
        <f t="shared" si="87"/>
        <v/>
      </c>
      <c r="AD81" s="26"/>
      <c r="AE81" s="80"/>
      <c r="AF81" s="72"/>
      <c r="AG81" s="67"/>
    </row>
    <row r="82" spans="9:33" x14ac:dyDescent="0.25">
      <c r="V82" s="47" t="str">
        <f t="shared" si="82"/>
        <v/>
      </c>
      <c r="W82" s="3" t="str">
        <f t="shared" si="83"/>
        <v/>
      </c>
      <c r="X82" s="26"/>
      <c r="Y82" s="47" t="str">
        <f t="shared" si="84"/>
        <v/>
      </c>
      <c r="Z82" s="3" t="str">
        <f t="shared" si="85"/>
        <v/>
      </c>
      <c r="AA82" s="26"/>
      <c r="AB82" s="47" t="str">
        <f t="shared" si="86"/>
        <v/>
      </c>
      <c r="AC82" s="3" t="str">
        <f t="shared" si="87"/>
        <v/>
      </c>
      <c r="AD82" s="26"/>
      <c r="AE82" s="80"/>
      <c r="AF82" s="72"/>
      <c r="AG82" s="67"/>
    </row>
    <row r="83" spans="9:33" x14ac:dyDescent="0.25">
      <c r="J83">
        <f>+J$69*J78^(-J$70)</f>
        <v>0</v>
      </c>
      <c r="K83">
        <f t="shared" ref="K83:T83" si="88">+K$69*K78^(-K$70)</f>
        <v>12.988139429297608</v>
      </c>
      <c r="L83">
        <f t="shared" si="88"/>
        <v>11.454242287073615</v>
      </c>
      <c r="M83">
        <f t="shared" si="88"/>
        <v>11.616653843089143</v>
      </c>
      <c r="N83">
        <f t="shared" si="88"/>
        <v>12.312156408123913</v>
      </c>
      <c r="O83">
        <f t="shared" si="88"/>
        <v>0</v>
      </c>
      <c r="P83">
        <f t="shared" si="88"/>
        <v>0</v>
      </c>
      <c r="Q83">
        <f t="shared" si="88"/>
        <v>0</v>
      </c>
      <c r="R83">
        <f t="shared" si="88"/>
        <v>0</v>
      </c>
      <c r="S83">
        <f t="shared" si="88"/>
        <v>0</v>
      </c>
      <c r="T83">
        <f t="shared" si="88"/>
        <v>0</v>
      </c>
      <c r="V83" s="47" t="str">
        <f t="shared" si="82"/>
        <v/>
      </c>
      <c r="W83" s="3" t="str">
        <f t="shared" si="83"/>
        <v/>
      </c>
      <c r="X83" s="26"/>
      <c r="Y83" s="47" t="str">
        <f t="shared" si="84"/>
        <v/>
      </c>
      <c r="Z83" s="3" t="str">
        <f t="shared" si="85"/>
        <v/>
      </c>
      <c r="AA83" s="26"/>
      <c r="AB83" s="47" t="str">
        <f t="shared" si="86"/>
        <v/>
      </c>
      <c r="AC83" s="3" t="str">
        <f t="shared" si="87"/>
        <v/>
      </c>
      <c r="AD83" s="26"/>
      <c r="AE83" s="80"/>
      <c r="AF83" s="72"/>
      <c r="AG83" s="67"/>
    </row>
    <row r="84" spans="9:33" x14ac:dyDescent="0.25">
      <c r="J84">
        <f t="shared" ref="J84:T85" si="89">+J$69*J79^(-J$70)</f>
        <v>0</v>
      </c>
      <c r="K84">
        <f t="shared" si="89"/>
        <v>16.411485041354371</v>
      </c>
      <c r="L84">
        <f t="shared" si="89"/>
        <v>14.766232282434411</v>
      </c>
      <c r="M84">
        <f t="shared" si="89"/>
        <v>14.919279132017754</v>
      </c>
      <c r="N84">
        <f t="shared" si="89"/>
        <v>15.582021608755451</v>
      </c>
      <c r="O84">
        <f t="shared" si="89"/>
        <v>0</v>
      </c>
      <c r="P84">
        <f t="shared" si="89"/>
        <v>0</v>
      </c>
      <c r="Q84">
        <f t="shared" si="89"/>
        <v>0</v>
      </c>
      <c r="R84">
        <f t="shared" si="89"/>
        <v>0</v>
      </c>
      <c r="S84">
        <f t="shared" si="89"/>
        <v>0</v>
      </c>
      <c r="T84">
        <f t="shared" si="89"/>
        <v>0</v>
      </c>
      <c r="V84" s="47" t="str">
        <f t="shared" si="82"/>
        <v/>
      </c>
      <c r="W84" s="3" t="str">
        <f t="shared" si="83"/>
        <v/>
      </c>
      <c r="X84" s="26"/>
      <c r="Y84" s="47">
        <f t="shared" si="84"/>
        <v>1.0589620544335683</v>
      </c>
      <c r="Z84" s="3">
        <f t="shared" si="85"/>
        <v>15352.510346183713</v>
      </c>
      <c r="AA84" s="26"/>
      <c r="AB84" s="47">
        <f t="shared" si="86"/>
        <v>0.29330985275021337</v>
      </c>
      <c r="AC84" s="3">
        <f t="shared" si="87"/>
        <v>6827.4550528421987</v>
      </c>
      <c r="AD84" s="26"/>
      <c r="AE84" s="80"/>
      <c r="AF84" s="72"/>
      <c r="AG84" s="67"/>
    </row>
    <row r="85" spans="9:33" x14ac:dyDescent="0.25">
      <c r="J85">
        <f t="shared" si="89"/>
        <v>0</v>
      </c>
      <c r="K85">
        <f t="shared" si="89"/>
        <v>22.795586214766963</v>
      </c>
      <c r="L85">
        <f t="shared" si="89"/>
        <v>21.110413345942181</v>
      </c>
      <c r="M85">
        <f t="shared" si="89"/>
        <v>21.209972672413365</v>
      </c>
      <c r="N85">
        <f t="shared" si="89"/>
        <v>21.693035591348362</v>
      </c>
      <c r="O85">
        <f t="shared" si="89"/>
        <v>0</v>
      </c>
      <c r="P85">
        <f t="shared" si="89"/>
        <v>0</v>
      </c>
      <c r="Q85">
        <f t="shared" si="89"/>
        <v>0</v>
      </c>
      <c r="R85">
        <f t="shared" si="89"/>
        <v>0</v>
      </c>
      <c r="S85">
        <f t="shared" si="89"/>
        <v>0</v>
      </c>
      <c r="T85">
        <f t="shared" si="89"/>
        <v>0</v>
      </c>
    </row>
    <row r="88" spans="9:33" x14ac:dyDescent="0.25">
      <c r="N88">
        <f t="shared" ref="N88" si="90">+(N83-N73)^2</f>
        <v>8.971781162174108E-10</v>
      </c>
    </row>
    <row r="89" spans="9:33" x14ac:dyDescent="0.25">
      <c r="N89">
        <f t="shared" ref="L89:N90" si="91">+(N84-N74)^2</f>
        <v>1.3617285290290204E-8</v>
      </c>
    </row>
    <row r="90" spans="9:33" x14ac:dyDescent="0.25">
      <c r="K90">
        <f>+(K85-K75)^2</f>
        <v>1.0955050884483284E-10</v>
      </c>
      <c r="L90">
        <f t="shared" si="91"/>
        <v>7.8797398602473153E-6</v>
      </c>
      <c r="M90">
        <f t="shared" si="91"/>
        <v>1.3980548172694619E-8</v>
      </c>
      <c r="N90">
        <f t="shared" si="91"/>
        <v>2.7334377138602113E-13</v>
      </c>
    </row>
    <row r="93" spans="9:33" x14ac:dyDescent="0.25">
      <c r="J93">
        <f>+SUM(J88:J91)</f>
        <v>0</v>
      </c>
      <c r="K93">
        <f>+SUM(K88:K91)</f>
        <v>1.0955050884483284E-10</v>
      </c>
      <c r="L93">
        <f t="shared" ref="L93:T93" si="92">+SUM(L88:L91)</f>
        <v>7.8797398602473153E-6</v>
      </c>
      <c r="M93">
        <f t="shared" si="92"/>
        <v>1.3980548172694619E-8</v>
      </c>
      <c r="N93">
        <f t="shared" si="92"/>
        <v>1.4514736750279001E-8</v>
      </c>
      <c r="O93">
        <f t="shared" si="92"/>
        <v>0</v>
      </c>
      <c r="P93">
        <f t="shared" si="92"/>
        <v>0</v>
      </c>
      <c r="Q93">
        <f t="shared" si="92"/>
        <v>0</v>
      </c>
      <c r="R93">
        <f t="shared" si="92"/>
        <v>0</v>
      </c>
      <c r="S93">
        <f t="shared" si="92"/>
        <v>0</v>
      </c>
      <c r="T93">
        <f t="shared" si="92"/>
        <v>0</v>
      </c>
    </row>
  </sheetData>
  <mergeCells count="2">
    <mergeCell ref="I73:I76"/>
    <mergeCell ref="I78:I81"/>
  </mergeCells>
  <conditionalFormatting sqref="X30:X41">
    <cfRule type="cellIs" dxfId="9" priority="24" operator="lessThan">
      <formula>1</formula>
    </cfRule>
  </conditionalFormatting>
  <conditionalFormatting sqref="AA30:AA41 AD30:AD41 AG30:AG41">
    <cfRule type="cellIs" dxfId="8" priority="22" operator="lessThan">
      <formula>1</formula>
    </cfRule>
  </conditionalFormatting>
  <conditionalFormatting sqref="AG44:AG55">
    <cfRule type="cellIs" dxfId="7" priority="17" operator="lessThan">
      <formula>1</formula>
    </cfRule>
  </conditionalFormatting>
  <conditionalFormatting sqref="V58:V69">
    <cfRule type="cellIs" dxfId="6" priority="16" operator="greaterThan">
      <formula>5</formula>
    </cfRule>
  </conditionalFormatting>
  <conditionalFormatting sqref="X58:X69">
    <cfRule type="cellIs" dxfId="5" priority="12" operator="lessThan">
      <formula>1</formula>
    </cfRule>
  </conditionalFormatting>
  <conditionalFormatting sqref="Y58:Y69 AB58:AB69 AE58:AE69">
    <cfRule type="cellIs" dxfId="4" priority="11" operator="greaterThan">
      <formula>5</formula>
    </cfRule>
  </conditionalFormatting>
  <conditionalFormatting sqref="AG58:AG69">
    <cfRule type="cellIs" dxfId="3" priority="10" operator="lessThan">
      <formula>1</formula>
    </cfRule>
  </conditionalFormatting>
  <conditionalFormatting sqref="AL34:AL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1:AL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8:AA69">
    <cfRule type="cellIs" dxfId="2" priority="3" operator="lessThan">
      <formula>1</formula>
    </cfRule>
  </conditionalFormatting>
  <conditionalFormatting sqref="AD58:AD69">
    <cfRule type="cellIs" dxfId="1" priority="2" operator="lessThan">
      <formula>1</formula>
    </cfRule>
  </conditionalFormatting>
  <conditionalFormatting sqref="AG73:AG84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CFE4C-F244-47C2-BE3D-ADD7E6B12505}">
  <dimension ref="A1:T25"/>
  <sheetViews>
    <sheetView zoomScaleNormal="100" workbookViewId="0">
      <selection activeCell="H19" sqref="H19"/>
    </sheetView>
  </sheetViews>
  <sheetFormatPr defaultRowHeight="15" x14ac:dyDescent="0.25"/>
  <cols>
    <col min="2" max="2" width="21" customWidth="1"/>
    <col min="3" max="3" width="21.85546875" customWidth="1"/>
    <col min="9" max="20" width="6.42578125" style="12" customWidth="1"/>
  </cols>
  <sheetData>
    <row r="1" spans="1:20" x14ac:dyDescent="0.25">
      <c r="A1" s="12" t="s">
        <v>4</v>
      </c>
      <c r="B1" t="s">
        <v>5</v>
      </c>
      <c r="C1" t="s">
        <v>6</v>
      </c>
      <c r="D1" s="14" t="s">
        <v>0</v>
      </c>
      <c r="E1" s="13" t="s">
        <v>7</v>
      </c>
      <c r="F1" s="13" t="s">
        <v>8</v>
      </c>
      <c r="G1" s="13" t="s">
        <v>9</v>
      </c>
      <c r="H1" s="13" t="s">
        <v>3</v>
      </c>
      <c r="I1" s="13" t="s">
        <v>10</v>
      </c>
      <c r="J1" s="14" t="s">
        <v>1</v>
      </c>
      <c r="K1" s="15" t="s">
        <v>47</v>
      </c>
      <c r="L1" s="13" t="s">
        <v>44</v>
      </c>
      <c r="M1" s="14" t="s">
        <v>1</v>
      </c>
      <c r="N1" s="15" t="s">
        <v>47</v>
      </c>
      <c r="O1" s="13" t="s">
        <v>45</v>
      </c>
      <c r="P1" s="14" t="s">
        <v>1</v>
      </c>
      <c r="Q1" s="15" t="s">
        <v>47</v>
      </c>
      <c r="R1" s="13" t="s">
        <v>46</v>
      </c>
      <c r="S1" s="14" t="s">
        <v>1</v>
      </c>
      <c r="T1" s="15" t="s">
        <v>47</v>
      </c>
    </row>
    <row r="2" spans="1:20" x14ac:dyDescent="0.25">
      <c r="A2" s="12"/>
      <c r="B2" s="91" t="s">
        <v>11</v>
      </c>
      <c r="C2" s="16" t="s">
        <v>12</v>
      </c>
      <c r="D2" s="17">
        <v>2.4</v>
      </c>
      <c r="E2" s="13">
        <v>100</v>
      </c>
      <c r="F2" s="13">
        <v>40</v>
      </c>
      <c r="G2" s="13">
        <v>10</v>
      </c>
      <c r="H2" s="13">
        <v>1</v>
      </c>
      <c r="I2" s="13">
        <v>20</v>
      </c>
      <c r="J2" s="13">
        <v>48.14</v>
      </c>
      <c r="K2" s="13">
        <v>0.18</v>
      </c>
      <c r="L2" s="13">
        <f>+I2/4*3</f>
        <v>15</v>
      </c>
      <c r="M2" s="13">
        <v>50.12</v>
      </c>
      <c r="N2" s="13">
        <v>0.154</v>
      </c>
      <c r="O2" s="13">
        <f>+I2/2</f>
        <v>10</v>
      </c>
      <c r="P2" s="13">
        <v>52.78</v>
      </c>
      <c r="Q2" s="13">
        <v>0.126</v>
      </c>
      <c r="R2" s="13">
        <f>+I2/4</f>
        <v>5</v>
      </c>
      <c r="S2" s="13">
        <v>56.94</v>
      </c>
      <c r="T2" s="13">
        <v>9.4E-2</v>
      </c>
    </row>
    <row r="3" spans="1:20" x14ac:dyDescent="0.25">
      <c r="A3" s="12"/>
      <c r="B3" s="91"/>
      <c r="C3" s="16" t="s">
        <v>13</v>
      </c>
      <c r="D3" s="17">
        <v>2.4</v>
      </c>
      <c r="E3" s="13">
        <v>50</v>
      </c>
      <c r="F3" s="13">
        <v>35</v>
      </c>
      <c r="G3" s="13">
        <v>5</v>
      </c>
      <c r="H3" s="13">
        <v>1</v>
      </c>
      <c r="I3" s="13">
        <v>30</v>
      </c>
      <c r="J3" s="12">
        <v>25.2</v>
      </c>
      <c r="K3" s="13">
        <v>9.2999999999999999E-2</v>
      </c>
      <c r="L3" s="13">
        <f t="shared" ref="L3:L13" si="0">+I3/4*3</f>
        <v>22.5</v>
      </c>
      <c r="M3" s="13">
        <v>27.11</v>
      </c>
      <c r="N3" s="13">
        <v>8.1000000000000003E-2</v>
      </c>
      <c r="O3" s="13">
        <f t="shared" ref="O3:O13" si="1">+I3/2</f>
        <v>15</v>
      </c>
      <c r="P3" s="13">
        <v>29.85</v>
      </c>
      <c r="Q3" s="13">
        <v>6.8000000000000005E-2</v>
      </c>
      <c r="R3" s="13">
        <f t="shared" ref="R3:R13" si="2">+I3/4</f>
        <v>7.5</v>
      </c>
      <c r="S3" s="13">
        <v>34.54</v>
      </c>
      <c r="T3" s="13">
        <v>5.1999999999999998E-2</v>
      </c>
    </row>
    <row r="4" spans="1:20" x14ac:dyDescent="0.25">
      <c r="A4" s="12"/>
      <c r="B4" s="91" t="s">
        <v>14</v>
      </c>
      <c r="C4" s="16" t="s">
        <v>15</v>
      </c>
      <c r="D4" s="17">
        <v>2.4</v>
      </c>
      <c r="E4" s="13">
        <v>50</v>
      </c>
      <c r="F4" s="13">
        <v>35</v>
      </c>
      <c r="G4" s="13">
        <v>20</v>
      </c>
      <c r="H4" s="13">
        <v>1</v>
      </c>
      <c r="I4" s="13">
        <v>30</v>
      </c>
      <c r="J4" s="13">
        <v>36.76</v>
      </c>
      <c r="K4" s="13">
        <v>0.14099999999999999</v>
      </c>
      <c r="L4" s="13">
        <f t="shared" si="0"/>
        <v>22.5</v>
      </c>
      <c r="M4" s="13">
        <v>38.909999999999997</v>
      </c>
      <c r="N4" s="13">
        <v>0.11899999999999999</v>
      </c>
      <c r="O4" s="13">
        <f t="shared" si="1"/>
        <v>15</v>
      </c>
      <c r="P4" s="13">
        <v>41.94</v>
      </c>
      <c r="Q4" s="13">
        <v>9.2999999999999999E-2</v>
      </c>
      <c r="R4" s="13">
        <f t="shared" si="2"/>
        <v>7.5</v>
      </c>
      <c r="S4" s="13">
        <v>46.96</v>
      </c>
      <c r="T4" s="13">
        <v>6.2E-2</v>
      </c>
    </row>
    <row r="5" spans="1:20" x14ac:dyDescent="0.25">
      <c r="A5" s="12"/>
      <c r="B5" s="91"/>
      <c r="C5" s="16" t="s">
        <v>16</v>
      </c>
      <c r="D5" s="17">
        <v>2.4</v>
      </c>
      <c r="E5" s="13">
        <v>50</v>
      </c>
      <c r="F5" s="13">
        <v>35</v>
      </c>
      <c r="G5" s="13">
        <v>15</v>
      </c>
      <c r="H5" s="13">
        <v>1</v>
      </c>
      <c r="I5" s="13">
        <v>30</v>
      </c>
      <c r="J5" s="13">
        <v>34.299999999999997</v>
      </c>
      <c r="K5" s="13">
        <v>0.129</v>
      </c>
      <c r="L5" s="13">
        <f t="shared" si="0"/>
        <v>22.5</v>
      </c>
      <c r="M5" s="13">
        <v>36.44</v>
      </c>
      <c r="N5" s="13">
        <v>0.109</v>
      </c>
      <c r="O5" s="13">
        <f t="shared" si="1"/>
        <v>15</v>
      </c>
      <c r="P5" s="13">
        <v>39.450000000000003</v>
      </c>
      <c r="Q5" s="13">
        <v>8.5999999999999993E-2</v>
      </c>
      <c r="R5" s="13">
        <f t="shared" si="2"/>
        <v>7.5</v>
      </c>
      <c r="S5" s="13">
        <v>44.5</v>
      </c>
      <c r="T5" s="13">
        <v>5.8999999999999997E-2</v>
      </c>
    </row>
    <row r="6" spans="1:20" x14ac:dyDescent="0.25">
      <c r="A6" s="12"/>
      <c r="B6" s="91"/>
      <c r="C6" s="16" t="s">
        <v>17</v>
      </c>
      <c r="D6" s="17">
        <v>2.4</v>
      </c>
      <c r="E6" s="13">
        <v>25</v>
      </c>
      <c r="F6" s="13">
        <v>35</v>
      </c>
      <c r="G6" s="13">
        <v>5</v>
      </c>
      <c r="H6" s="13">
        <v>1</v>
      </c>
      <c r="I6" s="13">
        <v>30</v>
      </c>
      <c r="J6" s="13">
        <v>20.81</v>
      </c>
      <c r="K6" s="13">
        <v>6.6000000000000003E-2</v>
      </c>
      <c r="L6" s="13">
        <f t="shared" si="0"/>
        <v>22.5</v>
      </c>
      <c r="M6" s="13">
        <v>22.59</v>
      </c>
      <c r="N6" s="13">
        <v>5.7000000000000002E-2</v>
      </c>
      <c r="O6" s="13">
        <f t="shared" si="1"/>
        <v>15</v>
      </c>
      <c r="P6" s="13">
        <v>25.2</v>
      </c>
      <c r="Q6" s="13">
        <v>4.7E-2</v>
      </c>
      <c r="R6" s="13">
        <f t="shared" si="2"/>
        <v>7.5</v>
      </c>
      <c r="S6" s="13">
        <v>25.2</v>
      </c>
      <c r="T6" s="13">
        <v>4.7E-2</v>
      </c>
    </row>
    <row r="7" spans="1:20" x14ac:dyDescent="0.25">
      <c r="A7" s="12"/>
      <c r="B7" s="91" t="s">
        <v>18</v>
      </c>
      <c r="C7" s="16" t="s">
        <v>19</v>
      </c>
      <c r="D7" s="17">
        <v>2.7</v>
      </c>
      <c r="E7" s="13">
        <v>150</v>
      </c>
      <c r="F7" s="13">
        <v>50</v>
      </c>
      <c r="G7" s="13">
        <v>20</v>
      </c>
      <c r="H7" s="13">
        <v>1</v>
      </c>
      <c r="I7" s="13">
        <v>10</v>
      </c>
      <c r="J7" s="13">
        <v>59.16</v>
      </c>
      <c r="K7" s="13">
        <v>0.29399999999999998</v>
      </c>
      <c r="L7" s="13">
        <f>+I7/4*3</f>
        <v>7.5</v>
      </c>
      <c r="M7" s="13">
        <v>60.53</v>
      </c>
      <c r="N7" s="13">
        <v>0.27400000000000002</v>
      </c>
      <c r="O7" s="13">
        <f>+I7/2</f>
        <v>5</v>
      </c>
      <c r="P7" s="13">
        <v>62.25</v>
      </c>
      <c r="Q7" s="13">
        <v>0.253</v>
      </c>
      <c r="R7" s="13">
        <f>+I7/4</f>
        <v>2.5</v>
      </c>
      <c r="S7" s="13">
        <v>64.61</v>
      </c>
      <c r="T7" s="13">
        <v>0.23300000000000001</v>
      </c>
    </row>
    <row r="8" spans="1:20" x14ac:dyDescent="0.25">
      <c r="A8" s="12"/>
      <c r="B8" s="91"/>
      <c r="C8" s="16" t="s">
        <v>20</v>
      </c>
      <c r="D8" s="17">
        <v>2.7</v>
      </c>
      <c r="E8" s="13">
        <v>150</v>
      </c>
      <c r="F8" s="13">
        <v>50</v>
      </c>
      <c r="G8" s="13">
        <v>20</v>
      </c>
      <c r="H8" s="13">
        <v>1</v>
      </c>
      <c r="I8" s="13">
        <v>10</v>
      </c>
      <c r="J8" s="13">
        <v>59.16</v>
      </c>
      <c r="K8" s="13">
        <v>0.29399999999999998</v>
      </c>
      <c r="L8" s="13">
        <f>+I8/4*3</f>
        <v>7.5</v>
      </c>
      <c r="M8" s="13">
        <v>60.53</v>
      </c>
      <c r="N8" s="13">
        <v>0.27400000000000002</v>
      </c>
      <c r="O8" s="13">
        <f>+I8/2</f>
        <v>5</v>
      </c>
      <c r="P8" s="13">
        <v>62.25</v>
      </c>
      <c r="Q8" s="13">
        <v>0.253</v>
      </c>
      <c r="R8" s="13">
        <f>+I8/4</f>
        <v>2.5</v>
      </c>
      <c r="S8" s="13">
        <v>64.61</v>
      </c>
      <c r="T8" s="13">
        <v>0.23300000000000001</v>
      </c>
    </row>
    <row r="9" spans="1:20" x14ac:dyDescent="0.25">
      <c r="A9" s="12"/>
      <c r="B9" s="91" t="s">
        <v>21</v>
      </c>
      <c r="C9" s="16" t="s">
        <v>22</v>
      </c>
      <c r="D9" s="17">
        <v>2.7</v>
      </c>
      <c r="E9" s="13">
        <v>200</v>
      </c>
      <c r="F9" s="13">
        <v>50</v>
      </c>
      <c r="G9" s="13">
        <v>25</v>
      </c>
      <c r="H9" s="13">
        <v>1</v>
      </c>
      <c r="I9" s="13">
        <v>10</v>
      </c>
      <c r="J9" s="13">
        <v>62.22</v>
      </c>
      <c r="K9" s="13">
        <v>0.35099999999999998</v>
      </c>
      <c r="L9" s="13">
        <f t="shared" si="0"/>
        <v>7.5</v>
      </c>
      <c r="M9" s="13">
        <v>63.48</v>
      </c>
      <c r="N9" s="13">
        <v>0.32700000000000001</v>
      </c>
      <c r="O9" s="13">
        <f t="shared" si="1"/>
        <v>5</v>
      </c>
      <c r="P9" s="13">
        <v>65.05</v>
      </c>
      <c r="Q9" s="13">
        <v>0.30199999999999999</v>
      </c>
      <c r="R9" s="13">
        <f t="shared" si="2"/>
        <v>2.5</v>
      </c>
      <c r="S9" s="13">
        <v>67.19</v>
      </c>
      <c r="T9" s="13">
        <v>0.27900000000000003</v>
      </c>
    </row>
    <row r="10" spans="1:20" x14ac:dyDescent="0.25">
      <c r="A10" s="12"/>
      <c r="B10" s="91"/>
      <c r="C10" s="16" t="s">
        <v>23</v>
      </c>
      <c r="D10" s="17">
        <v>2.7</v>
      </c>
      <c r="E10" s="13">
        <v>100</v>
      </c>
      <c r="F10" s="13">
        <v>40</v>
      </c>
      <c r="G10" s="13">
        <v>10</v>
      </c>
      <c r="H10" s="13">
        <v>1</v>
      </c>
      <c r="I10" s="13">
        <v>10</v>
      </c>
      <c r="J10" s="13">
        <v>46.31</v>
      </c>
      <c r="K10" s="13">
        <v>0.126</v>
      </c>
      <c r="L10" s="13">
        <f t="shared" si="0"/>
        <v>7.5</v>
      </c>
      <c r="M10" s="13">
        <v>48.14</v>
      </c>
      <c r="N10" s="13">
        <v>0.115</v>
      </c>
      <c r="O10" s="13">
        <f t="shared" si="1"/>
        <v>5</v>
      </c>
      <c r="P10" s="13">
        <v>50.53</v>
      </c>
      <c r="Q10" s="13">
        <v>0.10299999999999999</v>
      </c>
      <c r="R10" s="13">
        <f t="shared" si="2"/>
        <v>2.5</v>
      </c>
      <c r="S10" s="13">
        <v>54.05</v>
      </c>
      <c r="T10" s="13">
        <v>0.09</v>
      </c>
    </row>
    <row r="11" spans="1:20" x14ac:dyDescent="0.25">
      <c r="A11" s="12"/>
      <c r="B11" s="91"/>
      <c r="C11" s="16" t="s">
        <v>24</v>
      </c>
      <c r="D11" s="17">
        <v>2.7</v>
      </c>
      <c r="E11" s="13">
        <v>100</v>
      </c>
      <c r="F11" s="13">
        <v>40</v>
      </c>
      <c r="G11" s="13">
        <v>10</v>
      </c>
      <c r="H11" s="13">
        <v>1</v>
      </c>
      <c r="I11" s="13">
        <v>20</v>
      </c>
      <c r="J11" s="13">
        <v>41.59</v>
      </c>
      <c r="K11" s="13">
        <v>0.16700000000000001</v>
      </c>
      <c r="L11" s="13">
        <f>+I11/4*3</f>
        <v>15</v>
      </c>
      <c r="M11" s="13">
        <v>43.6</v>
      </c>
      <c r="N11" s="13">
        <v>0.14799999999999999</v>
      </c>
      <c r="O11" s="13">
        <f>+I11/2</f>
        <v>10</v>
      </c>
      <c r="P11" s="13">
        <v>46.31</v>
      </c>
      <c r="Q11" s="13">
        <v>0.126</v>
      </c>
      <c r="R11" s="13">
        <f>+I11/4</f>
        <v>5</v>
      </c>
      <c r="S11" s="13">
        <v>50.53</v>
      </c>
      <c r="T11" s="13">
        <v>0.10299999999999999</v>
      </c>
    </row>
    <row r="12" spans="1:20" x14ac:dyDescent="0.25">
      <c r="A12" s="12"/>
      <c r="B12" s="91"/>
      <c r="C12" s="16" t="s">
        <v>25</v>
      </c>
      <c r="D12" s="17">
        <v>2.7</v>
      </c>
      <c r="E12" s="13">
        <v>200</v>
      </c>
      <c r="F12" s="13">
        <v>50</v>
      </c>
      <c r="G12" s="13">
        <v>20</v>
      </c>
      <c r="H12" s="13">
        <v>1</v>
      </c>
      <c r="I12" s="13">
        <v>20</v>
      </c>
      <c r="J12" s="13">
        <v>57.04</v>
      </c>
      <c r="K12" s="13">
        <v>0.44500000000000001</v>
      </c>
      <c r="L12" s="13">
        <f t="shared" si="0"/>
        <v>15</v>
      </c>
      <c r="M12" s="13">
        <v>58.57</v>
      </c>
      <c r="N12" s="13">
        <v>0.40600000000000003</v>
      </c>
      <c r="O12" s="13">
        <f t="shared" si="1"/>
        <v>10</v>
      </c>
      <c r="P12" s="13">
        <v>60.53</v>
      </c>
      <c r="Q12" s="13">
        <v>0.36499999999999999</v>
      </c>
      <c r="R12" s="13">
        <f t="shared" si="2"/>
        <v>5</v>
      </c>
      <c r="S12" s="13">
        <v>63.32</v>
      </c>
      <c r="T12" s="13">
        <v>0.32400000000000001</v>
      </c>
    </row>
    <row r="13" spans="1:20" x14ac:dyDescent="0.25">
      <c r="A13" s="12"/>
      <c r="B13" s="91"/>
      <c r="C13" s="16" t="s">
        <v>26</v>
      </c>
      <c r="D13" s="17">
        <v>2.4</v>
      </c>
      <c r="E13" s="13">
        <v>25</v>
      </c>
      <c r="F13" s="13">
        <v>35</v>
      </c>
      <c r="G13" s="13">
        <v>10</v>
      </c>
      <c r="H13" s="13">
        <v>1</v>
      </c>
      <c r="I13" s="13">
        <v>30</v>
      </c>
      <c r="J13" s="13">
        <v>25.98</v>
      </c>
      <c r="K13" s="13">
        <v>8.4000000000000005E-2</v>
      </c>
      <c r="L13" s="13">
        <f t="shared" si="0"/>
        <v>22.5</v>
      </c>
      <c r="M13" s="13">
        <v>27.98</v>
      </c>
      <c r="N13" s="13">
        <v>7.0999999999999994E-2</v>
      </c>
      <c r="O13" s="13">
        <f t="shared" si="1"/>
        <v>15</v>
      </c>
      <c r="P13" s="13">
        <v>30.87</v>
      </c>
      <c r="Q13" s="13">
        <v>5.7000000000000002E-2</v>
      </c>
      <c r="R13" s="13">
        <f t="shared" si="2"/>
        <v>7.5</v>
      </c>
      <c r="S13" s="13">
        <v>35.92</v>
      </c>
      <c r="T13" s="13">
        <v>3.9E-2</v>
      </c>
    </row>
    <row r="14" spans="1:20" x14ac:dyDescent="0.25">
      <c r="A14" s="12"/>
      <c r="B14" s="92" t="s">
        <v>27</v>
      </c>
      <c r="C14" s="18" t="s">
        <v>28</v>
      </c>
    </row>
    <row r="15" spans="1:20" x14ac:dyDescent="0.25">
      <c r="A15" s="12"/>
      <c r="B15" s="92"/>
      <c r="C15" s="18" t="s">
        <v>29</v>
      </c>
    </row>
    <row r="16" spans="1:20" ht="14.45" customHeight="1" x14ac:dyDescent="0.25">
      <c r="B16" s="93" t="s">
        <v>30</v>
      </c>
      <c r="C16" s="18" t="s">
        <v>31</v>
      </c>
    </row>
    <row r="17" spans="2:3" x14ac:dyDescent="0.25">
      <c r="B17" s="93"/>
      <c r="C17" s="18" t="s">
        <v>32</v>
      </c>
    </row>
    <row r="18" spans="2:3" x14ac:dyDescent="0.25">
      <c r="B18" s="93"/>
      <c r="C18" s="18" t="s">
        <v>29</v>
      </c>
    </row>
    <row r="19" spans="2:3" x14ac:dyDescent="0.25">
      <c r="B19" s="93"/>
      <c r="C19" s="18" t="s">
        <v>33</v>
      </c>
    </row>
    <row r="20" spans="2:3" x14ac:dyDescent="0.25">
      <c r="B20" s="89" t="s">
        <v>14</v>
      </c>
      <c r="C20" s="18" t="s">
        <v>34</v>
      </c>
    </row>
    <row r="21" spans="2:3" x14ac:dyDescent="0.25">
      <c r="B21" s="89"/>
      <c r="C21" s="18" t="s">
        <v>35</v>
      </c>
    </row>
    <row r="22" spans="2:3" x14ac:dyDescent="0.25">
      <c r="B22" s="90" t="s">
        <v>36</v>
      </c>
      <c r="C22" s="18" t="s">
        <v>37</v>
      </c>
    </row>
    <row r="23" spans="2:3" x14ac:dyDescent="0.25">
      <c r="B23" s="90"/>
      <c r="C23" s="18" t="s">
        <v>38</v>
      </c>
    </row>
    <row r="24" spans="2:3" x14ac:dyDescent="0.25">
      <c r="B24" s="90"/>
      <c r="C24" s="18" t="s">
        <v>39</v>
      </c>
    </row>
    <row r="25" spans="2:3" x14ac:dyDescent="0.25">
      <c r="B25" s="90"/>
      <c r="C25" s="18" t="s">
        <v>40</v>
      </c>
    </row>
  </sheetData>
  <mergeCells count="8">
    <mergeCell ref="B20:B21"/>
    <mergeCell ref="B22:B25"/>
    <mergeCell ref="B2:B3"/>
    <mergeCell ref="B4:B6"/>
    <mergeCell ref="B7:B8"/>
    <mergeCell ref="B9:B13"/>
    <mergeCell ref="B14:B15"/>
    <mergeCell ref="B16:B19"/>
  </mergeCells>
  <conditionalFormatting sqref="E2:E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SOIL</vt:lpstr>
      <vt:lpstr>Acc_crit_perType</vt:lpstr>
      <vt:lpstr>Water_crit_perType</vt:lpstr>
      <vt:lpstr>Data ROCK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VALSECCHI</dc:creator>
  <cp:lastModifiedBy>Ruben VALSECCHI</cp:lastModifiedBy>
  <dcterms:created xsi:type="dcterms:W3CDTF">2020-04-16T10:05:52Z</dcterms:created>
  <dcterms:modified xsi:type="dcterms:W3CDTF">2020-08-12T16:17:02Z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6175487-42af-4492-84fe-2b4054e011bd_Enabled">
    <vt:lpwstr>true</vt:lpwstr>
  </property>
  <property fmtid="{D5CDD505-2E9C-101B-9397-08002B2CF9AE}" pid="3" name="MSIP_Label_a6175487-42af-4492-84fe-2b4054e011bd_SetDate">
    <vt:lpwstr>2020-04-16T10:06:23Z</vt:lpwstr>
  </property>
  <property fmtid="{D5CDD505-2E9C-101B-9397-08002B2CF9AE}" pid="4" name="MSIP_Label_a6175487-42af-4492-84fe-2b4054e011bd_Method">
    <vt:lpwstr>Privileged</vt:lpwstr>
  </property>
  <property fmtid="{D5CDD505-2E9C-101B-9397-08002B2CF9AE}" pid="5" name="MSIP_Label_a6175487-42af-4492-84fe-2b4054e011bd_Name">
    <vt:lpwstr>Public</vt:lpwstr>
  </property>
  <property fmtid="{D5CDD505-2E9C-101B-9397-08002B2CF9AE}" pid="6" name="MSIP_Label_a6175487-42af-4492-84fe-2b4054e011bd_SiteId">
    <vt:lpwstr>76e3e3ff-fce0-45ec-a946-bc44d69a9b7e</vt:lpwstr>
  </property>
  <property fmtid="{D5CDD505-2E9C-101B-9397-08002B2CF9AE}" pid="7" name="MSIP_Label_a6175487-42af-4492-84fe-2b4054e011bd_ActionId">
    <vt:lpwstr>6b57e2d7-7ad1-485e-a061-00003f4e18b8</vt:lpwstr>
  </property>
  <property fmtid="{D5CDD505-2E9C-101B-9397-08002B2CF9AE}" pid="8" name="MSIP_Label_a6175487-42af-4492-84fe-2b4054e011bd_ContentBits">
    <vt:lpwstr>0</vt:lpwstr>
  </property>
</Properties>
</file>