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defaultThemeVersion="166925"/>
  <mc:AlternateContent xmlns:mc="http://schemas.openxmlformats.org/markup-compatibility/2006">
    <mc:Choice Requires="x15">
      <x15ac:absPath xmlns:x15ac="http://schemas.microsoft.com/office/spreadsheetml/2010/11/ac" url="/Users/helencrowley/Documents/5-GitHub/esrm20_exposure/sources/"/>
    </mc:Choice>
  </mc:AlternateContent>
  <xr:revisionPtr revIDLastSave="0" documentId="13_ncr:1_{1C8E25E1-885B-2C41-ABAD-2DA77B5E897F}" xr6:coauthVersionLast="36" xr6:coauthVersionMax="36" xr10:uidLastSave="{00000000-0000-0000-0000-000000000000}"/>
  <bookViews>
    <workbookView xWindow="920" yWindow="460" windowWidth="28220" windowHeight="16700" activeTab="3" xr2:uid="{00000000-000D-0000-FFFF-FFFF00000000}"/>
  </bookViews>
  <sheets>
    <sheet name="Notes" sheetId="4" r:id="rId1"/>
    <sheet name="RES" sheetId="1" r:id="rId2"/>
    <sheet name="IND" sheetId="3" r:id="rId3"/>
    <sheet name="COM" sheetId="2" r:id="rId4"/>
    <sheet name="References"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11" i="3" l="1"/>
  <c r="AP15" i="2" l="1"/>
  <c r="AP14" i="2"/>
  <c r="AP13" i="2"/>
  <c r="AO15" i="2"/>
  <c r="AO14" i="2"/>
  <c r="AO13" i="2"/>
  <c r="AN15" i="2"/>
  <c r="AN14" i="2"/>
  <c r="AN13" i="2"/>
  <c r="AM15" i="2"/>
  <c r="AM14" i="2"/>
  <c r="AM13" i="2"/>
  <c r="AJ15" i="2"/>
  <c r="AJ14" i="2"/>
  <c r="AJ13" i="2"/>
  <c r="AI13" i="2"/>
  <c r="AF15" i="2"/>
  <c r="AF14" i="2"/>
  <c r="AF13" i="2"/>
  <c r="AB15" i="2"/>
  <c r="AB14" i="2"/>
  <c r="AB13" i="2"/>
  <c r="AA15" i="2"/>
  <c r="AA14" i="2"/>
  <c r="AA13" i="2"/>
  <c r="Z15" i="2"/>
  <c r="Z14" i="2"/>
  <c r="Z13" i="2"/>
  <c r="X15" i="2"/>
  <c r="X14" i="2"/>
  <c r="X13" i="2"/>
  <c r="V15" i="2"/>
  <c r="V14" i="2"/>
  <c r="V13" i="2"/>
  <c r="T15" i="2"/>
  <c r="T14" i="2"/>
  <c r="T13" i="2"/>
  <c r="Q15" i="2"/>
  <c r="Q14" i="2"/>
  <c r="Q13" i="2"/>
  <c r="L15" i="2"/>
  <c r="L14" i="2"/>
  <c r="L13" i="2"/>
  <c r="J13" i="2"/>
  <c r="I15" i="2"/>
  <c r="I14" i="2"/>
  <c r="I13" i="2"/>
  <c r="H15" i="2"/>
  <c r="H14" i="2"/>
  <c r="H13" i="2"/>
  <c r="E15" i="2"/>
  <c r="E14" i="2"/>
  <c r="E13" i="2"/>
  <c r="D15" i="2"/>
  <c r="D14" i="2"/>
  <c r="D13" i="2"/>
  <c r="M15" i="2"/>
  <c r="M14" i="2"/>
  <c r="M13" i="2"/>
</calcChain>
</file>

<file path=xl/sharedStrings.xml><?xml version="1.0" encoding="utf-8"?>
<sst xmlns="http://schemas.openxmlformats.org/spreadsheetml/2006/main" count="2009" uniqueCount="938">
  <si>
    <t>data_Albania_RES_census-buildings.xlsx</t>
  </si>
  <si>
    <t>Population data</t>
  </si>
  <si>
    <t>Source</t>
  </si>
  <si>
    <t>data_Albania_RES_census-population.csv</t>
  </si>
  <si>
    <t>Mapping scheme</t>
  </si>
  <si>
    <t>mapping_Albania_RES.xlsx</t>
  </si>
  <si>
    <t>Sources</t>
  </si>
  <si>
    <t>Albania</t>
  </si>
  <si>
    <t>-</t>
  </si>
  <si>
    <t>Seismic design evolution</t>
  </si>
  <si>
    <t>Urban/rural distinction</t>
  </si>
  <si>
    <t>Total floor area (m^2)</t>
  </si>
  <si>
    <t>Definition</t>
  </si>
  <si>
    <t>Big city census IDs</t>
  </si>
  <si>
    <t>Source of the building/dwelling data</t>
  </si>
  <si>
    <t>Source of the population data</t>
  </si>
  <si>
    <t>Description of how urban and rural areas are defined in the country</t>
  </si>
  <si>
    <t>Census IDs of the administrative units that are assumed to be big cities</t>
  </si>
  <si>
    <t>Total floor area in the country</t>
  </si>
  <si>
    <t>Total number of buildings</t>
  </si>
  <si>
    <t>Total number of dwellings</t>
  </si>
  <si>
    <t>Source of the building number</t>
  </si>
  <si>
    <t>Source of the dwelling number</t>
  </si>
  <si>
    <t>2011 Population and Housing Census
http://www.instat.gov.al/en/themes/censuses/</t>
  </si>
  <si>
    <t>4bx344</t>
  </si>
  <si>
    <t xml:space="preserve"> </t>
  </si>
  <si>
    <t>Source of the floor area</t>
  </si>
  <si>
    <t>Definition of the floor area</t>
  </si>
  <si>
    <t>Dwellings per building class</t>
  </si>
  <si>
    <t>Reference Number</t>
  </si>
  <si>
    <t>Link</t>
  </si>
  <si>
    <t>2011 Population and Housing Census</t>
  </si>
  <si>
    <t>Andorra</t>
  </si>
  <si>
    <t>data_Andorra_RES_GED4GEM.csv</t>
  </si>
  <si>
    <t>admin level 1</t>
  </si>
  <si>
    <t>admin level 3</t>
  </si>
  <si>
    <t>Area per dwelling</t>
  </si>
  <si>
    <t>Number of the highest administrative level at which the model is available (according to Shapefile admin levels)</t>
  </si>
  <si>
    <t>Residential model development data</t>
  </si>
  <si>
    <t xml:space="preserve">admin level 1 </t>
  </si>
  <si>
    <t>Admin level resolution/aggregation</t>
  </si>
  <si>
    <t>Austria</t>
  </si>
  <si>
    <t>2011 Population and Housing Census
http://www.statistik.at</t>
  </si>
  <si>
    <t>data_Austria_RES_census-buildings.xlsx</t>
  </si>
  <si>
    <t>data_Austria_RES_census-population.csv</t>
  </si>
  <si>
    <t>mapping_Austria_RES.xlsx</t>
  </si>
  <si>
    <t>AUT.9_1</t>
  </si>
  <si>
    <t>All assumed rural (except AUT.9_1)</t>
  </si>
  <si>
    <t>Belgium</t>
  </si>
  <si>
    <t>Bosnia_and_Herzegovina</t>
  </si>
  <si>
    <t>Bulgaria</t>
  </si>
  <si>
    <t>Croatia</t>
  </si>
  <si>
    <t>Cyprus</t>
  </si>
  <si>
    <t>Czechia</t>
  </si>
  <si>
    <t>Denmark</t>
  </si>
  <si>
    <t>Estonia</t>
  </si>
  <si>
    <t>Finland</t>
  </si>
  <si>
    <t>France</t>
  </si>
  <si>
    <t>Germany</t>
  </si>
  <si>
    <t>Gibraltar</t>
  </si>
  <si>
    <t>Greece</t>
  </si>
  <si>
    <t>Hungary</t>
  </si>
  <si>
    <t>Iceland</t>
  </si>
  <si>
    <t>Ireland</t>
  </si>
  <si>
    <t>Isle_of_Man</t>
  </si>
  <si>
    <t>Italy</t>
  </si>
  <si>
    <t>Kosovo</t>
  </si>
  <si>
    <t>Latvia</t>
  </si>
  <si>
    <t>Liechtenstein</t>
  </si>
  <si>
    <t>Lithuania</t>
  </si>
  <si>
    <t>Luxembourg</t>
  </si>
  <si>
    <t>Malta</t>
  </si>
  <si>
    <t>Moldova</t>
  </si>
  <si>
    <t>Monaco</t>
  </si>
  <si>
    <t>Montenegro</t>
  </si>
  <si>
    <t>Netherlands</t>
  </si>
  <si>
    <t>North_Macedonia</t>
  </si>
  <si>
    <t>Norway</t>
  </si>
  <si>
    <t>Poland</t>
  </si>
  <si>
    <t>Portugal</t>
  </si>
  <si>
    <t>Romania</t>
  </si>
  <si>
    <t>Serbia</t>
  </si>
  <si>
    <t>Slovakia</t>
  </si>
  <si>
    <t>Slovenia</t>
  </si>
  <si>
    <t>Spain</t>
  </si>
  <si>
    <t>Sweden</t>
  </si>
  <si>
    <t>Switzerland</t>
  </si>
  <si>
    <t>Turkey</t>
  </si>
  <si>
    <t>United_Kingdom</t>
  </si>
  <si>
    <t>mapping_Andorra_RES.txt</t>
  </si>
  <si>
    <t>admin level 2</t>
  </si>
  <si>
    <t>data_Belgium_RES_census-dwellings.xlsx</t>
  </si>
  <si>
    <t>2011 Population and Housing Census 
http://census2011.fgov.be</t>
  </si>
  <si>
    <t>admin level 4</t>
  </si>
  <si>
    <t>data_Belgium_RES_census-population.csv</t>
  </si>
  <si>
    <t>mapping_Belgium_RES.xlsx</t>
  </si>
  <si>
    <t>data_Bosnia_and_Herzegovina_RES_census-buildings.xlsx</t>
  </si>
  <si>
    <t xml:space="preserve">2013 Population and Housing Census 
http://www.popis2013.ba </t>
  </si>
  <si>
    <t>data_Bosnia_and_Herzegovina_RES_census-population.csv</t>
  </si>
  <si>
    <t xml:space="preserve">2013 Population and Housing Census </t>
  </si>
  <si>
    <t>mapping_Bosnia_and_Herzegovina_RES.xlsx</t>
  </si>
  <si>
    <t>The residential building floor areas correspond to the useful floor area; it is different from the gross floor area which includes common areas in multi family buildings, attics,  basement or verandas. It is expressed in million m2. The floor area that is heated during most of the winter months. Rooms that are unoccupied and/or unheated during the heating season, unheated garages or other unheated areas in the basement and/or the attic are not considered.</t>
  </si>
  <si>
    <t>https://ec.europa.eu/energy/en/eu-buildings-database</t>
  </si>
  <si>
    <t>Total surface area</t>
  </si>
  <si>
    <t>http://www.popis2013.ba/popis2013/doc/Popis2013prvoIzdanje.pdf</t>
  </si>
  <si>
    <t>Total  usable  area  of  a  dwelling  is  a  sum  of  areas  of  rooms,  kitchen,  bathroom,  toilet/W.C.,  pantry, lobby and other auxiliary premises in the dwelling, including a part of the loggia (75% of total area), covered terraces (50% of total area), balconies and open  terraces  (25%  of  total  area)</t>
  </si>
  <si>
    <t>2011 Population and Housing Census
www.nsi.bg</t>
  </si>
  <si>
    <t>data_Bulgaria_RES_census-population.csv</t>
  </si>
  <si>
    <t>According to census</t>
  </si>
  <si>
    <t>16, 32, 223</t>
  </si>
  <si>
    <t>2011 Population and Housing Census
https://www.dzs.hr</t>
  </si>
  <si>
    <t>data_Croatia_RES_census-population.csv</t>
  </si>
  <si>
    <t>mapping_Croatia_RES.xlsx</t>
  </si>
  <si>
    <t>343, 280, 413, 99</t>
  </si>
  <si>
    <t>data_Croatia_RES_census-dwellings.xlsx</t>
  </si>
  <si>
    <t>Useful floor area of a dwelling is a floor area of a dwelling, measured inside the walls of the dwelling. (found in Statistical Yearbook-2011.pdf)</t>
  </si>
  <si>
    <t>https://www.dzs.hr/Hrv_Eng/ljetopis/2011/SLJH2011.pdf</t>
  </si>
  <si>
    <t>data_Cyprus_RES_census-dwellings.xlsx</t>
  </si>
  <si>
    <t>2011 Population and Housing Census
http://www.cystat.gov.cy</t>
  </si>
  <si>
    <t>data_Cyprus_RES_census-population.csv</t>
  </si>
  <si>
    <t>mapping_Cyprus_RES.xlsx</t>
  </si>
  <si>
    <t>data_Czechia_RES_census-population.csv</t>
  </si>
  <si>
    <t>2011 Population and Housing Census
https://www.czso.cz</t>
  </si>
  <si>
    <t>data_Denmark_RES_census-population.csv</t>
  </si>
  <si>
    <t>2011 Population and Housing Census
https://www.dst.dk</t>
  </si>
  <si>
    <t>2011 Population and Housing Census
https://www.stat.ee</t>
  </si>
  <si>
    <t>data_Estonia_RES_census-population.csv</t>
  </si>
  <si>
    <t>data_Finland_RES_census-population.csv</t>
  </si>
  <si>
    <t>2011 Population and Housing Census
https://www.stat.fi</t>
  </si>
  <si>
    <t>mapping_Finland_RES.xlsx</t>
  </si>
  <si>
    <t>data_France_RES_census-dwellings.xlsx</t>
  </si>
  <si>
    <t>admin level 5</t>
  </si>
  <si>
    <t>2014 Population and Housing Census</t>
  </si>
  <si>
    <t>2014 Population and Housing Census
https://www.insee.fr</t>
  </si>
  <si>
    <t>data_France_RES_census-population.csv</t>
  </si>
  <si>
    <t>mapping_France_RES.xlsx</t>
  </si>
  <si>
    <t>According to the census</t>
  </si>
  <si>
    <t>17724, 20199, 27888, 28450, 29100, 32495, 2801, 7260, 7984, 10048</t>
  </si>
  <si>
    <t>Notes</t>
  </si>
  <si>
    <t>2011 Population and Housing Census
https://ergebnisse.zensus2011.de</t>
  </si>
  <si>
    <t>mapping_Germany_RES.xlsx</t>
  </si>
  <si>
    <t>Municipalities with 'Stadt' are urban</t>
  </si>
  <si>
    <t>10405, 11311, 7182, 2685, 10279, 10280</t>
  </si>
  <si>
    <t>Floor area of the entire dwelling in m². The dwelling includes rooms outside the dwelling unit (e.g. attics) and cellars and compartments which have been developed for habitation.</t>
  </si>
  <si>
    <t>admin level 0</t>
  </si>
  <si>
    <t>data_Gibraltar_RES_GED4GEM.csv</t>
  </si>
  <si>
    <t>mapping_Gibraltar_RES.txt</t>
  </si>
  <si>
    <t>mapping_Czechia_RES.txt</t>
  </si>
  <si>
    <t>mapping_Denmark_RES.txt</t>
  </si>
  <si>
    <t>mapping_Estonia_RES.txt</t>
  </si>
  <si>
    <t>2011 Population and Housing Census
http://www.statistics.gr</t>
  </si>
  <si>
    <t>data_Greece_RES_census-population.csv</t>
  </si>
  <si>
    <t>data_Greece_RES_census-buildings.xlsx</t>
  </si>
  <si>
    <t>data_Hungary_RES_census-dwellings.xlsx</t>
  </si>
  <si>
    <t>2011 Population and Housing Census
https://www.ksh.hu</t>
  </si>
  <si>
    <t>data_Hungary_RES_census-population.csv</t>
  </si>
  <si>
    <t>mapping_Hungary_RES.xlsx</t>
  </si>
  <si>
    <t xml:space="preserve">Községek: rural
Többi város: urban
</t>
  </si>
  <si>
    <t>Kecskemét mjv.: big_cities</t>
  </si>
  <si>
    <t>average floor space</t>
  </si>
  <si>
    <t>data_Iceland_RES_census-dwellings.xlsx</t>
  </si>
  <si>
    <t>2011 Population and Housing Census
https://www.hagstofa.is 
https://www.statice.is</t>
  </si>
  <si>
    <t>data_Iceland_RES_census-population.csv</t>
  </si>
  <si>
    <t>mapping_Iceland_RES.xlsx</t>
  </si>
  <si>
    <t>Bjarni Bessason (personal communication)</t>
  </si>
  <si>
    <t>Based on average area per dwelling and number of dwellings</t>
  </si>
  <si>
    <t>data_Germany_RES_census-buildings.xlsx</t>
  </si>
  <si>
    <t>data_Germany_RES_census-population.csv</t>
  </si>
  <si>
    <t>2011 Population and Housing Census
http://www.cso.ie</t>
  </si>
  <si>
    <t>data_Ireland_RES_census-population.csv</t>
  </si>
  <si>
    <t>mapping_Ireland_RES.txt</t>
  </si>
  <si>
    <t>data_Isle_of_Man_RES_GED4GEM.csv</t>
  </si>
  <si>
    <t>2001 Population and Housing Census</t>
  </si>
  <si>
    <t>mapping_Italy_RES.txt</t>
  </si>
  <si>
    <t>mapping_Isle_of_Man_RES.txt</t>
  </si>
  <si>
    <t>2011 Population and Housing Census
http://ask.rks-gov.net</t>
  </si>
  <si>
    <t>data_Kosovo_RES_census-population.csv</t>
  </si>
  <si>
    <t>All rural except Pristina</t>
  </si>
  <si>
    <t>useful floor space</t>
  </si>
  <si>
    <t>AREA # 22</t>
  </si>
  <si>
    <t>data_Latvia_RES_census-population.csv</t>
  </si>
  <si>
    <t>2009 Population and Housing Census
http://www.csb.gov.lv</t>
  </si>
  <si>
    <t>mapping_Latvia_RES.txt</t>
  </si>
  <si>
    <t>2009 Population and Housing Census</t>
  </si>
  <si>
    <t>data_Liechtenstein_RES_GED4GEM.csv</t>
  </si>
  <si>
    <t>mapping_Liechtenstein_RES.txt</t>
  </si>
  <si>
    <t>2010 Population and Housing Census
https://www.llv.li</t>
  </si>
  <si>
    <t>data_Lithuania_RES_census-population.csv</t>
  </si>
  <si>
    <t xml:space="preserve">2001 Population and Housing Census
https://osp.stat.gov.lt </t>
  </si>
  <si>
    <t>mapping_Lithuania_RES.txt</t>
  </si>
  <si>
    <t>data_Luxembourg_RES_census-population.csv</t>
  </si>
  <si>
    <t>2001 Population and Housing Census
http://www.statistiques.public.lu</t>
  </si>
  <si>
    <t>mapping_Luxembourg_RES.txt</t>
  </si>
  <si>
    <t>data_Malta_RES_census-dwellings.xlsx</t>
  </si>
  <si>
    <t>2005 Population and Housing Census 
https://nso.gov.mt</t>
  </si>
  <si>
    <t>data_Malta_RES_census-population.csv</t>
  </si>
  <si>
    <t xml:space="preserve">2005 Population and Housing Census </t>
  </si>
  <si>
    <t>All rural</t>
  </si>
  <si>
    <t>data_Moldova_RES_census-dwellings.xlsx</t>
  </si>
  <si>
    <t>2014 Populaton and Housing Census
http://www.statistica.md</t>
  </si>
  <si>
    <t>data_Moldova_RES_census-population.csv</t>
  </si>
  <si>
    <t>2014 Populaton and Housing Census</t>
  </si>
  <si>
    <t>MDA.10_1</t>
  </si>
  <si>
    <t>data_Monaco_RES_GED4GEM.csv</t>
  </si>
  <si>
    <t>mapping_Monaco_RES.txt</t>
  </si>
  <si>
    <t>Urban: Akranes, Akureyri, Sveitarfélagið Árborg,  Garðabær, Hafnarfjörður,  Kópavogur, Mosfellsbær, Reykjanesbær</t>
  </si>
  <si>
    <t>2011 Population and Housing Census
http://monstat.org/cg</t>
  </si>
  <si>
    <t>mapping_Kosovo_RES.xlsx</t>
  </si>
  <si>
    <t>mapping_Malta_RES.xlsx</t>
  </si>
  <si>
    <t>mapping_Moldova_RES.xlsx</t>
  </si>
  <si>
    <t>mapping_Montenegro_RES.xlsx</t>
  </si>
  <si>
    <t>Floor area of a dwelling is defined as the sum of area of all rooms, kitchen, bathroom, WC/toilet, corridors and other separate spaces. (found in Dwellings by floor area and number of rooms -2.pdf)</t>
  </si>
  <si>
    <t>National calibration data</t>
  </si>
  <si>
    <t>data_Netherlands_RES_census-dwellings.xlsx</t>
  </si>
  <si>
    <t>2017 Population and Housing Census
https://www.cbs.nl</t>
  </si>
  <si>
    <t>data_Netherlands_RES_census-population.csv</t>
  </si>
  <si>
    <t>2017 Population and Housing Census</t>
  </si>
  <si>
    <t>mapping_Netherlands_RES.xlsx</t>
  </si>
  <si>
    <t>266, 421, 214, 127, 467, 380</t>
  </si>
  <si>
    <t xml:space="preserve">Based on the population 
(&gt;= 20.000 is considered an urban municipality) - European Commission </t>
  </si>
  <si>
    <t>Average area of use of homes (residential property with at least one residential function).
 (https://statline.cbs.nl/StatWeb/selection/?DM=SLNL&amp;PA=82550NED)"</t>
  </si>
  <si>
    <t>2002 Population and Housing Census
http://www.stat.gov.mk</t>
  </si>
  <si>
    <t>data_North_Macedonia_RES_census-population.csv</t>
  </si>
  <si>
    <t>data_North_Macedonia_RES_census-dwellings.xlsx</t>
  </si>
  <si>
    <t>2002 Population and Housing Census</t>
  </si>
  <si>
    <t>mapping_North_Macedonia_RES.xlsx</t>
  </si>
  <si>
    <t>&lt; 38,000 population = rural</t>
  </si>
  <si>
    <t>4, 26, 28, 34, 37, 18, 6, 11</t>
  </si>
  <si>
    <t>Surface of the dwelling is sum of useful floor spaces of the dwelling including the loggias (75% from
its surface), covered terraces (50% of its surface), balcony and open terraces (25% of their surface</t>
  </si>
  <si>
    <t>2017 Population and Housing Census 
https://www.ssb.no</t>
  </si>
  <si>
    <t>data_Norway_RES_census-population.csv</t>
  </si>
  <si>
    <t>data_Norway_RES_census-dwellings.xlsx</t>
  </si>
  <si>
    <t xml:space="preserve">2017 Population and Housing Census </t>
  </si>
  <si>
    <t>mapping_Norway_RES.xlsx</t>
  </si>
  <si>
    <t>NO0301</t>
  </si>
  <si>
    <t xml:space="preserve">In Census 2017, utility floor space is used. Utility floor space is specified in the forms as the area of all types of rooms including storage rooms within the walls of the house or flat. </t>
  </si>
  <si>
    <t>data_Poland_RES_census-population.csv</t>
  </si>
  <si>
    <t>https://www.citypopulation.de/en/poland/admin/</t>
  </si>
  <si>
    <t>mapping_Poland_RES.txt</t>
  </si>
  <si>
    <t>data_Portugal_RES_census.txt</t>
  </si>
  <si>
    <t>2011 Population and Housing Census
https://ine.pt</t>
  </si>
  <si>
    <t>data_Portugal_RES_census-population.csv</t>
  </si>
  <si>
    <t>mapping_Portugal_RES.txt</t>
  </si>
  <si>
    <t>see data_Italy_RES_README.txt</t>
  </si>
  <si>
    <t>Not specified</t>
  </si>
  <si>
    <t>data_Romania_RES_census-buildings.xlsx</t>
  </si>
  <si>
    <t>data_Romania_RES_census-population.csv</t>
  </si>
  <si>
    <t>2011 Population and Housing Census
http://www.recensamantromania.ro</t>
  </si>
  <si>
    <t>Rural:  Arad, Botosani, Salaj, Suceana, Teleorman, Vaslui and Caras-Severin</t>
  </si>
  <si>
    <t>see data_Portugal_RES_README.txt</t>
  </si>
  <si>
    <t>see data_Romania_RES_README.txt</t>
  </si>
  <si>
    <t>data_Serbia_RES_census-dwellings.xlsx</t>
  </si>
  <si>
    <t>2011 Population and Housing Census
http://webrzs.stat.gov.rs</t>
  </si>
  <si>
    <t>data_Serbia_RES_census-population.csv</t>
  </si>
  <si>
    <t>data_Slovakia_RES_census-dwellings.xlsx</t>
  </si>
  <si>
    <t>AREA # 01, AREA # 02, AREA # 03, AREA # 04, AREA # 05</t>
  </si>
  <si>
    <t>All urban</t>
  </si>
  <si>
    <t>2001 Population and Housing Census
https://bit.ly/2GhTgeL</t>
  </si>
  <si>
    <t>data_Slovakia_RES_census-population.csv</t>
  </si>
  <si>
    <t>See mapping_Serbia_RES.xlsx</t>
  </si>
  <si>
    <t>mapping_Serbia_RES.xlsx</t>
  </si>
  <si>
    <t>http://sodb.infostat.sk/scitanie/eng/2001/format.htm</t>
  </si>
  <si>
    <t>total area of dwellings</t>
  </si>
  <si>
    <t>data_Slovenia_RES_census-buildings.xlsx</t>
  </si>
  <si>
    <t>2002 Population and Housing Census
http://www.stat.si/</t>
  </si>
  <si>
    <t>data_Slovenia_RES_census-population.csv</t>
  </si>
  <si>
    <t>mapping_Slovenia_RES.xlsx</t>
  </si>
  <si>
    <t>mapping_Slovakia_RES.xlsx</t>
  </si>
  <si>
    <t>According to admin level 1 % urban/rural in census (applied to admin level 2)</t>
  </si>
  <si>
    <t>% urban/rural dwellings in census (applied then to other parameters)</t>
  </si>
  <si>
    <t>According to  admin level 1 % urban/rural in census (applied to admin level 2)</t>
  </si>
  <si>
    <t>Useful floor space is defined as:
— the floor space measured inside the outer walls excluding non-habitable cellars and attics and, in multi-dwelling buildings, all common spaces; or
— the total floor space of rooms falling under the concept of ‘room’.</t>
  </si>
  <si>
    <t>data_Spain_RES_census-buildings.xlsx</t>
  </si>
  <si>
    <t>2011 Population and Housing Census
http://www.ine.es</t>
  </si>
  <si>
    <t>data_Spain_RES_census-population.csv</t>
  </si>
  <si>
    <t>mapping_Spain_RES.xlsx</t>
  </si>
  <si>
    <t>% urban/rural buildings in census (applied then to other parameters)</t>
  </si>
  <si>
    <t>ESP.6.1_1, ESP.8.1_1</t>
  </si>
  <si>
    <t>data_Sweden_RES_census-population.csv</t>
  </si>
  <si>
    <t>data_Switzerland_RES_census-population.csv</t>
  </si>
  <si>
    <t>data_Turkey_RES_census-population.csv</t>
  </si>
  <si>
    <t>data_United_Kingdom_RES_census-population.csv</t>
  </si>
  <si>
    <t xml:space="preserve">2016 Population and Housing Census
https://bit.ly/2DQEea2 </t>
  </si>
  <si>
    <t>2016 Population and Housing Census</t>
  </si>
  <si>
    <t>2011 Population and Housing Census
http://www.statistikdatabasen.scb.se</t>
  </si>
  <si>
    <t>2000 Population and Housing Census
2001-2017 Building permits
https://biruni.tuik.gov.tr</t>
  </si>
  <si>
    <t>2000 Population and Housing Census</t>
  </si>
  <si>
    <t>2001 Population and Housing Census
https://www.ons.gov.uk</t>
  </si>
  <si>
    <t>mapping_Sweden_RES.txt</t>
  </si>
  <si>
    <t>mapping_United_Kingdom_RES.txt</t>
  </si>
  <si>
    <t>mapping_Switzerland_RES.xlsx</t>
  </si>
  <si>
    <t>mapping_Turkey_RES.xlsx</t>
  </si>
  <si>
    <t>https://www.bfs.admin.ch/bfs/de/home/statistiken/querschnittsthemen/raeumliche-analysen/raeumliche-gliederungen/analyseregionen.assetdetail.2546562.html</t>
  </si>
  <si>
    <t>261, 6621</t>
  </si>
  <si>
    <t>&lt;400,000 population = rural</t>
  </si>
  <si>
    <t>dwlngs_per_bldngs_Albania_RES.csv</t>
  </si>
  <si>
    <t>dwlngs_per_bldngs_Andorra_RES.csv</t>
  </si>
  <si>
    <t>dwlngs_per_bldngs_Austria_RES.csv</t>
  </si>
  <si>
    <t>dwlngs_per_bldngs_Belgium_RES.csv</t>
  </si>
  <si>
    <t>area_per_dwelling_Albania_RES.csv</t>
  </si>
  <si>
    <t>area_per_dwelling_Andorra_RES.csv</t>
  </si>
  <si>
    <t>area_per_dwelling_Austria_RES.csv</t>
  </si>
  <si>
    <t>area_per_dwelling_Belgium_RES.csv</t>
  </si>
  <si>
    <t>area_per_dwelling_Bosnia_and_Herzegovina_RES.csv</t>
  </si>
  <si>
    <t>dwlngs_per_bldngs_Bosnia_and_Herzegovina_RES.csv</t>
  </si>
  <si>
    <t>dwlngs_per_bldngs_Bulgaria_RES.csv</t>
  </si>
  <si>
    <t>area_per_dwelling_Bulgaria_RES.csv</t>
  </si>
  <si>
    <t>dwlngs_per_bldngs_Croatia_RES.csv</t>
  </si>
  <si>
    <t>area_per_dwelling_Croatia_RES.csv</t>
  </si>
  <si>
    <t>dwlngs_per_bldngs_Cyprus_RES.csv</t>
  </si>
  <si>
    <t>area_per_dwelling_Cyprus_RES.csv</t>
  </si>
  <si>
    <t>dwlngs_per_bldngs_Czechia_RES.csv</t>
  </si>
  <si>
    <t>area_per_dwelling_Czechia_RES.csv</t>
  </si>
  <si>
    <t>dwlngs_per_bldngs_Denmark_RES.csv</t>
  </si>
  <si>
    <t>area_per_dwelling_Denmark_RES.csv</t>
  </si>
  <si>
    <t>dwlngs_per_bldngs_Estonia_RES.csv</t>
  </si>
  <si>
    <t>area_per_dwelling_Estonia_RES.csv</t>
  </si>
  <si>
    <t>dwlngs_per_bldngs_Finland_RES.csv</t>
  </si>
  <si>
    <t>area_per_dwelling_Finland_RES.csv</t>
  </si>
  <si>
    <t>dwlngs_per_bldngs_France_RES.csv</t>
  </si>
  <si>
    <t>area_per_dwelling_France_RES.csv</t>
  </si>
  <si>
    <t>dwlngs_per_bldngs_Germany_RES.csv</t>
  </si>
  <si>
    <t>area_per_dwelling_Germany_RES.csv</t>
  </si>
  <si>
    <t>dwlngs_per_bldngs_Gibraltar_RES.csv</t>
  </si>
  <si>
    <t>area_per_dwelling_Gibraltar_RES.csv</t>
  </si>
  <si>
    <t>dwlngs_per_bldngs_Greece_RES.csv</t>
  </si>
  <si>
    <t>area_per_dwelling_Greece_RES.csv</t>
  </si>
  <si>
    <t>dwlngs_per_bldngs_Hungary_RES.csv</t>
  </si>
  <si>
    <t>area_per_dwelling_Hungary_RES.csv</t>
  </si>
  <si>
    <t>dwlngs_per_bldngs_Iceland_RES.csv</t>
  </si>
  <si>
    <t>area_per_dwelling_Iceland_RES.csv</t>
  </si>
  <si>
    <t>dwlngs_per_bldngs_Ireland_RES.csv</t>
  </si>
  <si>
    <t>area_per_dwelling_Ireland_RES.csv</t>
  </si>
  <si>
    <t>dwlngs_per_bldngs_Isle_of_Man_RES.csv</t>
  </si>
  <si>
    <t>area_per_dwelling_Isle_of_Man_RES.csv</t>
  </si>
  <si>
    <t>area_per_dwelling_Italy_RES.csv</t>
  </si>
  <si>
    <t>dwlngs_per_bldngs_Kosovo_RES.csv</t>
  </si>
  <si>
    <t>area_per_dwelling_Kosovo_RES.csv</t>
  </si>
  <si>
    <t>dwlngs_per_bldngs_Latvia_RES.csv</t>
  </si>
  <si>
    <t>area_per_dwelling_Latvia_RES.csv</t>
  </si>
  <si>
    <t>dwlngs_per_bldngs_Lithuania_RES.csv</t>
  </si>
  <si>
    <t>dwlngs_per_bldngs_Liechtenstein_RES.csv</t>
  </si>
  <si>
    <t>area_per_dwelling_Liechtenstein_RES.csv</t>
  </si>
  <si>
    <t>area_per_dwelling_Lithuania_RES.csv</t>
  </si>
  <si>
    <t>area_per_dwelling_Luxembourg_RES.csv</t>
  </si>
  <si>
    <t>dwlngs_per_bldngs_Luxembourg_RES.csv</t>
  </si>
  <si>
    <t>dwlngs_per_bldngs_Malta_RES.csv</t>
  </si>
  <si>
    <t>area_per_dwelling_Malta_RES.csv</t>
  </si>
  <si>
    <t>dwlngs_per_bldngs_Moldova_RES.csv</t>
  </si>
  <si>
    <t>area_per_dwelling_Moldova_RES.csv</t>
  </si>
  <si>
    <t>dwlngs_per_bldngs_Monaco_RES.csv</t>
  </si>
  <si>
    <t>area_per_dwelling_Monaco_RES.csv</t>
  </si>
  <si>
    <t>dwlngs_per_bldngs_Montenegro_RES.csv</t>
  </si>
  <si>
    <t>area_per_dwelling_Montenegro_RES.csv</t>
  </si>
  <si>
    <t>dwlngs_per_bldngs_Netherlands_RES.csv</t>
  </si>
  <si>
    <t>area_per_dwelling_Netherlands_RES.csv</t>
  </si>
  <si>
    <t>area_per_dwelling_North_Macedonia_RES.csv</t>
  </si>
  <si>
    <t>dwlngs_per_bldngs_North_Macedonia_RES.csv</t>
  </si>
  <si>
    <t>dwlngs_per_bldngs_Norway_RES.csv</t>
  </si>
  <si>
    <t>area_per_dwelling_Norway_RES.csv</t>
  </si>
  <si>
    <t>dwlngs_per_bldngs_Poland_RES.csv</t>
  </si>
  <si>
    <t>area_per_dwelling_Poland_RES.csv</t>
  </si>
  <si>
    <t>area_per_dwelling_Portugal_RES.csv</t>
  </si>
  <si>
    <t>dwlngs_per_bldngs_Romania_RES.csv</t>
  </si>
  <si>
    <t>area_per_dwelling_Romania_RES.csv</t>
  </si>
  <si>
    <t>dwlngs_per_bldngs_Serbia_RES.csv</t>
  </si>
  <si>
    <t>area_per_dwelling_Serbia_RES.csv</t>
  </si>
  <si>
    <t>dwlngs_per_bldngs_Slovakia_RES.csv</t>
  </si>
  <si>
    <t>area_per_dwelling_Slovakia_RES.csv</t>
  </si>
  <si>
    <t>dwlngs_per_bldngs_Slovenia_RES.csv</t>
  </si>
  <si>
    <t>area_per_dwelling_Slovenia_RES.csv</t>
  </si>
  <si>
    <t>area_per_dwelling_Spain_RES.csv</t>
  </si>
  <si>
    <t>dwlngs_per_bldngs_Spain_RES.csv</t>
  </si>
  <si>
    <t>dwlngs_per_bldngs_Sweden_RES.csv</t>
  </si>
  <si>
    <t>area_per_dwelling_Sweden_RES.csv</t>
  </si>
  <si>
    <t>dwlngs_per_bldngs_Switzerland_RES.csv</t>
  </si>
  <si>
    <t>area_per_dwelling_Switzerland_RES.csv</t>
  </si>
  <si>
    <t>dwlngs_per_bldngs_Turkey_RES.csv</t>
  </si>
  <si>
    <t>area_per_dwelling_Turkey_RES.csv</t>
  </si>
  <si>
    <t>dwlngs_per_bldngs_United_Kingdom_RES.csv</t>
  </si>
  <si>
    <t>area_per_dwelling_United_Kingdom_RES.csv</t>
  </si>
  <si>
    <t>data_Switzerland_RES_census-buildings.xlsx</t>
  </si>
  <si>
    <t>data_Turkey_RES_COM_IND_census-buildings.xlsx</t>
  </si>
  <si>
    <t xml:space="preserve">The housing area is equal to the sum of the surfaces of all rooms, kitchens, kitchenettes, bathrooms, toilets, reduced, corridors, porches, etc. Are not taken into account independent living quarters (eg, attic), open balconies and terraces, as well as non-habitable rooms
located in the cellar or in the attic.
When the precise surface was not known, it was estimated (length of housing x width of housing). </t>
  </si>
  <si>
    <t>Average area per dwelling by total number of dwellings</t>
  </si>
  <si>
    <t>AREA # 10, AREA # 11, AREA # 40, AREA # 41</t>
  </si>
  <si>
    <t>Number of variables</t>
  </si>
  <si>
    <t>Variables</t>
  </si>
  <si>
    <t>one</t>
  </si>
  <si>
    <t>N/A</t>
  </si>
  <si>
    <t>two</t>
  </si>
  <si>
    <t>Urban/rural</t>
  </si>
  <si>
    <t>Division</t>
  </si>
  <si>
    <t>Rural</t>
  </si>
  <si>
    <t>Urban/rural/historic</t>
  </si>
  <si>
    <t>Urban/rural/big_cities</t>
  </si>
  <si>
    <t>Urban</t>
  </si>
  <si>
    <t>Urban/rural/Istanbul</t>
  </si>
  <si>
    <t>11002, 12025, 13040, 21001, 21002, 21003, 21004, 21005, 21006, 21007, 21008, 21009, 21010, 21011, 21012, 21013, 21014, 21015, 21016, 21017, 21018, 21019, 24062, 31005, 34022, 35013, 36015, 41002, 44021, 46021, 52011, 53053, 54007, 55022, 57081, 62063, 62096, 63079, 71016, 71022, 92094</t>
  </si>
  <si>
    <t>data_Kosovo_RES_census-buildings.xlsx</t>
  </si>
  <si>
    <t xml:space="preserve">  </t>
  </si>
  <si>
    <t>data_Bulgaria_RES_census-buildings.xlsx</t>
  </si>
  <si>
    <t>mapping_Bulgaria_RES.xlsx</t>
  </si>
  <si>
    <t>None</t>
  </si>
  <si>
    <t>data_Montenegro_RES_census-dwellings.xlsx</t>
  </si>
  <si>
    <t>7</t>
  </si>
  <si>
    <t>Not considered</t>
  </si>
  <si>
    <t>data_Montenegro_RES_census-population.csv</t>
  </si>
  <si>
    <t>AREA # 65, AREA # 66, AREA # 67, AREA # 68, AREA # 69, AREA # 70, AREA # 71, AREA # 72, AREA # 73</t>
  </si>
  <si>
    <t>Total number of buildings in the country (used as a check when data is based on dwellings)</t>
  </si>
  <si>
    <t>Total number of dwellings in the country (used as a check when data is based on buildings)</t>
  </si>
  <si>
    <t>Number of floors</t>
  </si>
  <si>
    <t>Material and year of construction</t>
  </si>
  <si>
    <t>Material with year of construction</t>
  </si>
  <si>
    <t>Dwelling type with year of construction</t>
  </si>
  <si>
    <t>Number of separate mapping scheme variables</t>
  </si>
  <si>
    <t>Material</t>
  </si>
  <si>
    <t>Year of construction</t>
  </si>
  <si>
    <t>Dwelling type</t>
  </si>
  <si>
    <t>Number of floors and year of construction</t>
  </si>
  <si>
    <t>Dwelling type and year of construction</t>
  </si>
  <si>
    <t>Number of dwellings and year of construction</t>
  </si>
  <si>
    <t>Material and dwelling type</t>
  </si>
  <si>
    <t>Year of construction and number of floors</t>
  </si>
  <si>
    <t>Year of construction and dwelling type</t>
  </si>
  <si>
    <t>Material and housing type</t>
  </si>
  <si>
    <t>data_Andorra_RES_GED4GEM.csv.zip</t>
  </si>
  <si>
    <t>data_Czechia_RES_GED4GEM.csv.zip</t>
  </si>
  <si>
    <t>data_Denmark_RES_GED4GEM.csv.zip</t>
  </si>
  <si>
    <t>data_Estonia_RES_GED4GEM.csv.zip</t>
  </si>
  <si>
    <t>data_Finland_RES_GED4GEM.csv.zip</t>
  </si>
  <si>
    <t>data_Gibraltar_RES_GED4GEM.csv.zip</t>
  </si>
  <si>
    <t>data_Ireland_RES_GED4GEM.csv.zip</t>
  </si>
  <si>
    <t>data_Isle_of_Man_RES_GED4GEM.csv.zip</t>
  </si>
  <si>
    <t>data_Latvia_RES_GED4GEM.csv.zip</t>
  </si>
  <si>
    <t>data_Liechtenstein_RES_GED4GEM.csv.zip</t>
  </si>
  <si>
    <t>data_Lithuania_RES_GED4GEM.csv.zip</t>
  </si>
  <si>
    <t>data_Monaco_RES_GED4GEM.csv.zip</t>
  </si>
  <si>
    <t>data_Poland_RES_GED4GEM.csv.zip</t>
  </si>
  <si>
    <t>data_Sweden_RES_GED4GEM.csv.zip</t>
  </si>
  <si>
    <t>IS001_0000</t>
  </si>
  <si>
    <t>AREA # 20, AREA # 21, AREA # 22, AREA # 23, AREA # 24, AREA # 25, AREA # 26, AREA # 27, AREA # 28, AREA # 29, AREA # 30, AREA # 31, AREA # 32, AREA # 33, AREA # 34, AREA # 35, AREA # 36</t>
  </si>
  <si>
    <t>data_United_Kingdom_RES_GED4GEM.csv.zip</t>
  </si>
  <si>
    <t>data_Luxembourg_RES_GED4GEM.csv.zip</t>
  </si>
  <si>
    <t>mapping_Romania_RES.xlsx</t>
  </si>
  <si>
    <t>mapping_Greece_RES.xlsx</t>
  </si>
  <si>
    <t>1110301, 1221801, 2312201, 2312401, 4626901, 4717101, 4717401, 1120701, 3514501</t>
  </si>
  <si>
    <t>Industrial model development data</t>
  </si>
  <si>
    <t>Number of industrial enterprises - mining/quarrying</t>
  </si>
  <si>
    <t>Number of industrial enterprises - manufacturing</t>
  </si>
  <si>
    <t>Number of industrial enterprises - construction</t>
  </si>
  <si>
    <t>Total number of industrial enterprises</t>
  </si>
  <si>
    <t>Area per facility</t>
  </si>
  <si>
    <t>The number was obtained using total national industrial area and a similar area per facility to the neighbouring countries</t>
  </si>
  <si>
    <t>data_Albania_IND_buildings.csv</t>
  </si>
  <si>
    <t>mapping_Albania_IND.xlsx</t>
  </si>
  <si>
    <t>Distribution of industrial buildings</t>
  </si>
  <si>
    <t>data_Andorra_IND_buildings.csv</t>
  </si>
  <si>
    <t>Resolution</t>
  </si>
  <si>
    <t>30 arc seconds</t>
  </si>
  <si>
    <t>Total national number of industrial buildings</t>
  </si>
  <si>
    <t>Assumed 1 enterprise per building</t>
  </si>
  <si>
    <t>data_Austria_IND_buildings.csv</t>
  </si>
  <si>
    <t>data_Belgium_IND_buildings.csv</t>
  </si>
  <si>
    <t>data_Bosnia_and_Herzegovina_IND_buildings.csv</t>
  </si>
  <si>
    <t>data_Bulgaria_IND_buildings.csv</t>
  </si>
  <si>
    <t>data_Croatia_IND_buildings.csv</t>
  </si>
  <si>
    <t>data_Cyprus_IND_buildings.csv</t>
  </si>
  <si>
    <t>data_Czechia_IND_buildings.csv</t>
  </si>
  <si>
    <t>data_Denmark_IND_buildings.csv</t>
  </si>
  <si>
    <t>data_Estonia_IND_buildings.csv</t>
  </si>
  <si>
    <t>data_Finland_IND_buildings.csv</t>
  </si>
  <si>
    <t>data_France_IND_buildings.csv</t>
  </si>
  <si>
    <t>data_Germany_IND_buildings.csv</t>
  </si>
  <si>
    <t>data_Gibraltar_IND_buildings.csv</t>
  </si>
  <si>
    <t>data_Greece_IND_buildings.csv</t>
  </si>
  <si>
    <t>data_Hungary_IND_buildings.csv</t>
  </si>
  <si>
    <t>data_Iceland_IND_buildings.csv</t>
  </si>
  <si>
    <t>data_Ireland_IND_buildings.csv</t>
  </si>
  <si>
    <t>data_Isle_of_Man_IND_buildings.csv</t>
  </si>
  <si>
    <t>data_Italy_IND_buildings.csv</t>
  </si>
  <si>
    <t>data_Kosovo_IND_buildings.csv</t>
  </si>
  <si>
    <t>data_Latvia_IND_buildings.csv</t>
  </si>
  <si>
    <t>data_Liechtenstein_IND_buildings.csv</t>
  </si>
  <si>
    <t>data_Lithuania_IND_buildings.csv</t>
  </si>
  <si>
    <t>data_Luxembourg_IND_buildings.csv</t>
  </si>
  <si>
    <t>data_Malta_IND_buildings.csv</t>
  </si>
  <si>
    <t>data_Moldova_IND_buildings.csv</t>
  </si>
  <si>
    <t>data_Monaco_IND_buildings.csv</t>
  </si>
  <si>
    <t>data_Montenegro_IND_buildings.csv</t>
  </si>
  <si>
    <t>data_Netherlands_IND_buildings.csv</t>
  </si>
  <si>
    <t>data_North_Macedonia_IND_buildings.csv</t>
  </si>
  <si>
    <t>data_Norway_IND_buildings.csv</t>
  </si>
  <si>
    <t>data_Poland_IND_buildings.csv</t>
  </si>
  <si>
    <t>data_Portugal_IND_buildings.csv</t>
  </si>
  <si>
    <t>data_Romania_IND_buildings.csv</t>
  </si>
  <si>
    <t>data_Serbia_IND_buildings.csv</t>
  </si>
  <si>
    <t>data_Slovakia_IND_buildings.csv</t>
  </si>
  <si>
    <t>data_Slovenia_IND_buildings.csv</t>
  </si>
  <si>
    <t>data_Spain_IND_buildings.csv</t>
  </si>
  <si>
    <t>data_Sweden_IND_buildings.csv</t>
  </si>
  <si>
    <t>data_Switzerland_IND_buildings.csv</t>
  </si>
  <si>
    <t>data_United_Kingdom_IND_buildings.csv</t>
  </si>
  <si>
    <t>mapping_Andorra_IND.xlsx</t>
  </si>
  <si>
    <t>mapping_Austria_IND.xlsx</t>
  </si>
  <si>
    <t>mapping_Belgium_IND.xlsx</t>
  </si>
  <si>
    <t>mapping_Bosnia_and_Herzegovina_IND.xlsx</t>
  </si>
  <si>
    <t>mapping_Bulgaria_IND.xlsx</t>
  </si>
  <si>
    <t>mapping_Croatia_IND.xlsx</t>
  </si>
  <si>
    <t>mapping_Cyprus_IND.xlsx</t>
  </si>
  <si>
    <t>mapping_Czechia_IND.xlsx</t>
  </si>
  <si>
    <t>mapping_Denmark_IND.xlsx</t>
  </si>
  <si>
    <t>mapping_Estonia_IND.xlsx</t>
  </si>
  <si>
    <t>mapping_Finland_IND.xlsx</t>
  </si>
  <si>
    <t>mapping_France_IND.xlsx</t>
  </si>
  <si>
    <t>mapping_Germany_IND.xlsx</t>
  </si>
  <si>
    <t>mapping_Gibraltar_IND.xlsx</t>
  </si>
  <si>
    <t>mapping_Greece_IND.xlsx</t>
  </si>
  <si>
    <t>mapping_Hungary_IND.xlsx</t>
  </si>
  <si>
    <t>mapping_Iceland_IND.xlsx</t>
  </si>
  <si>
    <t>mapping_Ireland_IND.xlsx</t>
  </si>
  <si>
    <t>mapping_Isle_of_Man_IND.xlsx</t>
  </si>
  <si>
    <t>mapping_Italy_IND.xlsx</t>
  </si>
  <si>
    <t>mapping_Kosovo_IND.xlsx</t>
  </si>
  <si>
    <t>mapping_Latvia_IND.xlsx</t>
  </si>
  <si>
    <t>mapping_Liechtenstein_IND.xlsx</t>
  </si>
  <si>
    <t>mapping_Lithuania_IND.xlsx</t>
  </si>
  <si>
    <t>mapping_Luxembourg_IND.xlsx</t>
  </si>
  <si>
    <t>mapping_Malta_IND.xlsx</t>
  </si>
  <si>
    <t>mapping_Moldova_IND.xlsx</t>
  </si>
  <si>
    <t>mapping_Monaco_IND.xlsx</t>
  </si>
  <si>
    <t>mapping_Montenegro_IND.xlsx</t>
  </si>
  <si>
    <t>mapping_Netherlands_IND.xlsx</t>
  </si>
  <si>
    <t>mapping_North_Macedonia_IND.xlsx</t>
  </si>
  <si>
    <t>mapping_Norway_IND.xlsx</t>
  </si>
  <si>
    <t>mapping_Poland_IND.xlsx</t>
  </si>
  <si>
    <t>mapping_Portugal_IND.xlsx</t>
  </si>
  <si>
    <t>mapping_Romania_IND.xlsx</t>
  </si>
  <si>
    <t>mapping_Serbia_IND.xlsx</t>
  </si>
  <si>
    <t>mapping_Slovakia_IND.xlsx</t>
  </si>
  <si>
    <t>mapping_Slovenia_IND.xlsx</t>
  </si>
  <si>
    <t>mapping_Spain_IND.xlsx</t>
  </si>
  <si>
    <t>mapping_Sweden_IND.xlsx</t>
  </si>
  <si>
    <t>mapping_Switzerland_IND.xlsx</t>
  </si>
  <si>
    <t>mapping_Turkey_IND.xlsx</t>
  </si>
  <si>
    <t>mapping_United_Kingdom_IND.xlsx</t>
  </si>
  <si>
    <t>Commercial model development data</t>
  </si>
  <si>
    <t>data_Albania_COM_buildings.csv</t>
  </si>
  <si>
    <t>mapping_Albania_COM.xlsx</t>
  </si>
  <si>
    <t>Area per building class</t>
  </si>
  <si>
    <t>area_per_building_Albania_COM.csv</t>
  </si>
  <si>
    <t>data_Andorra_COM_buildings.csv</t>
  </si>
  <si>
    <t>mapping_Andorra_COM.xlsx</t>
  </si>
  <si>
    <t>area_per_building_Andorra_COM.csv</t>
  </si>
  <si>
    <t>data_Austria_COM_buildings.csv</t>
  </si>
  <si>
    <t>mapping_Austria_COM.xlsx</t>
  </si>
  <si>
    <t>area_per_building_Austria_COM.csv</t>
  </si>
  <si>
    <t>data_Belgium_COM_buildings.csv</t>
  </si>
  <si>
    <t>mapping_Belgium_COM.xlsx</t>
  </si>
  <si>
    <t>area_per_building_Belgium_COM.csv</t>
  </si>
  <si>
    <t>data_Bosnia_and_Herzegovina_COM_buildings.csv</t>
  </si>
  <si>
    <t>mapping_Bosnia_and_Herzegovina_COM.xlsx</t>
  </si>
  <si>
    <t>area_per_building_Bosnia_and_Herzegovina_COM.csv</t>
  </si>
  <si>
    <t>data_Bulgaria_COM_buildings.csv</t>
  </si>
  <si>
    <t>mapping_Bulgaria_COM.xlsx</t>
  </si>
  <si>
    <t>area_per_building_Bulgaria_COM.csv</t>
  </si>
  <si>
    <t>data_Croatia_COM_buildings.csv</t>
  </si>
  <si>
    <t>mapping_Croatia_COM.xlsx</t>
  </si>
  <si>
    <t>area_per_building_Croatia_COM.csv</t>
  </si>
  <si>
    <t>data_Cyprus_COM_buildings.csv</t>
  </si>
  <si>
    <t>mapping_Cyprus_COM.xlsx</t>
  </si>
  <si>
    <t>area_per_building_Cyprus_COM.csv</t>
  </si>
  <si>
    <t>data_Czechia_COM_buildings.csv</t>
  </si>
  <si>
    <t>mapping_Czechia_COM.xlsx</t>
  </si>
  <si>
    <t>area_per_building_Czechia_COM.csv</t>
  </si>
  <si>
    <t>data_Denmark_COM_buildings.csv</t>
  </si>
  <si>
    <t>mapping_Denmark_COM.xlsx</t>
  </si>
  <si>
    <t>area_per_building_Denmark_COM.csv</t>
  </si>
  <si>
    <t>data_Estonia_COM_buildings.csv</t>
  </si>
  <si>
    <t>mapping_Estonia_COM.xlsx</t>
  </si>
  <si>
    <t>area_per_building_Estonia_COM.csv</t>
  </si>
  <si>
    <t>data_Finland_COM_buildings.csv</t>
  </si>
  <si>
    <t>mapping_Finland_COM.xlsx</t>
  </si>
  <si>
    <t>area_per_building_Finland_COM.csv</t>
  </si>
  <si>
    <t>data_France_COM_buildings.csv</t>
  </si>
  <si>
    <t>mapping_France_COM.xlsx</t>
  </si>
  <si>
    <t>area_per_building_France_COM.csv</t>
  </si>
  <si>
    <t>data_Germany_COM_buildings.csv</t>
  </si>
  <si>
    <t>mapping_Germany_COM.xlsx</t>
  </si>
  <si>
    <t>area_per_building_Germany_COM.csv</t>
  </si>
  <si>
    <t>data_Gibraltar_COM_buildings.csv</t>
  </si>
  <si>
    <t>mapping_Gibraltar_COM.xlsx</t>
  </si>
  <si>
    <t>area_per_building_Gibraltar_COM.csv</t>
  </si>
  <si>
    <t>data_Greece_COM_buildings.csv</t>
  </si>
  <si>
    <t>mapping_Greece_COM.xlsx</t>
  </si>
  <si>
    <t>area_per_building_Greece_COM.csv</t>
  </si>
  <si>
    <t>data_Hungary_COM_buildings.csv</t>
  </si>
  <si>
    <t>mapping_Hungary_COM.xlsx</t>
  </si>
  <si>
    <t>area_per_building_Hungary_COM.csv</t>
  </si>
  <si>
    <t>data_Iceland_COM_buildings.csv</t>
  </si>
  <si>
    <t>mapping_Iceland_COM.xlsx</t>
  </si>
  <si>
    <t>area_per_building_Iceland_COM.csv</t>
  </si>
  <si>
    <t>data_Ireland_COM_buildings.csv</t>
  </si>
  <si>
    <t>mapping_Ireland_COM.xlsx</t>
  </si>
  <si>
    <t>area_per_building_Ireland_COM.csv</t>
  </si>
  <si>
    <t>data_Isle_of_Man_COM_buildings.csv</t>
  </si>
  <si>
    <t>mapping_Isle_of_Man_COM.xlsx</t>
  </si>
  <si>
    <t>area_per_building_Isle_of_Man_COM.csv</t>
  </si>
  <si>
    <t>data_Italy_COM_buildings.csv</t>
  </si>
  <si>
    <t>mapping_Italy_COM.xlsx</t>
  </si>
  <si>
    <t>area_per_building_Italy_COM.csv</t>
  </si>
  <si>
    <t>data_Kosovo_COM_buildings.csv</t>
  </si>
  <si>
    <t>mapping_Kosovo_COM.xlsx</t>
  </si>
  <si>
    <t>area_per_building_Kosovo_COM.csv</t>
  </si>
  <si>
    <t>data_Latvia_COM_buildings.csv</t>
  </si>
  <si>
    <t>mapping_Latvia_COM.xlsx</t>
  </si>
  <si>
    <t>area_per_building_Latvia_COM.csv</t>
  </si>
  <si>
    <t>data_Liechtenstein_COM_buildings.csv</t>
  </si>
  <si>
    <t>mapping_Liechtenstein_COM.xlsx</t>
  </si>
  <si>
    <t>area_per_building_Liechtenstein_COM.csv</t>
  </si>
  <si>
    <t>data_Lithuania_COM_buildings.csv</t>
  </si>
  <si>
    <t>mapping_Lithuania_COM.xlsx</t>
  </si>
  <si>
    <t>area_per_building_Lithuania_COM.csv</t>
  </si>
  <si>
    <t>data_Luxembourg_COM_buildings.csv</t>
  </si>
  <si>
    <t>mapping_Luxembourg_COM.xlsx</t>
  </si>
  <si>
    <t>area_per_building_Luxembourg_COM.csv</t>
  </si>
  <si>
    <t>data_Malta_COM_buildings.csv</t>
  </si>
  <si>
    <t>mapping_Malta_COM.xlsx</t>
  </si>
  <si>
    <t>area_per_building_Malta_COM.csv</t>
  </si>
  <si>
    <t>data_Moldova_COM_buildings.csv</t>
  </si>
  <si>
    <t>mapping_Moldova_COM.xlsx</t>
  </si>
  <si>
    <t>area_per_building_Moldova_COM.csv</t>
  </si>
  <si>
    <t>data_Monaco_COM_buildings.csv</t>
  </si>
  <si>
    <t>mapping_Monaco_COM.xlsx</t>
  </si>
  <si>
    <t>area_per_building_Monaco_COM.csv</t>
  </si>
  <si>
    <t>data_Montenegro_COM_buildings.csv</t>
  </si>
  <si>
    <t>mapping_Montenegro_COM.xlsx</t>
  </si>
  <si>
    <t>area_per_building_Montenegro_COM.csv</t>
  </si>
  <si>
    <t>data_Netherlands_COM_buildings.csv</t>
  </si>
  <si>
    <t>mapping_Netherlands_COM.xlsx</t>
  </si>
  <si>
    <t>area_per_building_Netherlands_COM.csv</t>
  </si>
  <si>
    <t>data_North_Macedonia_COM_buildings.csv</t>
  </si>
  <si>
    <t>mapping_North_Macedonia_COM.xlsx</t>
  </si>
  <si>
    <t>area_per_building_North_Macedonia_COM.csv</t>
  </si>
  <si>
    <t>data_Norway_COM_buildings.csv</t>
  </si>
  <si>
    <t>mapping_Norway_COM.xlsx</t>
  </si>
  <si>
    <t>area_per_building_Norway_COM.csv</t>
  </si>
  <si>
    <t>data_Poland_COM_buildings.csv</t>
  </si>
  <si>
    <t>mapping_Poland_COM.xlsx</t>
  </si>
  <si>
    <t>area_per_building_Poland_COM.csv</t>
  </si>
  <si>
    <t>data_Portugal_COM_buildings.csv</t>
  </si>
  <si>
    <t>mapping_Portugal_COM.xlsx</t>
  </si>
  <si>
    <t>area_per_building_Portugal_COM.csv</t>
  </si>
  <si>
    <t>data_Romania_COM_buildings.csv</t>
  </si>
  <si>
    <t>mapping_Romania_COM.xlsx</t>
  </si>
  <si>
    <t>area_per_building_Romania_COM.csv</t>
  </si>
  <si>
    <t>data_Serbia_COM_buildings.csv</t>
  </si>
  <si>
    <t>mapping_Serbia_COM.xlsx</t>
  </si>
  <si>
    <t>area_per_building_Serbia_COM.csv</t>
  </si>
  <si>
    <t>data_Slovakia_COM_buildings.csv</t>
  </si>
  <si>
    <t>mapping_Slovakia_COM.xlsx</t>
  </si>
  <si>
    <t>area_per_building_Slovakia_COM.csv</t>
  </si>
  <si>
    <t>data_Slovenia_COM_buildings.csv</t>
  </si>
  <si>
    <t>mapping_Slovenia_COM.xlsx</t>
  </si>
  <si>
    <t>area_per_building_Slovenia_COM.csv</t>
  </si>
  <si>
    <t>data_Spain_COM_buildings.csv</t>
  </si>
  <si>
    <t>mapping_Spain_COM.xlsx</t>
  </si>
  <si>
    <t>area_per_building_Spain_COM.csv</t>
  </si>
  <si>
    <t>data_Sweden_COM_buildings.csv</t>
  </si>
  <si>
    <t>mapping_Sweden_COM.xlsx</t>
  </si>
  <si>
    <t>area_per_building_Sweden_COM.csv</t>
  </si>
  <si>
    <t>data_Switzerland_COM_buildings.csv</t>
  </si>
  <si>
    <t>mapping_Switzerland_COM.xlsx</t>
  </si>
  <si>
    <t>area_per_building_Switzerland_COM.csv</t>
  </si>
  <si>
    <t>data_United_Kingdom_COM_buildings.csv</t>
  </si>
  <si>
    <t>mapping_United_Kingdom_COM.xlsx</t>
  </si>
  <si>
    <t>area_per_building_United_Kingdom_COM.csv</t>
  </si>
  <si>
    <t>mapping_Turkey_COM.xlsx</t>
  </si>
  <si>
    <t>area_per_building_Turkey_COM.csv</t>
  </si>
  <si>
    <t>2011 Population and Housing Census
https://www.gov.im</t>
  </si>
  <si>
    <t>2010 Population and Housing Census</t>
  </si>
  <si>
    <t>2008 Population and Housing Census
http://www.monacostatistics.mc</t>
  </si>
  <si>
    <t>ECOFYS (https://leonardo-energy.pl/wp-content/uploads/2018/03/Europejski-sektor-budownictwa-niemieszkalnego.pdf)</t>
  </si>
  <si>
    <t>https://tinyurl.com/wmy3dnx</t>
  </si>
  <si>
    <t>http://hdr.undp.org/sites/default/files/nhdr_en_web_30102013.pdf 
(Figure 3.4, population density)</t>
  </si>
  <si>
    <t>NERA Project: https://tinyurl.com/w4awj9k</t>
  </si>
  <si>
    <t>TABULA Project: https://episcope.eu/iee-project/tabula/</t>
  </si>
  <si>
    <t>RES</t>
  </si>
  <si>
    <t>Name of the file that contains the building distribution data (inside folder 'res_exposure_source_data')</t>
  </si>
  <si>
    <t>Name of the file that contains the dwelling distribution data  (inside folder 'res_exposure_source_data')</t>
  </si>
  <si>
    <t>One: variables given in first row. Two: variables given in first row and first column</t>
  </si>
  <si>
    <t>Names of the variables taken from the census</t>
  </si>
  <si>
    <t>Census variables</t>
  </si>
  <si>
    <t>Division of country for mapping schemes (can be Urban, Rural, Urban/rural, Urban/rural/big_cities, Urban/rural_historic, Urban/rural/Istanbul)</t>
  </si>
  <si>
    <t>Sources used to develop the mapping scheme (links provided in the References tab)</t>
  </si>
  <si>
    <t>Name of the file that describes the evolution of design codes in the country (inside folder 'seismic_design')</t>
  </si>
  <si>
    <t>Name of the file with the model for the number of dwellings per building for each building class (inside folder 'res_dwelling_per_building')</t>
  </si>
  <si>
    <t>Name of file with model of the area per dwelling (inside folder 'res_dwelling_area'</t>
  </si>
  <si>
    <t>Additional Notes</t>
  </si>
  <si>
    <t>Distribution of dwellings</t>
  </si>
  <si>
    <t>Distribution of residential buildings</t>
  </si>
  <si>
    <t>Assumed (checked against similar countries)</t>
  </si>
  <si>
    <t>Distribution of employees in industry (from census) according to the population distribution X (area per employee / area per facility)</t>
  </si>
  <si>
    <t xml:space="preserve">Distribution of population (from census) X number of buildings </t>
  </si>
  <si>
    <t>REF_IND1</t>
  </si>
  <si>
    <t>REF_IND2</t>
  </si>
  <si>
    <t>REF_IND3</t>
  </si>
  <si>
    <t>Bournas, D.A., Negro, P., and Taucer, F.F., 2014. Performance of industrial buildings during the Emilia earthquakes in Northern Italy and recommendations for their strengthening, Bull Earthquake Eng 12, 2383–2404. https://doi.org/10.1007/s10518-013-9466-z.</t>
  </si>
  <si>
    <t>Distribution of commercial buildings</t>
  </si>
  <si>
    <t>Total floor area offices</t>
  </si>
  <si>
    <t>Total floor area wholesale and retail trade</t>
  </si>
  <si>
    <t>Total floor area hotels and restaurants</t>
  </si>
  <si>
    <t>Method to distribute total industrial buildings</t>
  </si>
  <si>
    <t>Eurostat 2014: http://bit.ly/2GjGHMW</t>
  </si>
  <si>
    <t>2015 Structural Business Statistics: http://bit.ly/2p94UgL</t>
  </si>
  <si>
    <t>2016 Structural Business Statistics / Active enterprises by economic activity and size: http://bit.ly/2DoyaW4</t>
  </si>
  <si>
    <t xml:space="preserve">2017 Structural Business Statistics / Construction, Industry and Energy: https://www.estadistica.ad/serveiestudis/web/index.asp
</t>
  </si>
  <si>
    <t>2014 Structural Business Statistics: 
http://bit.ly/2p8Aifo
http://bit.ly/2FDBHBH</t>
  </si>
  <si>
    <t>2016 Structural Business Statistics:
http://bit.ly/2HsCVjR
http://bit.ly/2GlDdcW</t>
  </si>
  <si>
    <t>2013 Structural Business Statistics:
http://bit.ly/2FMSS75</t>
  </si>
  <si>
    <t>2016 Structural Business Statistics:
http://bit.ly/2In6aFS
http://bit.ly/2HrQVu6</t>
  </si>
  <si>
    <t>2015 Structural Business Statistics:
http://bit.ly/2DokWsa</t>
  </si>
  <si>
    <t xml:space="preserve">2012 Population and Housing Census:
http://bit.ly/2GrhPD3
http://bit.ly/2FPhTP4 </t>
  </si>
  <si>
    <t>Total national industrial area (REF_IND1)</t>
  </si>
  <si>
    <t>Mapping scheme (REF_IND2 - REF_IND4)</t>
  </si>
  <si>
    <t>REF_IND4</t>
  </si>
  <si>
    <t>Using area from REF_IND1</t>
  </si>
  <si>
    <t>2016 National Census:
https://www.gov.im/census/ 
https://www.gov.im/about-the-government/departments/cabinet-office/economic-affairs-division/</t>
  </si>
  <si>
    <t>2011 Structural Business Statistics:
http://bit.ly/2p98kQD
http://bit.ly/2p9yjY5</t>
  </si>
  <si>
    <t>Distrbution of employed in industry per region (see link above) X number of buildings</t>
  </si>
  <si>
    <t>2016 Structural Business Statistics:
http://bit.ly/2Hsdyi7</t>
  </si>
  <si>
    <t>2017 Population and Housing Census:
https://www.ssb.no</t>
  </si>
  <si>
    <t>2015 Structural Business Statistics:
http://bit.ly/2FtMbro
http://bit.ly/2FvxFiO</t>
  </si>
  <si>
    <t>According to census (see link above)</t>
  </si>
  <si>
    <t>2017 Structural Business Statistics / Services, commerce, hotel and tourism: https://www.estadistica.ad/serveiestudis/web/index.asp</t>
  </si>
  <si>
    <t>2011 Population and Housing Census:
http://www.statistik.at</t>
  </si>
  <si>
    <t>Based on number of businesses by admin level 1 in census (see link above)</t>
  </si>
  <si>
    <t>2017 Statistics: 
http://www.bhas.ba</t>
  </si>
  <si>
    <t>Eurostat 2011: https://ec.europa.eu/energy/en/eu-buildings-database
2011 Population and Housing Census: https://statbel.fgov.be</t>
  </si>
  <si>
    <t>2011 Population and Housing Census (Labour Market and Education): http://www.instat.gov.al</t>
  </si>
  <si>
    <t>Number of buildings per sector (from Eurostat) distributed according to total labour force (from census)</t>
  </si>
  <si>
    <t xml:space="preserve">http://bpie.eu/wp-content/uploads/2015/10/HR_EU_B_under_microscope_study.pdf </t>
  </si>
  <si>
    <t>Number of buildings per sector (from Eurostat) distributed according to labour force by sector (from census)</t>
  </si>
  <si>
    <t>Eurostat 2014: https://ec.europa.eu/energy/en/eu-buildings-database
2011 Population and Housing Census:
https://www.czso.cz</t>
  </si>
  <si>
    <t xml:space="preserve">Offices: https://ec.europa.eu/energy/en/eu-buildings-database &amp; Trade and Hotels: http://bpie.eu/wp-content/uploads/2015/10/HR_EU_B_under_microscope_study.pdf </t>
  </si>
  <si>
    <t>2011 Statistics: https://www.dst.dk</t>
  </si>
  <si>
    <t>Number of buildings per sector distributed according to labour force per sector (both from census)</t>
  </si>
  <si>
    <t>Eurostat 2011: https://ec.europa.eu/energy/en/eu-buildings-database
2011 Population and Housing Census:
https://www.stat.ee</t>
  </si>
  <si>
    <t>Number of enterprises per sector (from Eurostat) divided by 2 and distributed according to labour force per sector (from census)</t>
  </si>
  <si>
    <t>Number of enterprises per sector distributed according to labour force per sector</t>
  </si>
  <si>
    <t>Total number of buildings per sector from census, distributed according to admin level 1 population</t>
  </si>
  <si>
    <t>Total number of buildings per sector distributed according to labour force distribution in each sector (both from census)</t>
  </si>
  <si>
    <t>2012 Population and Housing Census:
https://www.gibraltar.gov.gi</t>
  </si>
  <si>
    <t>Based on percentage of employees per sector and number of hotels (from census)</t>
  </si>
  <si>
    <t xml:space="preserve">https://ec.europa.eu/energy/en/eu-buildings-database </t>
  </si>
  <si>
    <t>Number of buildings per sector (from Eurostat) distributed according to labour force per sector (from census)</t>
  </si>
  <si>
    <t>Eurostat 2011: https://ec.europa.eu/energy/en/eu-buildings-database
2011 Population and Housing Census
http://www.statistics.gr</t>
  </si>
  <si>
    <t>Reduced values used in model to produce similar IND/COM ratio to REF_COM1</t>
  </si>
  <si>
    <t>REF_COM1</t>
  </si>
  <si>
    <t>Number of enterprises per sector (from Eurostat) divided by 3 and distributed according to labour force (from census)</t>
  </si>
  <si>
    <t>Number of enterprises per sector (from Eurostat) divided by 2 and distributed according to labour force (from census)</t>
  </si>
  <si>
    <t>Number of enterprises per sector (from Eurostat) divided by 2.6 and distributd according to labour force (from census)</t>
  </si>
  <si>
    <t>Number of enterprises per sector (from Eurostat) divided by 2 for trade, 70% for offices and 80% for hotels and distributed according to labour force per sector (from census)</t>
  </si>
  <si>
    <t>Number of enterprises per sector (from Eurostat) divided by 2 for offices and by 3 for trade, distributed according to labour force per sector (from census)</t>
  </si>
  <si>
    <t>Total number of businesses per sector per admin level 1 (buildings assumed to be 40% of services businesses for offices, 40% of commerce businesses for trade and 80% hotels and tourism)</t>
  </si>
  <si>
    <t xml:space="preserve">2011 Population and Housing Census:
https://www.statice.is/
</t>
  </si>
  <si>
    <t>Number of enterprises per sector (buildings assumed to be 60%) and distributed according to labour force (from census)</t>
  </si>
  <si>
    <t>Eurostat 2011: https://ec.europa.eu/energy/en/eu-buildings-database
2011 Population and Housing Census
https://www.cso.ie</t>
  </si>
  <si>
    <t>Number of buildings per sector (from Eurostat) distributed according to labour force (from census)</t>
  </si>
  <si>
    <t>2016 Statistics:
https://www.gov.im</t>
  </si>
  <si>
    <t>Based on number of employees per sector and per building (from census)</t>
  </si>
  <si>
    <t>2011 Population and Housing Census:
www.istat.it</t>
  </si>
  <si>
    <t>Total number of commercial/industrial buildings from report, number of industrial buildings removed, percentage of each sector based on enterprises, distributed according to labour force per sector (from census)</t>
  </si>
  <si>
    <t>Report: https://www.solarthermalworld.org/sites/gstec/files/news/file/2014-11-24/kosovo_heating_strategy_2011_to_2018.pdf
2011 Population and Housing Census:
http://ask.rks-gov.net</t>
  </si>
  <si>
    <t>https://www.solarthermalworld.org/sites/gstec/files/news/file/2014-11-24/kosovo_heating_strategy_2011_to_2018.pdf</t>
  </si>
  <si>
    <t>Average area per building from report linked above</t>
  </si>
  <si>
    <t>Method to calculate and distribute commercial buildings per sector (offices, retail/trade, hotels)</t>
  </si>
  <si>
    <t>Eurostat 2011: https://ec.europa.eu/energy/en/eu-buildings-database
2009 Population and Housing Census
http://www.csb.gov.lv</t>
  </si>
  <si>
    <t>2016 Statistics: https://www.llv.li/</t>
  </si>
  <si>
    <t>Number of workplaces per admin level 1 (from census) reduced by 20% (for offices and trade) and 10% (for hotels) to obtain estimate of number of buildings</t>
  </si>
  <si>
    <t>Eurostat 2011: https://ec.europa.eu/energy/en/eu-buildings-database
2001 Population and Housing Census
https://osp.stat.gov.lt</t>
  </si>
  <si>
    <t>Number of buildings (from Eurostat) distributed according to labour force per sector (from census)</t>
  </si>
  <si>
    <t>Eurostat 2011: https://ec.europa.eu/energy/en/eu-buildings-database
2001 Population and Housing Census
http://www.statistiques.public.lu</t>
  </si>
  <si>
    <t>Number of buildings (from Eurostat) distributed according to labour force (from census)</t>
  </si>
  <si>
    <t>Eurostat 2011: https://ec.europa.eu/energy/en/eu-buildings-database
2005 Population and Housing Census 
https://nso.gov.mt</t>
  </si>
  <si>
    <t>2016 Statistics: http://www.statistica.md</t>
  </si>
  <si>
    <t>Number of enterprises per admin level 1 (from census) reduced by 40%</t>
  </si>
  <si>
    <t>Number of employers (from census) divided by 3 for offices, 2.5 for trade, 1 for hotels</t>
  </si>
  <si>
    <t>2016 Statistics: https://www.monacostatistics.mc/</t>
  </si>
  <si>
    <t>2009 Statistics:
http://www.stat.gov.mk</t>
  </si>
  <si>
    <t>Number of enterprises per sector per admin level 1 (from census) reduced by 20%</t>
  </si>
  <si>
    <t>Number of enterprises per sector per admin level 1 (from census) reduced by 15% for offices and trade and 10% for hotels</t>
  </si>
  <si>
    <t>2016 Statistics
http://monstat.org</t>
  </si>
  <si>
    <t>Number of buildings for offices and trade from OpenData (see below), and number of enterprises for hotels (Eurostat) reduced by 50% and distributed by labour force (from census)</t>
  </si>
  <si>
    <t>Number of buildings per sector per admin level 1 from census</t>
  </si>
  <si>
    <t>Number of enterprises (from Eurostat) reduced by 30% for offices and trade and 10% for hotels, distributed by labour force per sector (from census)</t>
  </si>
  <si>
    <t xml:space="preserve">Offices: https://ec.europa.eu/energy/en/eu-buildings-database, Trade and Hotel: http://bpie.eu/wp-content/uploads/2015/10/HR_EU_B_under_microscope_study.pdf </t>
  </si>
  <si>
    <t xml:space="preserve">Number of enterprises per sector per admin level 3 reduced by 50% </t>
  </si>
  <si>
    <t>Number of buildings per sector (from Eurostat) distributed by labour force per sector (from census)</t>
  </si>
  <si>
    <t>Eurostat 2011: https://ec.europa.eu/energy/en/eu-buildings-database
2011 Population and Housing Census
http://www.recensamantromania.ro</t>
  </si>
  <si>
    <t>Number of enterprises per sector distributed according to labour force (both from census)</t>
  </si>
  <si>
    <t>2015 Statistics: http://www.stat.gov.rs</t>
  </si>
  <si>
    <t>2016 Statistics: http://statdat.statistics.sk</t>
  </si>
  <si>
    <t>Number of enterprises per sector reduced by 50% for offices and trade and 10% for hotels, distributed according to labour force (both from census)</t>
  </si>
  <si>
    <t>Number of enterprises per sector (from Eurostat) reduced by 50% and distributed according to labour force (from census)</t>
  </si>
  <si>
    <t>Number of enterprises per sector (from Eurostat) reduced by 60% and distributed according to labour force (from census)</t>
  </si>
  <si>
    <t>Eurostat 2011: https://ec.europa.eu/energy/en/eu-buildings-database
2011 Population and Housing Census
http://www.statistikdatabasen.scb.se</t>
  </si>
  <si>
    <t>Number of commercial buildings (not by sector) per admin level 1 from the census</t>
  </si>
  <si>
    <t>Number of enterprises reduced by 30% for offices and trade, distributed per admin level 1 according to census</t>
  </si>
  <si>
    <t>Number of enteprises per sector (from Eurostat) divided by 1.6 and distributed according to labour force per sector (from census)</t>
  </si>
  <si>
    <t>2011 Population and Housing Census:
https://www.istat.it</t>
  </si>
  <si>
    <t>Single_houses: 800, Apartments: 600</t>
  </si>
  <si>
    <t>Eurostat 2011: http://bit.ly/2GjGHMW
2011 Population and Housing Census: http://www.nsi.bg &amp; https://infostat.nsi.bg/infostat/pages/reports/query.jsf?x_2=754</t>
  </si>
  <si>
    <t>Eurostat 2015: http://bit.ly/2GjGHMW
2011 Population and Housing Census: https://www.dzs.hr</t>
  </si>
  <si>
    <t>Eurostat 2011: http://bit.ly/2GjGHMW
2011 Population and Housing Census:
http://www.cystat.gov.cy</t>
  </si>
  <si>
    <t>Eurostat 2015: http://bit.ly/2GjGHMW
2014 Population and Housing Census
https://www.insee.fr</t>
  </si>
  <si>
    <t>Eurostat 2011: http://bit.ly/2GjGHMW
2011 Population and Housing Census
https://www.destatis.de</t>
  </si>
  <si>
    <t>Eurostat 2011: http://bit.ly/2GjGHMW
2011 Population and Housing Census
https://www.ksh.hu</t>
  </si>
  <si>
    <t xml:space="preserve">Eurostat 2011: http://bit.ly/2GjGHMW
https://opendata.cbs.nl/statline/#/CBS/en/dataset/81955eng/table?dl=1117E 
2017 Population and Housing Census: https://www.cbs.nl
</t>
  </si>
  <si>
    <t>Eurostat 2015: http://bit.ly/2GjGHMW
2016 Statistics: http://stat.gov.pl</t>
  </si>
  <si>
    <t>Eurostat 2015: http://bit.ly/2GjGHMW
2002 Population and Housing Census
http://www.stat.si/</t>
  </si>
  <si>
    <t>Eurostat 2015: http://bit.ly/2GjGHMW
2011 Population and Housing Census
http://www.ine.es</t>
  </si>
  <si>
    <t>Eurostat 2015: http://bit.ly/2GjGHMW
2001 Population and Housing Census
https://www.ons.gov.uk</t>
  </si>
  <si>
    <t>2011 Population and Housing Census
https://www.istat.it</t>
  </si>
  <si>
    <t>REF_EU1</t>
  </si>
  <si>
    <t>dwlngs_per_bldngs_Portugal_RES.txt</t>
  </si>
  <si>
    <t>population &gt;10,000 = urban</t>
  </si>
  <si>
    <t>Reconstruction cost per m^2 - big city</t>
  </si>
  <si>
    <t>Reconstruction cost per m^2 - urban</t>
  </si>
  <si>
    <t>Reconstruction cost per m^2 - rural</t>
  </si>
  <si>
    <t>Reconstruction cost per m^2</t>
  </si>
  <si>
    <t>Reconstruction costt per m^2 - hotels</t>
  </si>
  <si>
    <t>Reconstruction cost per m^2 - trade</t>
  </si>
  <si>
    <t>Reconstruction cost per m^2 - offices</t>
  </si>
  <si>
    <t>Historic centres use the replacement cost of urban areas.</t>
  </si>
  <si>
    <t>Population spatial distribution data</t>
  </si>
  <si>
    <t>Change in CDL lateral force coefficients not considered (due to year not being in mapping scheme)</t>
  </si>
  <si>
    <t>Change in CDM lateral force coefficients not considered (due to year not being in mapping scheme)</t>
  </si>
  <si>
    <t>Areas based on average areas per sector from Spain</t>
  </si>
  <si>
    <t>Areas based on average areas per sector from Serbia</t>
  </si>
  <si>
    <t>Averge floor area per building per sector provided by local experts.  Change in CDM lateral force coefficients not considered (due to year not being in mapping scheme).</t>
  </si>
  <si>
    <t>Areas based on averge floor area per building per sector for Italy</t>
  </si>
  <si>
    <t>Areas based on average areas per sector from Switzerland</t>
  </si>
  <si>
    <t>Areas based on average area per sector of similar countries and check on IND/COM ratio</t>
  </si>
  <si>
    <t>Areas based on average area per sector In Luxembourg</t>
  </si>
  <si>
    <t>Areas based on average area per sector of similar countries and check on IND/COM ratio using REF_COM1</t>
  </si>
  <si>
    <t>Buildings in occupied territory are not included in final model.</t>
  </si>
  <si>
    <t>Areas based on average area per sector of similar countries and check on IND/COM ratio. Buildings in occupied territory are not included in final model.</t>
  </si>
  <si>
    <t>Buildings in Azores are not included in final model.</t>
  </si>
  <si>
    <t>Change in CDL lateral force coefficients not considered (due to year not being in mapping scheme). Buildings in Canary Islands are not included in final model.</t>
  </si>
  <si>
    <t>Buildings in Canary Islands are not considered in final model.</t>
  </si>
  <si>
    <t>Buildings in occupied territory (Transnistria) are not included in final model</t>
  </si>
  <si>
    <t>Buildings in Canary islands are not included in final model</t>
  </si>
  <si>
    <t>Only buildings in government controlled area included in final model</t>
  </si>
  <si>
    <t>COM</t>
  </si>
  <si>
    <t>IND</t>
  </si>
  <si>
    <t xml:space="preserve">Name of the file that contains the population distribution data (inside folder 'res_exposure_source_data'). </t>
  </si>
  <si>
    <t>Occupants (day, night, transit)</t>
  </si>
  <si>
    <t>Name of the file that contains the mapping scheme to map census attributes to bulding classes (inside folder 'res_mapping_schemes')</t>
  </si>
  <si>
    <t>Name of the file that contains the mapping scheme to map census attributes to bulding classes (inside folder 'ind_mapping_schemes')</t>
  </si>
  <si>
    <t>Name of the file that contains the mapping scheme to map census attributes to bulding classes (inside folder 'com_mapping_schemes')</t>
  </si>
  <si>
    <t>The mapping scheme for commercial buildings is a judgment-based modified vesion of the national residential distribution of buildings. Similar building classes for hotels and offices have been assumed. Trade (retail) has been assigned a higher weight of lower rise buildings. More weight has been given to concrete and masonry typologies, and less to adobe and wood.</t>
  </si>
  <si>
    <t>Name of the file that contains the building distribution data (inside folder 'ind_exposure_source_data')</t>
  </si>
  <si>
    <t>Name of the file that contains the building distribution data (inside folder 'com_exposure_source_data')</t>
  </si>
  <si>
    <t>Name of file with model of the area per building class (inside folder 'com_building_area')</t>
  </si>
  <si>
    <t>Source of the enterprises data</t>
  </si>
  <si>
    <t>Source of the data to estimate number of commercial buildings in each sector (offices, retail/trade, hotels)</t>
  </si>
  <si>
    <t>Summary of the method used to estimate number of commercial buildings in each sector (offices, retail/trade, hotels)</t>
  </si>
  <si>
    <t>Structural and non-structural reconstruction cost in EUR/m^2 in rural areas (in 2020)</t>
  </si>
  <si>
    <t>Total floor area offices (m^2)</t>
  </si>
  <si>
    <t>Total floor area hotels and restaurants (m^2)</t>
  </si>
  <si>
    <t>Total floor area wholesale and retail trade (m^2)</t>
  </si>
  <si>
    <t>Total floor area of offices in the country</t>
  </si>
  <si>
    <t>Total floor area of wholesale and retail trade in the country</t>
  </si>
  <si>
    <t>Total floor area of hotels and restaurants in the country</t>
  </si>
  <si>
    <t>Source of the floor area data</t>
  </si>
  <si>
    <t>Estimated total area of industrial buildings in the country</t>
  </si>
  <si>
    <t>Average area per industrial building</t>
  </si>
  <si>
    <t>Source of total area or average area per building</t>
  </si>
  <si>
    <t>Summary of method to spatially distribute the total area of industrial buildings in country</t>
  </si>
  <si>
    <t>Resolution of the grid in arc seconds or number of the highest administrative level at which the model is available (according to Shapefile admin levels)</t>
  </si>
  <si>
    <t>Structural and non-structural reconstruction cost in EUR/m^2 for industrial buildings (in 2020)</t>
  </si>
  <si>
    <t>Structural and non-structural reconstruction cost in EUR/m^2 for offices (in 2020)</t>
  </si>
  <si>
    <t>Structural and non-structural reconstruction cost in EUR/m^2 for retail/trade (in 2020)</t>
  </si>
  <si>
    <t>Structural and non-structural reconstruction cost in EUR/m^2 for hotels (in 2020)</t>
  </si>
  <si>
    <t>Structural and non-structural reconstruction cost in EUR/m^2 in big cities (in 2020)</t>
  </si>
  <si>
    <t>Structural and non-structural reconstruction cost in EUR/m^2 in urban areas (in 2020)</t>
  </si>
  <si>
    <t>REF_EU2</t>
  </si>
  <si>
    <t>Crowley H, Despotaki V, Rodrigues D, Silva V, Toma-Danila D, Riga E, Karatzetsou A, Sousa L, Ozcebe S, Zugic Z, Gamba P (2020) “Exposure model for European Seismic Risk Assessment,” Earthquake Spectra, doi: https://doi.org/10.1177/8755293020919429</t>
  </si>
  <si>
    <t>An explanation of the fields in the RES (residenial buildings), IND (industrial buildings) and COM (commercial buildings) sheets is provided below.</t>
  </si>
  <si>
    <t>European Exposure Model - Inputs and Sources</t>
  </si>
  <si>
    <t>Academic literature</t>
  </si>
  <si>
    <t>REF_EU3</t>
  </si>
  <si>
    <t>GED4GEM (REF_RES1)</t>
  </si>
  <si>
    <t xml:space="preserve">GED4GEM (REF_RES1) </t>
  </si>
  <si>
    <t>GED4GEM (REF_RES1) (REF_RES1)</t>
  </si>
  <si>
    <t>REF_RES1</t>
  </si>
  <si>
    <t>The residential population is distributed between day, night and transit according to the ratios for residential buildings in the file 'population_distribution_PAGER.xlsx'  (REF_EU4) in the social indiators folder.</t>
  </si>
  <si>
    <t xml:space="preserve">40% of residential population is assumed to be employed in commercial private sector and is distributed between day, night and transit according to the ratios for non-residential buildings in the file 'population_distribution_PAGER.xlsx' (REF_EU4) in the social indiators folder. </t>
  </si>
  <si>
    <t xml:space="preserve">40% of residential population is assumed to be employed in industrial private sector and is distributed between day, night and transit according to the ratios for non-residential buildings in the file 'population_distribution_PAGER.xlsx' (REF_EU4) in the social indiators folder. </t>
  </si>
  <si>
    <t>REF_EU4</t>
  </si>
  <si>
    <t>SERA Deliverable D26.3, Available from URL: http://eu-risk.eucentre.it/wp-content/uploads/2019/08/SERA_D26.3_Exposure_Models_Non-res_Res.pdf</t>
  </si>
  <si>
    <t>Braconi, A., Osta, A., Dall’Asta, A., Leoni, G., Möller, S., Hoffmeister, B., Karamanos, S.A., Varelis, G., Alderighi, E., Coscetti, C., Salvatore, W., Gracia, J., Bayo, E., Mallardo, R., Bianco, L., Filipuzzi, P., Vasilikis, D., Tsintzos, P., Estanislau, S., Lobo, J., Fulop, L., and Hradil, P., 2013. Prefabricated steel structures for low-rise buildings in seismic areas. Precasteel, Final report prepared for the European Commission. Available from URL: https://www.researchgate.net/publication/274640991_Prefabricated_steel_structures_for_low-rise_buildings_in_seismic_areas_Precasteel</t>
  </si>
  <si>
    <t>Euro-Build in Steel Project, 2008. Best Practice in Steel Construction, Industrial Buildings, The Steel Construction Institute. Available from URL: https://www.infosteel.com/images/publicaties/best-practice/Best-Practice-Industrial-EN.pdf</t>
  </si>
  <si>
    <t xml:space="preserve">Gamba P, Cavalca D, Jaiswal K, Huyck C and Crowley H (2014) The GED4GEM project: Development of a global exposure database for the global earthquake model initiative. In: Proceedings of the 15th World Conference on Earthquake Engineering, Lisbon, 24–29 August. </t>
  </si>
  <si>
    <t xml:space="preserve">Crowley H., Despotaki V., Silva V., Dabbeek J., Romão X., Pereira N., Castro J.M., Daniell J., Veliu E., Bilgin H., Adam C.,  Deyanova M., Ademović N., Atalic J., Riga E., Karatzetzou A., Bessason B., Shendova V., Tiganescu A., Toma-Danila D., Zugic Z., Akkar Z., Hancilar U. (2020) "Model of Seismic Design Lateral Force Levels for the Existing Reinforced Concrete European Building Stock", Submitted to Bulletin of Earthquake Engineering, draft available here: </t>
  </si>
  <si>
    <t>Sousa L., Silva V., and Bazzurro P. (2017) "Using Open-Access Data in the Development of Exposure Data Sets of Industrial Buildings for Earthquake Risk Modeling," Earthquake Spectra,  doi: https://doi.org/10.1193/020316eqs027m</t>
  </si>
  <si>
    <t>This file contains a summary of the inputs and sources available at https://gitlab.seismo.ethz.ch/efehr/esrm20_exposure and used to develop the European Exposure Model, a component of the European Seismic Risk Model 2020 (ESRM20)</t>
  </si>
  <si>
    <t>Should you have any questions on the data, or should you wish to provide feedback on the models, please send it via email to 'feedback.eu-risk@eucentre.it'</t>
  </si>
  <si>
    <t>Refer to REF1_EU and REF2_EU (in the References sheet) for more details on the development of these exposure models.</t>
  </si>
  <si>
    <t>De Bono A, Chatenoux B (2014) A Global exposure model for GAR 2015. Available from URL: https://www.unisdr.org/we/inform/publications/49763.</t>
  </si>
  <si>
    <t>Jaiswal, K. S., and Wald, D. J. (2010b). Development of a semi-empirical loss model within the USGS Prompt Assessment of Global Earthquakes for Response (PAGER) System. Proc. of the 9th US and 10th Canadian Conference on Earthquake Engineering: Reaching Beyond Borders, July 25-29, 2010, Toronto, Canada. Available from URL: https://earthquake.usgs.gov/static/lfs/data/pager/Jaiswal_Wald_2010_Semi.pdf</t>
  </si>
  <si>
    <t>Lisboa, Porto, Setubal</t>
  </si>
  <si>
    <t>3015146, 12058091</t>
  </si>
  <si>
    <t>10226, 10227, 10228, 10229, 10230, 10231, 10310,	10311, 10312, 10313, 10314, 10315, 10316, 10317,	10318, 10319, 10320, 10321, 10322, 10323, 10329, 10402, 10409, 10458, 10508, 10513, 10534, 10535, 10584, 10585, 10695, 10706, 10828, 10855, 10861, 10917, 10952, 10954, 10956, 10988, 11003, 11031, 11032, 11033, 11034, 11035, 11037, 11039, 11040, 11041, 11043,	 11044, 11045, 11046, 11047, 11048, 11049, 11050, 11051, 11052, 11053, 11054, 11055, 11056, 11057, 11058, 11060, 11061, 11062, 11064, 11065, 11066, 11067, 11068, 11069, 11070, 11095, 11319, 11382, 11514,	11655, 11677, 11730, 11836, 12127, 12187, 12552, 12602, 12610, 12736, 12906, 12915, 12925, 13049, 13129, 13186,</t>
  </si>
  <si>
    <t>3792</t>
  </si>
  <si>
    <t>Only buildings in government controlled area included in final model. Total population in government controlled area in 2018 has been obtained from  http://www.cystat.gov.cy and scaled up to an estimated 2020 value</t>
  </si>
  <si>
    <t>Eurostat 2011 
https://tinyurl.com/3ymrfu33</t>
  </si>
  <si>
    <t>The dwellings from the census are occupied dwellings, and so the data has been uniformly scaled to the total number of dwellings from Eurostat 2011</t>
  </si>
  <si>
    <t>Buildings in Azores are not included in final model, and an estimated population of ﻿243,862 has thus been removed from the total population in the social indicators folder</t>
  </si>
  <si>
    <t>No data was reported for Leposaviq, Zubin Potok, Zveqan in the 2011 census due to disputed land</t>
  </si>
  <si>
    <t xml:space="preserve">We are not able to share the 2011 census source data for this model but the 2001 census data can be obtained from v0.4 of the exposure repository. The dwellings from the census are occupied dwellings, and so the data has been uniformly scaled to the total number of dwellings from Eurostat 2011. </t>
  </si>
  <si>
    <t>The dwellings from the 2001 census have been uniformly scaled to the total number of dwellings from Eurostat 2011</t>
  </si>
  <si>
    <t>The dwellings from the 2005 census have been uniformly scaled to the total number of dwellings from Eurostat 2011</t>
  </si>
  <si>
    <t>Occupants</t>
  </si>
  <si>
    <t>Replacement cost: structural / total</t>
  </si>
  <si>
    <t>Replacement cost: non-structural / total</t>
  </si>
  <si>
    <t>Replacement cost: contents / total</t>
  </si>
  <si>
    <t xml:space="preserve">The structural and non-structural reconstruction cost per m^2 is assumed to comprise 80% of the total replacement cost. The total replacement cost is divided into structural, non-structural and contents according to the percentages shown in the rows below. The structural and non-structural reconstruction cost has been adapted for different materials according to the macro-taxonomy as follows: ﻿MIX:1.00, MUR:0.95, ADO:0.95, CR:1.05, M:1.05, S:1.00, W:0.95, OT:1.00. </t>
  </si>
  <si>
    <t>Replacement Costs</t>
  </si>
  <si>
    <t xml:space="preserve">The structural and non-structural reconstruction cost per m^2 is assumed to comprise 40% of the total replacement cost. The total replacement cost is divided into structural, non-structural and contents according to the percentages shown in the rows below. The structural and non-structural reconstruction cost has been adapted for different materials according to the macro-taxonomy as follows: ﻿MIX:1.00, MUR:0.95, ADO:0.95, CR:1.05, M:1.05, S:1.00, W:0.95, OT:1.00. </t>
  </si>
  <si>
    <t xml:space="preserve">The structural and non-structural reconstruction cost per m^2 is assumed to comprise 50% of the total replacement cost. The total replacement cost is divided into structural, non-structural and contents according to the percentages shown in the rows below. The structural and non-structural reconstruction cost has been adapted for different materials according to the macro-taxonomy as follows: ﻿MIX:1.00, MUR:0.95, ADO:0.95, CR:1.05, M:1.05, S:1.00, W:0.95, OT:1.00. </t>
  </si>
  <si>
    <t>Earthquake Risk Model of Switzerland ERM-CH23</t>
  </si>
  <si>
    <t>The total floor area has been approximated by taking the volume of buildings in ERM-CH23 and dividing by 3. The reconstruction costs have also been based on average values per m^2 in ERM-CH23</t>
  </si>
  <si>
    <t>ERM-CH23</t>
  </si>
  <si>
    <t>ERM-CH23 based on volume/4.5</t>
  </si>
  <si>
    <t>Number and area based on ERM-CH23</t>
  </si>
  <si>
    <t>Areas per building have been doubled to match more closely the total area of commercial buildings in ERM-CH23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</si>
</sst>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12">
    <font>
      <sz val="12"/>
      <color theme="1"/>
      <name val="Calibri"/>
      <family val="2"/>
      <scheme val="minor"/>
    </font>
    <font>
      <b/>
      <sz val="12"/>
      <color theme="1"/>
      <name val="Calibri"/>
      <family val="2"/>
      <scheme val="minor"/>
    </font>
    <font>
      <u/>
      <sz val="12"/>
      <color theme="10"/>
      <name val="Calibri"/>
      <family val="2"/>
      <scheme val="minor"/>
    </font>
    <font>
      <sz val="12"/>
      <color theme="1"/>
      <name val="Calibri"/>
      <family val="2"/>
    </font>
    <font>
      <sz val="12"/>
      <color rgb="FFFF0000"/>
      <name val="Calibri"/>
      <family val="2"/>
      <scheme val="minor"/>
    </font>
    <font>
      <sz val="12"/>
      <color rgb="FF000000"/>
      <name val="Calibri"/>
      <family val="2"/>
      <scheme val="minor"/>
    </font>
    <font>
      <sz val="12"/>
      <color theme="1"/>
      <name val="Calibri"/>
      <family val="2"/>
      <scheme val="minor"/>
    </font>
    <font>
      <b/>
      <sz val="30"/>
      <color theme="1"/>
      <name val="Calibri"/>
      <family val="2"/>
      <scheme val="minor"/>
    </font>
    <font>
      <sz val="12"/>
      <color theme="1"/>
      <name val="TimesNewRomanPSMT"/>
    </font>
    <font>
      <sz val="11"/>
      <color rgb="FF000000"/>
      <name val="Calibri"/>
      <family val="2"/>
    </font>
    <font>
      <b/>
      <sz val="12"/>
      <color theme="1"/>
      <name val="Calibri"/>
      <family val="2"/>
    </font>
    <font>
      <sz val="12"/>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79998168889431442"/>
        <bgColor rgb="FFFFFFFF"/>
      </patternFill>
    </fill>
    <fill>
      <patternFill patternType="solid">
        <fgColor rgb="FFEDEDED"/>
        <bgColor rgb="FF000000"/>
      </patternFill>
    </fill>
    <fill>
      <patternFill patternType="solid">
        <fgColor theme="8" tint="0.79998168889431442"/>
        <bgColor rgb="FF000000"/>
      </patternFill>
    </fill>
    <fill>
      <patternFill patternType="solid">
        <fgColor theme="6" tint="0.79998168889431442"/>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195">
    <xf numFmtId="0" fontId="0" fillId="0" borderId="0" xfId="0"/>
    <xf numFmtId="0" fontId="0" fillId="0" borderId="0" xfId="0" applyAlignment="1">
      <alignment horizontal="center" vertical="center"/>
    </xf>
    <xf numFmtId="0" fontId="1" fillId="2" borderId="2" xfId="0" applyFont="1" applyFill="1" applyBorder="1" applyAlignment="1">
      <alignment horizontal="center" vertical="center"/>
    </xf>
    <xf numFmtId="0" fontId="0" fillId="0" borderId="0" xfId="0" applyFill="1" applyBorder="1"/>
    <xf numFmtId="0" fontId="0" fillId="0" borderId="0" xfId="0" applyAlignment="1">
      <alignment vertical="center"/>
    </xf>
    <xf numFmtId="0" fontId="2" fillId="0" borderId="0" xfId="1"/>
    <xf numFmtId="0" fontId="0" fillId="3" borderId="2" xfId="0" applyFill="1" applyBorder="1"/>
    <xf numFmtId="0" fontId="0" fillId="3" borderId="10" xfId="0" applyFill="1" applyBorder="1" applyAlignment="1">
      <alignment wrapText="1"/>
    </xf>
    <xf numFmtId="0" fontId="0" fillId="3" borderId="1" xfId="0" applyFill="1" applyBorder="1" applyAlignment="1">
      <alignment vertical="center"/>
    </xf>
    <xf numFmtId="0" fontId="0" fillId="3" borderId="1" xfId="0" applyFill="1" applyBorder="1"/>
    <xf numFmtId="0" fontId="0" fillId="3" borderId="2" xfId="0"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0" fillId="4" borderId="2" xfId="0" applyFill="1" applyBorder="1"/>
    <xf numFmtId="0" fontId="0" fillId="4" borderId="10" xfId="0" applyFill="1" applyBorder="1"/>
    <xf numFmtId="0" fontId="0" fillId="4" borderId="1" xfId="0" applyFill="1" applyBorder="1"/>
    <xf numFmtId="0" fontId="0" fillId="4" borderId="2" xfId="0" applyFill="1" applyBorder="1" applyAlignment="1">
      <alignment vertical="center"/>
    </xf>
    <xf numFmtId="0" fontId="0" fillId="4" borderId="9" xfId="0" applyFill="1" applyBorder="1" applyAlignment="1">
      <alignment vertical="center"/>
    </xf>
    <xf numFmtId="0" fontId="0" fillId="4" borderId="10" xfId="0" applyFill="1" applyBorder="1" applyAlignment="1">
      <alignment vertical="center"/>
    </xf>
    <xf numFmtId="0" fontId="0" fillId="4" borderId="1" xfId="0" applyFill="1" applyBorder="1" applyAlignment="1">
      <alignment vertical="center"/>
    </xf>
    <xf numFmtId="3" fontId="0" fillId="3" borderId="9" xfId="0" applyNumberFormat="1" applyFill="1" applyBorder="1" applyAlignment="1">
      <alignment horizontal="left"/>
    </xf>
    <xf numFmtId="0" fontId="0" fillId="4" borderId="9" xfId="0" applyFill="1" applyBorder="1" applyAlignment="1">
      <alignment horizontal="center"/>
    </xf>
    <xf numFmtId="0" fontId="0" fillId="4" borderId="10" xfId="0" applyFill="1" applyBorder="1" applyAlignment="1">
      <alignment wrapText="1"/>
    </xf>
    <xf numFmtId="0" fontId="0" fillId="4" borderId="5" xfId="0" applyFont="1" applyFill="1" applyBorder="1" applyAlignment="1">
      <alignment vertical="center"/>
    </xf>
    <xf numFmtId="0" fontId="0" fillId="4" borderId="7" xfId="0" applyFont="1" applyFill="1" applyBorder="1" applyAlignment="1">
      <alignment vertical="center"/>
    </xf>
    <xf numFmtId="0" fontId="0" fillId="3" borderId="5" xfId="0" applyFont="1" applyFill="1" applyBorder="1" applyAlignment="1">
      <alignment vertical="center"/>
    </xf>
    <xf numFmtId="0" fontId="0" fillId="3" borderId="2" xfId="0" applyFont="1" applyFill="1" applyBorder="1" applyAlignment="1">
      <alignment vertical="center"/>
    </xf>
    <xf numFmtId="0" fontId="0" fillId="3" borderId="7" xfId="0" applyFont="1" applyFill="1" applyBorder="1" applyAlignment="1">
      <alignment vertical="center"/>
    </xf>
    <xf numFmtId="0" fontId="0" fillId="0" borderId="0" xfId="0" applyFont="1"/>
    <xf numFmtId="0" fontId="1" fillId="0" borderId="0" xfId="0" applyFont="1" applyAlignment="1">
      <alignment vertical="center"/>
    </xf>
    <xf numFmtId="0" fontId="1" fillId="0" borderId="2" xfId="0" applyFont="1" applyFill="1" applyBorder="1" applyAlignment="1">
      <alignment horizontal="center" vertical="center"/>
    </xf>
    <xf numFmtId="0" fontId="1" fillId="0" borderId="3" xfId="0" applyFont="1" applyFill="1" applyBorder="1" applyAlignment="1">
      <alignment horizontal="left" vertical="center"/>
    </xf>
    <xf numFmtId="0" fontId="0" fillId="3" borderId="6" xfId="0" applyFill="1" applyBorder="1" applyAlignment="1">
      <alignment horizontal="left"/>
    </xf>
    <xf numFmtId="0" fontId="0" fillId="4" borderId="2" xfId="0" applyFill="1" applyBorder="1" applyAlignment="1">
      <alignment horizontal="center"/>
    </xf>
    <xf numFmtId="0" fontId="0" fillId="4" borderId="9" xfId="0" applyFill="1" applyBorder="1" applyAlignment="1">
      <alignment horizontal="left"/>
    </xf>
    <xf numFmtId="0" fontId="0" fillId="3" borderId="9" xfId="0" applyFill="1" applyBorder="1" applyAlignment="1">
      <alignment horizontal="left"/>
    </xf>
    <xf numFmtId="0" fontId="0" fillId="3" borderId="10" xfId="0" applyFont="1" applyFill="1" applyBorder="1" applyAlignment="1">
      <alignment vertical="center"/>
    </xf>
    <xf numFmtId="3" fontId="0" fillId="3" borderId="9" xfId="0" applyNumberFormat="1" applyFill="1" applyBorder="1" applyAlignment="1">
      <alignment horizontal="center"/>
    </xf>
    <xf numFmtId="0" fontId="0" fillId="3" borderId="10" xfId="0" applyFill="1" applyBorder="1" applyAlignment="1">
      <alignment horizontal="center" wrapText="1"/>
    </xf>
    <xf numFmtId="3" fontId="0" fillId="4" borderId="9" xfId="0" applyNumberFormat="1" applyFill="1" applyBorder="1" applyAlignment="1">
      <alignment horizontal="center"/>
    </xf>
    <xf numFmtId="0" fontId="0" fillId="4" borderId="1" xfId="0" applyFont="1" applyFill="1" applyBorder="1"/>
    <xf numFmtId="0" fontId="0" fillId="3" borderId="10" xfId="0" applyFill="1" applyBorder="1"/>
    <xf numFmtId="0" fontId="0" fillId="4" borderId="4" xfId="0" applyFill="1" applyBorder="1" applyAlignment="1">
      <alignment horizontal="left"/>
    </xf>
    <xf numFmtId="0" fontId="0" fillId="4" borderId="6" xfId="0" applyFill="1" applyBorder="1" applyAlignment="1">
      <alignment horizontal="left"/>
    </xf>
    <xf numFmtId="0" fontId="0" fillId="4" borderId="8" xfId="0" applyFill="1" applyBorder="1" applyAlignment="1">
      <alignment horizontal="left"/>
    </xf>
    <xf numFmtId="3" fontId="0" fillId="3" borderId="4" xfId="0" applyNumberFormat="1" applyFill="1" applyBorder="1" applyAlignment="1">
      <alignment horizontal="left"/>
    </xf>
    <xf numFmtId="3" fontId="0" fillId="3" borderId="4" xfId="0" applyNumberFormat="1" applyFill="1" applyBorder="1" applyAlignment="1">
      <alignment horizontal="center"/>
    </xf>
    <xf numFmtId="0" fontId="0" fillId="3" borderId="6" xfId="0" applyFill="1" applyBorder="1" applyAlignment="1">
      <alignment horizontal="center"/>
    </xf>
    <xf numFmtId="0" fontId="3" fillId="5" borderId="8" xfId="0" applyFont="1" applyFill="1" applyBorder="1" applyAlignment="1">
      <alignment vertical="center" wrapText="1"/>
    </xf>
    <xf numFmtId="3" fontId="0" fillId="4" borderId="2" xfId="0" applyNumberFormat="1" applyFill="1" applyBorder="1" applyAlignment="1">
      <alignment horizontal="center"/>
    </xf>
    <xf numFmtId="0" fontId="0" fillId="4" borderId="0" xfId="0" applyFont="1" applyFill="1" applyBorder="1" applyAlignment="1">
      <alignment vertical="center"/>
    </xf>
    <xf numFmtId="0" fontId="0" fillId="4" borderId="9" xfId="0" applyFont="1" applyFill="1" applyBorder="1" applyAlignment="1">
      <alignment vertical="center"/>
    </xf>
    <xf numFmtId="0" fontId="0" fillId="4" borderId="11" xfId="0" applyFill="1" applyBorder="1"/>
    <xf numFmtId="0" fontId="0" fillId="4" borderId="0" xfId="0" applyFill="1" applyBorder="1" applyAlignment="1">
      <alignment horizontal="center"/>
    </xf>
    <xf numFmtId="0" fontId="0" fillId="4" borderId="12" xfId="0" applyFill="1" applyBorder="1" applyAlignment="1">
      <alignment wrapText="1"/>
    </xf>
    <xf numFmtId="0" fontId="0" fillId="3" borderId="10" xfId="0" applyFill="1" applyBorder="1" applyAlignment="1">
      <alignment horizontal="left" wrapText="1"/>
    </xf>
    <xf numFmtId="3" fontId="0" fillId="4" borderId="2" xfId="0" applyNumberFormat="1" applyFill="1" applyBorder="1" applyAlignment="1">
      <alignment horizontal="left"/>
    </xf>
    <xf numFmtId="0" fontId="0" fillId="4" borderId="2" xfId="0" applyFill="1" applyBorder="1" applyAlignment="1">
      <alignment horizontal="left"/>
    </xf>
    <xf numFmtId="3" fontId="0" fillId="3" borderId="2" xfId="0" applyNumberFormat="1" applyFill="1" applyBorder="1" applyAlignment="1">
      <alignment horizontal="left"/>
    </xf>
    <xf numFmtId="0" fontId="0" fillId="4" borderId="10" xfId="0" applyFill="1" applyBorder="1" applyAlignment="1">
      <alignment horizontal="center" vertical="top" wrapText="1"/>
    </xf>
    <xf numFmtId="0" fontId="0" fillId="4" borderId="10" xfId="0" applyFill="1" applyBorder="1" applyAlignment="1">
      <alignment vertical="top" wrapText="1"/>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3" borderId="6" xfId="0" applyFill="1" applyBorder="1" applyAlignment="1">
      <alignment vertical="center"/>
    </xf>
    <xf numFmtId="0" fontId="0" fillId="3" borderId="6" xfId="0" applyFill="1" applyBorder="1" applyAlignment="1">
      <alignment horizontal="center" vertical="center"/>
    </xf>
    <xf numFmtId="0" fontId="0" fillId="3" borderId="6" xfId="0" applyFill="1" applyBorder="1" applyAlignment="1">
      <alignment horizontal="left" vertical="center" wrapText="1"/>
    </xf>
    <xf numFmtId="0" fontId="0" fillId="4" borderId="9" xfId="0" applyFont="1" applyFill="1" applyBorder="1" applyAlignment="1">
      <alignment horizontal="left" vertical="center"/>
    </xf>
    <xf numFmtId="0" fontId="1" fillId="4" borderId="1" xfId="0" applyFont="1" applyFill="1" applyBorder="1" applyAlignment="1">
      <alignment vertical="center"/>
    </xf>
    <xf numFmtId="0" fontId="0" fillId="4" borderId="1" xfId="0" applyFill="1" applyBorder="1" applyAlignment="1">
      <alignment wrapText="1"/>
    </xf>
    <xf numFmtId="2" fontId="0" fillId="0" borderId="0" xfId="0" applyNumberFormat="1"/>
    <xf numFmtId="0" fontId="0" fillId="4" borderId="3" xfId="0" applyFill="1" applyBorder="1" applyAlignment="1">
      <alignment horizontal="center"/>
    </xf>
    <xf numFmtId="0" fontId="0" fillId="4" borderId="5" xfId="0" applyFill="1" applyBorder="1" applyAlignment="1">
      <alignment horizontal="left"/>
    </xf>
    <xf numFmtId="0" fontId="0" fillId="4" borderId="7" xfId="0" applyFill="1" applyBorder="1" applyAlignment="1">
      <alignment wrapText="1"/>
    </xf>
    <xf numFmtId="0" fontId="0" fillId="4" borderId="10" xfId="0" applyFont="1" applyFill="1" applyBorder="1"/>
    <xf numFmtId="0" fontId="0" fillId="3" borderId="1" xfId="0" applyFill="1" applyBorder="1" applyAlignment="1">
      <alignment wrapText="1"/>
    </xf>
    <xf numFmtId="0" fontId="0" fillId="3" borderId="6" xfId="0" applyFill="1" applyBorder="1" applyAlignment="1">
      <alignment horizontal="left" vertical="center"/>
    </xf>
    <xf numFmtId="0" fontId="0" fillId="3" borderId="9" xfId="0" applyFill="1" applyBorder="1" applyAlignment="1">
      <alignment horizontal="left" wrapText="1"/>
    </xf>
    <xf numFmtId="0" fontId="0" fillId="3" borderId="6" xfId="0" applyFill="1" applyBorder="1" applyAlignment="1">
      <alignment horizontal="left" wrapText="1"/>
    </xf>
    <xf numFmtId="0" fontId="0" fillId="3" borderId="1" xfId="0" quotePrefix="1" applyFill="1" applyBorder="1" applyAlignment="1">
      <alignment wrapText="1"/>
    </xf>
    <xf numFmtId="0" fontId="0" fillId="4" borderId="1" xfId="0" applyFont="1" applyFill="1" applyBorder="1" applyAlignment="1">
      <alignment horizontal="left" vertical="center" wrapText="1"/>
    </xf>
    <xf numFmtId="0" fontId="0" fillId="3" borderId="1" xfId="0" applyFont="1" applyFill="1" applyBorder="1"/>
    <xf numFmtId="0" fontId="0" fillId="4" borderId="9" xfId="0" applyFill="1" applyBorder="1" applyAlignment="1"/>
    <xf numFmtId="0" fontId="0" fillId="4" borderId="9" xfId="0" applyFill="1" applyBorder="1"/>
    <xf numFmtId="0" fontId="5" fillId="6" borderId="9" xfId="0" applyFont="1" applyFill="1" applyBorder="1"/>
    <xf numFmtId="49" fontId="0" fillId="4" borderId="1" xfId="0" applyNumberFormat="1" applyFill="1" applyBorder="1" applyAlignment="1">
      <alignment horizontal="left" vertical="center" wrapText="1"/>
    </xf>
    <xf numFmtId="49" fontId="0" fillId="4" borderId="1" xfId="0" quotePrefix="1" applyNumberFormat="1" applyFill="1" applyBorder="1" applyAlignment="1">
      <alignment horizontal="left" vertical="center"/>
    </xf>
    <xf numFmtId="49" fontId="0" fillId="4" borderId="1" xfId="0" applyNumberFormat="1" applyFill="1" applyBorder="1" applyAlignment="1">
      <alignment horizontal="left" vertical="center"/>
    </xf>
    <xf numFmtId="49" fontId="0" fillId="4" borderId="1" xfId="0" applyNumberFormat="1" applyFill="1" applyBorder="1" applyAlignment="1">
      <alignment vertical="center"/>
    </xf>
    <xf numFmtId="0" fontId="0" fillId="3" borderId="4" xfId="0" applyFill="1" applyBorder="1" applyAlignment="1">
      <alignment vertical="center"/>
    </xf>
    <xf numFmtId="0" fontId="0" fillId="3" borderId="8" xfId="0" applyFill="1" applyBorder="1" applyAlignment="1">
      <alignment vertical="center"/>
    </xf>
    <xf numFmtId="0" fontId="0" fillId="4" borderId="0" xfId="0" applyFill="1"/>
    <xf numFmtId="0" fontId="0" fillId="4" borderId="2" xfId="0" applyFont="1" applyFill="1" applyBorder="1" applyAlignment="1">
      <alignment horizontal="left" vertical="center"/>
    </xf>
    <xf numFmtId="0" fontId="0" fillId="4" borderId="10" xfId="0" applyFont="1" applyFill="1" applyBorder="1" applyAlignment="1">
      <alignment horizontal="left" vertical="center"/>
    </xf>
    <xf numFmtId="0" fontId="0" fillId="3" borderId="2" xfId="0" applyFill="1" applyBorder="1" applyAlignment="1">
      <alignment horizontal="left"/>
    </xf>
    <xf numFmtId="0" fontId="0" fillId="3" borderId="9" xfId="0" applyFill="1" applyBorder="1"/>
    <xf numFmtId="3" fontId="0" fillId="4" borderId="9" xfId="0" applyNumberFormat="1" applyFill="1" applyBorder="1" applyAlignment="1">
      <alignment horizontal="left"/>
    </xf>
    <xf numFmtId="0" fontId="0" fillId="4" borderId="3" xfId="0" applyFill="1" applyBorder="1" applyAlignment="1">
      <alignment horizontal="left"/>
    </xf>
    <xf numFmtId="3" fontId="0" fillId="4" borderId="5" xfId="0" applyNumberFormat="1" applyFill="1" applyBorder="1" applyAlignment="1">
      <alignment horizontal="left"/>
    </xf>
    <xf numFmtId="0" fontId="0" fillId="4" borderId="10" xfId="0" applyFont="1" applyFill="1" applyBorder="1" applyAlignment="1">
      <alignment horizontal="left" vertical="center" wrapText="1"/>
    </xf>
    <xf numFmtId="0" fontId="0" fillId="3" borderId="10" xfId="0" applyFill="1" applyBorder="1" applyAlignment="1">
      <alignment horizontal="left" vertical="center"/>
    </xf>
    <xf numFmtId="0" fontId="0" fillId="3" borderId="10" xfId="0" applyFill="1" applyBorder="1" applyAlignment="1">
      <alignment vertical="center" wrapText="1"/>
    </xf>
    <xf numFmtId="0" fontId="0" fillId="4" borderId="10" xfId="0" applyFill="1" applyBorder="1" applyAlignment="1">
      <alignment horizontal="left"/>
    </xf>
    <xf numFmtId="0" fontId="0" fillId="3" borderId="5" xfId="0" applyFill="1" applyBorder="1"/>
    <xf numFmtId="0" fontId="0" fillId="3" borderId="7" xfId="0" applyFont="1" applyFill="1" applyBorder="1" applyAlignment="1">
      <alignment horizontal="left" vertical="center"/>
    </xf>
    <xf numFmtId="1" fontId="0" fillId="4" borderId="9" xfId="0" applyNumberFormat="1" applyFill="1" applyBorder="1" applyAlignment="1">
      <alignment horizontal="left"/>
    </xf>
    <xf numFmtId="1" fontId="0" fillId="4" borderId="0" xfId="0" applyNumberFormat="1" applyFill="1" applyAlignment="1">
      <alignment horizontal="left"/>
    </xf>
    <xf numFmtId="0" fontId="0" fillId="3" borderId="7" xfId="0" applyFill="1" applyBorder="1" applyAlignment="1">
      <alignment horizontal="left" vertical="center"/>
    </xf>
    <xf numFmtId="1" fontId="0" fillId="3" borderId="2" xfId="0" applyNumberFormat="1" applyFill="1" applyBorder="1" applyAlignment="1">
      <alignment horizontal="left" vertical="center"/>
    </xf>
    <xf numFmtId="1" fontId="0" fillId="3" borderId="2" xfId="0" applyNumberFormat="1" applyFill="1" applyBorder="1" applyAlignment="1">
      <alignment horizontal="left" vertical="center" wrapText="1"/>
    </xf>
    <xf numFmtId="0" fontId="5" fillId="7" borderId="9" xfId="0" applyFont="1" applyFill="1" applyBorder="1" applyAlignment="1">
      <alignment vertical="center"/>
    </xf>
    <xf numFmtId="1" fontId="0" fillId="3" borderId="11" xfId="0" applyNumberFormat="1" applyFill="1" applyBorder="1" applyAlignment="1">
      <alignment horizontal="left" vertical="center"/>
    </xf>
    <xf numFmtId="0" fontId="0" fillId="3" borderId="12" xfId="0" applyFill="1" applyBorder="1"/>
    <xf numFmtId="0" fontId="0" fillId="0" borderId="0" xfId="0" applyAlignment="1">
      <alignment wrapText="1"/>
    </xf>
    <xf numFmtId="0" fontId="1" fillId="0" borderId="0" xfId="0" applyFont="1"/>
    <xf numFmtId="0" fontId="0" fillId="3" borderId="10" xfId="0" applyFill="1" applyBorder="1" applyAlignment="1">
      <alignment horizontal="left"/>
    </xf>
    <xf numFmtId="0" fontId="0" fillId="3" borderId="10" xfId="0" applyFill="1" applyBorder="1" applyAlignment="1">
      <alignment vertical="top" wrapText="1"/>
    </xf>
    <xf numFmtId="3" fontId="0" fillId="3" borderId="6" xfId="0" applyNumberFormat="1" applyFill="1" applyBorder="1" applyAlignment="1">
      <alignment horizontal="center"/>
    </xf>
    <xf numFmtId="0" fontId="0" fillId="4" borderId="10" xfId="0" applyFill="1" applyBorder="1" applyAlignment="1">
      <alignment horizontal="left" vertical="top" wrapText="1"/>
    </xf>
    <xf numFmtId="1" fontId="0" fillId="4" borderId="9" xfId="0" applyNumberFormat="1" applyFont="1" applyFill="1" applyBorder="1" applyAlignment="1">
      <alignment horizontal="left"/>
    </xf>
    <xf numFmtId="0" fontId="0" fillId="3" borderId="10" xfId="0" applyFont="1" applyFill="1" applyBorder="1" applyAlignment="1">
      <alignment vertical="center" wrapText="1"/>
    </xf>
    <xf numFmtId="3" fontId="0" fillId="3" borderId="2" xfId="0" applyNumberFormat="1" applyFill="1" applyBorder="1" applyAlignment="1">
      <alignment horizontal="center"/>
    </xf>
    <xf numFmtId="3" fontId="0" fillId="3" borderId="10" xfId="0" applyNumberFormat="1" applyFill="1" applyBorder="1" applyAlignment="1">
      <alignment horizontal="center"/>
    </xf>
    <xf numFmtId="0" fontId="0" fillId="4" borderId="10" xfId="0" applyFill="1" applyBorder="1" applyAlignment="1">
      <alignment horizontal="left" wrapText="1"/>
    </xf>
    <xf numFmtId="0" fontId="0" fillId="0" borderId="0" xfId="0" applyAlignment="1">
      <alignment horizontal="left" vertical="center"/>
    </xf>
    <xf numFmtId="0" fontId="5" fillId="7" borderId="2" xfId="0" applyFont="1" applyFill="1" applyBorder="1" applyAlignment="1">
      <alignment vertical="center"/>
    </xf>
    <xf numFmtId="0" fontId="0" fillId="3" borderId="13" xfId="0" applyFill="1" applyBorder="1"/>
    <xf numFmtId="0" fontId="0" fillId="3" borderId="1" xfId="0" applyFill="1" applyBorder="1" applyAlignment="1">
      <alignment horizontal="left"/>
    </xf>
    <xf numFmtId="0" fontId="0" fillId="3" borderId="14" xfId="0" applyFill="1" applyBorder="1" applyAlignment="1">
      <alignment horizontal="left"/>
    </xf>
    <xf numFmtId="0" fontId="5" fillId="8" borderId="9" xfId="0" applyFont="1" applyFill="1" applyBorder="1"/>
    <xf numFmtId="0" fontId="5" fillId="8" borderId="1" xfId="0" applyFont="1" applyFill="1" applyBorder="1"/>
    <xf numFmtId="0" fontId="0" fillId="4" borderId="5" xfId="0" applyFill="1" applyBorder="1"/>
    <xf numFmtId="0" fontId="5" fillId="8" borderId="2" xfId="0" applyFont="1" applyFill="1" applyBorder="1"/>
    <xf numFmtId="3" fontId="0" fillId="4" borderId="6" xfId="0" applyNumberFormat="1" applyFill="1" applyBorder="1" applyAlignment="1">
      <alignment horizontal="left"/>
    </xf>
    <xf numFmtId="1" fontId="0" fillId="3" borderId="11" xfId="0" applyNumberFormat="1" applyFill="1" applyBorder="1" applyAlignment="1">
      <alignment horizontal="left" vertical="center" wrapText="1"/>
    </xf>
    <xf numFmtId="0" fontId="8" fillId="0" borderId="0" xfId="0" applyFont="1"/>
    <xf numFmtId="0" fontId="0" fillId="0" borderId="0" xfId="0" applyFill="1" applyBorder="1" applyAlignment="1">
      <alignment vertical="center" wrapText="1"/>
    </xf>
    <xf numFmtId="0" fontId="0" fillId="3" borderId="6" xfId="0" applyFill="1" applyBorder="1"/>
    <xf numFmtId="0" fontId="0" fillId="3" borderId="14" xfId="0" applyFill="1" applyBorder="1"/>
    <xf numFmtId="0" fontId="0" fillId="3" borderId="9" xfId="0" applyFont="1" applyFill="1" applyBorder="1"/>
    <xf numFmtId="0" fontId="0" fillId="3" borderId="2" xfId="0" applyFont="1" applyFill="1" applyBorder="1"/>
    <xf numFmtId="0" fontId="1" fillId="0" borderId="0" xfId="0" applyFont="1" applyFill="1" applyBorder="1"/>
    <xf numFmtId="0" fontId="5" fillId="7" borderId="6" xfId="0" applyFont="1" applyFill="1" applyBorder="1" applyAlignment="1">
      <alignment vertical="center"/>
    </xf>
    <xf numFmtId="0" fontId="0" fillId="4" borderId="0" xfId="0" applyFill="1" applyAlignment="1">
      <alignment wrapText="1"/>
    </xf>
    <xf numFmtId="0" fontId="0" fillId="4" borderId="8" xfId="0" applyFont="1" applyFill="1" applyBorder="1" applyAlignment="1">
      <alignment horizontal="left" vertical="center" wrapText="1"/>
    </xf>
    <xf numFmtId="0" fontId="0" fillId="4" borderId="10" xfId="0" applyFont="1" applyFill="1" applyBorder="1" applyAlignment="1">
      <alignment horizontal="center" vertical="center"/>
    </xf>
    <xf numFmtId="164" fontId="0" fillId="0" borderId="0" xfId="2" applyNumberFormat="1" applyFont="1"/>
    <xf numFmtId="3" fontId="0" fillId="3" borderId="2" xfId="0" applyNumberFormat="1" applyFont="1" applyFill="1" applyBorder="1" applyAlignment="1">
      <alignment horizontal="left"/>
    </xf>
    <xf numFmtId="3" fontId="0" fillId="3" borderId="9" xfId="0" applyNumberFormat="1" applyFont="1" applyFill="1" applyBorder="1" applyAlignment="1">
      <alignment horizontal="left"/>
    </xf>
    <xf numFmtId="0" fontId="0" fillId="3" borderId="10" xfId="0" applyFont="1" applyFill="1" applyBorder="1" applyAlignment="1">
      <alignment horizontal="left" vertical="center"/>
    </xf>
    <xf numFmtId="1" fontId="0" fillId="3" borderId="10" xfId="0" applyNumberFormat="1" applyFont="1" applyFill="1" applyBorder="1" applyAlignment="1">
      <alignment horizontal="left" vertical="center"/>
    </xf>
    <xf numFmtId="1" fontId="0" fillId="3" borderId="10" xfId="0" applyNumberFormat="1" applyFont="1" applyFill="1" applyBorder="1" applyAlignment="1">
      <alignment horizontal="left" vertical="center" wrapText="1"/>
    </xf>
    <xf numFmtId="0" fontId="5" fillId="8" borderId="2" xfId="0" applyFont="1" applyFill="1" applyBorder="1" applyAlignment="1">
      <alignment vertical="center" wrapText="1"/>
    </xf>
    <xf numFmtId="0" fontId="0" fillId="4" borderId="10" xfId="0" applyFill="1" applyBorder="1" applyAlignment="1">
      <alignment horizontal="left" vertical="center"/>
    </xf>
    <xf numFmtId="0" fontId="0" fillId="4" borderId="10" xfId="0" applyFill="1" applyBorder="1" applyAlignment="1">
      <alignment horizontal="left" vertical="center" wrapText="1"/>
    </xf>
    <xf numFmtId="0" fontId="0" fillId="4" borderId="10" xfId="0" applyFill="1" applyBorder="1" applyAlignment="1">
      <alignment vertical="center" wrapText="1"/>
    </xf>
    <xf numFmtId="0" fontId="0" fillId="4" borderId="3" xfId="0" applyFill="1" applyBorder="1"/>
    <xf numFmtId="0" fontId="0" fillId="4" borderId="7" xfId="0" applyFill="1" applyBorder="1"/>
    <xf numFmtId="3" fontId="0" fillId="3" borderId="10" xfId="0" applyNumberFormat="1" applyFont="1" applyFill="1" applyBorder="1" applyAlignment="1">
      <alignment horizontal="left"/>
    </xf>
    <xf numFmtId="0" fontId="9" fillId="0" borderId="0" xfId="0" applyFont="1"/>
    <xf numFmtId="0" fontId="1" fillId="4" borderId="1" xfId="0" applyFont="1" applyFill="1" applyBorder="1" applyAlignment="1">
      <alignment horizontal="left" vertical="center"/>
    </xf>
    <xf numFmtId="0" fontId="4" fillId="4" borderId="1" xfId="0" applyFont="1" applyFill="1" applyBorder="1" applyAlignment="1">
      <alignment horizontal="left" vertical="center"/>
    </xf>
    <xf numFmtId="0" fontId="0" fillId="4" borderId="1" xfId="0" applyFont="1" applyFill="1" applyBorder="1" applyAlignment="1">
      <alignment horizontal="left" vertical="center"/>
    </xf>
    <xf numFmtId="1" fontId="0" fillId="4" borderId="1" xfId="0" applyNumberFormat="1" applyFont="1" applyFill="1" applyBorder="1" applyAlignment="1">
      <alignment horizontal="left" vertical="center"/>
    </xf>
    <xf numFmtId="1" fontId="0" fillId="4" borderId="1" xfId="0" applyNumberFormat="1" applyFont="1" applyFill="1" applyBorder="1" applyAlignment="1">
      <alignment horizontal="left" vertical="center" wrapText="1"/>
    </xf>
    <xf numFmtId="1" fontId="4" fillId="4" borderId="1" xfId="0" applyNumberFormat="1" applyFont="1" applyFill="1" applyBorder="1" applyAlignment="1">
      <alignment horizontal="left" vertical="center" wrapText="1"/>
    </xf>
    <xf numFmtId="3" fontId="0" fillId="4" borderId="1" xfId="0" applyNumberFormat="1" applyFont="1" applyFill="1" applyBorder="1" applyAlignment="1">
      <alignment horizontal="left"/>
    </xf>
    <xf numFmtId="1" fontId="5" fillId="6" borderId="1" xfId="0" applyNumberFormat="1" applyFont="1" applyFill="1" applyBorder="1" applyAlignment="1">
      <alignment horizontal="left" vertical="center" wrapText="1"/>
    </xf>
    <xf numFmtId="3" fontId="0" fillId="4" borderId="6" xfId="0" applyNumberFormat="1" applyFont="1" applyFill="1" applyBorder="1" applyAlignment="1">
      <alignment horizontal="left"/>
    </xf>
    <xf numFmtId="0" fontId="0" fillId="4" borderId="6" xfId="0" applyFont="1" applyFill="1" applyBorder="1" applyAlignment="1">
      <alignment horizontal="left"/>
    </xf>
    <xf numFmtId="3" fontId="0" fillId="4" borderId="9" xfId="0" applyNumberFormat="1" applyFont="1" applyFill="1" applyBorder="1" applyAlignment="1">
      <alignment horizontal="left"/>
    </xf>
    <xf numFmtId="0" fontId="4" fillId="4" borderId="1" xfId="0" applyFont="1" applyFill="1" applyBorder="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0" fillId="4" borderId="8" xfId="0" applyFont="1" applyFill="1" applyBorder="1" applyAlignment="1">
      <alignment horizontal="left"/>
    </xf>
    <xf numFmtId="0" fontId="0" fillId="3" borderId="1" xfId="0" applyFill="1" applyBorder="1" applyAlignment="1">
      <alignment horizontal="justify" vertical="center"/>
    </xf>
    <xf numFmtId="0" fontId="5" fillId="6" borderId="2" xfId="0" applyFont="1" applyFill="1" applyBorder="1" applyAlignment="1">
      <alignment vertical="center"/>
    </xf>
    <xf numFmtId="0" fontId="0" fillId="0" borderId="0" xfId="0" applyFont="1" applyAlignment="1">
      <alignment vertical="center"/>
    </xf>
    <xf numFmtId="0" fontId="0" fillId="0" borderId="0" xfId="0" applyBorder="1" applyAlignment="1">
      <alignment vertical="center"/>
    </xf>
    <xf numFmtId="0" fontId="0" fillId="0" borderId="0" xfId="0" applyFill="1"/>
    <xf numFmtId="0" fontId="0" fillId="4" borderId="1" xfId="0" applyNumberFormat="1" applyFill="1" applyBorder="1" applyAlignment="1">
      <alignment horizontal="left" vertical="center" wrapText="1"/>
    </xf>
    <xf numFmtId="0" fontId="0" fillId="0" borderId="0" xfId="0" applyBorder="1"/>
    <xf numFmtId="0" fontId="0" fillId="3" borderId="10" xfId="0" applyFont="1" applyFill="1" applyBorder="1" applyAlignment="1">
      <alignment horizontal="left" wrapText="1"/>
    </xf>
    <xf numFmtId="0" fontId="0" fillId="4" borderId="9" xfId="0" applyFill="1" applyBorder="1" applyAlignment="1">
      <alignment horizontal="left" wrapText="1"/>
    </xf>
    <xf numFmtId="0" fontId="5" fillId="6" borderId="1" xfId="0" applyFont="1" applyFill="1" applyBorder="1" applyAlignment="1">
      <alignment vertical="center" wrapText="1"/>
    </xf>
    <xf numFmtId="0" fontId="11" fillId="4" borderId="1" xfId="0" applyFont="1" applyFill="1" applyBorder="1" applyAlignment="1">
      <alignment horizontal="left" vertical="center"/>
    </xf>
    <xf numFmtId="0" fontId="11" fillId="4" borderId="1" xfId="0" applyFont="1" applyFill="1" applyBorder="1" applyAlignment="1">
      <alignment wrapText="1"/>
    </xf>
    <xf numFmtId="2" fontId="11" fillId="4" borderId="1" xfId="0" applyNumberFormat="1" applyFont="1" applyFill="1" applyBorder="1" applyAlignment="1">
      <alignment horizontal="left" wrapText="1"/>
    </xf>
    <xf numFmtId="0" fontId="7" fillId="0" borderId="0" xfId="0" applyFont="1" applyAlignment="1">
      <alignment horizontal="center" vertical="center"/>
    </xf>
    <xf numFmtId="0" fontId="0" fillId="0" borderId="0" xfId="0" applyAlignment="1">
      <alignment horizontal="center"/>
    </xf>
    <xf numFmtId="0" fontId="0" fillId="0" borderId="0" xfId="0" applyAlignment="1">
      <alignment horizontal="left"/>
    </xf>
    <xf numFmtId="0" fontId="1" fillId="2" borderId="0" xfId="0" applyFont="1" applyFill="1" applyAlignment="1">
      <alignment horizontal="left" vertical="center"/>
    </xf>
    <xf numFmtId="0" fontId="10" fillId="2" borderId="0" xfId="0" applyFont="1" applyFill="1" applyAlignment="1">
      <alignment horizontal="left" vertical="center"/>
    </xf>
    <xf numFmtId="0" fontId="0" fillId="0" borderId="0" xfId="0" applyAlignment="1">
      <alignment horizontal="left" wrapText="1"/>
    </xf>
    <xf numFmtId="0" fontId="7" fillId="0" borderId="0" xfId="0" applyFont="1" applyAlignment="1">
      <alignment horizontal="center"/>
    </xf>
    <xf numFmtId="0" fontId="1" fillId="2" borderId="0" xfId="0" applyFont="1" applyFill="1" applyBorder="1" applyAlignment="1">
      <alignment horizontal="left"/>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popis2013.ba/popis2013/doc/Popis2013prvoIzdanje.pdf" TargetMode="External"/><Relationship Id="rId2" Type="http://schemas.openxmlformats.org/officeDocument/2006/relationships/hyperlink" Target="http://www.popis2013.ba/popis2013/doc/Popis2013prvoIzdanje.pdf" TargetMode="External"/><Relationship Id="rId1" Type="http://schemas.openxmlformats.org/officeDocument/2006/relationships/hyperlink" Target="http://www.popis2013.ba/popis2013/doc/Popis2013prvoIzdanj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4"/>
  <sheetViews>
    <sheetView zoomScale="85" zoomScaleNormal="85" workbookViewId="0">
      <selection sqref="A1:B1"/>
    </sheetView>
  </sheetViews>
  <sheetFormatPr baseColWidth="10" defaultColWidth="11.1640625" defaultRowHeight="16"/>
  <cols>
    <col min="1" max="1" width="44.6640625" bestFit="1" customWidth="1"/>
    <col min="2" max="2" width="155.6640625" customWidth="1"/>
  </cols>
  <sheetData>
    <row r="1" spans="1:3" ht="48" customHeight="1">
      <c r="A1" s="187" t="s">
        <v>890</v>
      </c>
      <c r="B1" s="187"/>
    </row>
    <row r="2" spans="1:3" ht="22" customHeight="1">
      <c r="A2" s="189" t="s">
        <v>907</v>
      </c>
      <c r="B2" s="189"/>
      <c r="C2" s="5"/>
    </row>
    <row r="3" spans="1:3" ht="22" customHeight="1">
      <c r="A3" s="192" t="s">
        <v>909</v>
      </c>
      <c r="B3" s="189"/>
    </row>
    <row r="4" spans="1:3" ht="22" customHeight="1">
      <c r="A4" s="189" t="s">
        <v>889</v>
      </c>
      <c r="B4" s="189"/>
    </row>
    <row r="5" spans="1:3" ht="22" customHeight="1">
      <c r="A5" s="189" t="s">
        <v>908</v>
      </c>
      <c r="B5" s="189"/>
    </row>
    <row r="6" spans="1:3">
      <c r="A6" s="188"/>
      <c r="B6" s="188"/>
    </row>
    <row r="7" spans="1:3" ht="39">
      <c r="A7" s="193" t="s">
        <v>687</v>
      </c>
      <c r="B7" s="193"/>
    </row>
    <row r="8" spans="1:3">
      <c r="A8" s="194" t="s">
        <v>38</v>
      </c>
      <c r="B8" s="194"/>
    </row>
    <row r="9" spans="1:3">
      <c r="A9" s="3"/>
      <c r="B9" s="3"/>
    </row>
    <row r="10" spans="1:3">
      <c r="A10" s="16" t="s">
        <v>700</v>
      </c>
      <c r="B10" s="16" t="s">
        <v>688</v>
      </c>
    </row>
    <row r="11" spans="1:3">
      <c r="A11" s="17" t="s">
        <v>699</v>
      </c>
      <c r="B11" s="17" t="s">
        <v>689</v>
      </c>
    </row>
    <row r="12" spans="1:3">
      <c r="A12" s="51" t="s">
        <v>40</v>
      </c>
      <c r="B12" s="51" t="s">
        <v>37</v>
      </c>
    </row>
    <row r="13" spans="1:3">
      <c r="A13" s="18" t="s">
        <v>2</v>
      </c>
      <c r="B13" s="18" t="s">
        <v>14</v>
      </c>
    </row>
    <row r="14" spans="1:3">
      <c r="A14" s="11" t="s">
        <v>1</v>
      </c>
      <c r="B14" s="10" t="s">
        <v>856</v>
      </c>
    </row>
    <row r="15" spans="1:3">
      <c r="A15" s="11" t="s">
        <v>2</v>
      </c>
      <c r="B15" s="12" t="s">
        <v>15</v>
      </c>
    </row>
    <row r="16" spans="1:3">
      <c r="A16" s="16" t="s">
        <v>4</v>
      </c>
      <c r="B16" s="16" t="s">
        <v>858</v>
      </c>
    </row>
    <row r="17" spans="1:4">
      <c r="A17" s="17" t="s">
        <v>386</v>
      </c>
      <c r="B17" s="17" t="s">
        <v>690</v>
      </c>
    </row>
    <row r="18" spans="1:4">
      <c r="A18" s="17" t="s">
        <v>692</v>
      </c>
      <c r="B18" s="17" t="s">
        <v>691</v>
      </c>
    </row>
    <row r="19" spans="1:4">
      <c r="A19" s="17" t="s">
        <v>392</v>
      </c>
      <c r="B19" s="17" t="s">
        <v>693</v>
      </c>
    </row>
    <row r="20" spans="1:4">
      <c r="A20" s="18" t="s">
        <v>6</v>
      </c>
      <c r="B20" s="18" t="s">
        <v>694</v>
      </c>
      <c r="D20" t="s">
        <v>25</v>
      </c>
    </row>
    <row r="21" spans="1:4">
      <c r="A21" s="11" t="s">
        <v>9</v>
      </c>
      <c r="B21" s="11" t="s">
        <v>695</v>
      </c>
    </row>
    <row r="22" spans="1:4">
      <c r="A22" s="19" t="s">
        <v>28</v>
      </c>
      <c r="B22" s="19" t="s">
        <v>696</v>
      </c>
    </row>
    <row r="23" spans="1:4">
      <c r="A23" s="10" t="s">
        <v>10</v>
      </c>
      <c r="B23" s="8" t="s">
        <v>16</v>
      </c>
    </row>
    <row r="24" spans="1:4">
      <c r="A24" s="19" t="s">
        <v>13</v>
      </c>
      <c r="B24" s="19" t="s">
        <v>17</v>
      </c>
    </row>
    <row r="25" spans="1:4">
      <c r="A25" s="12" t="s">
        <v>36</v>
      </c>
      <c r="B25" s="12" t="s">
        <v>697</v>
      </c>
    </row>
    <row r="26" spans="1:4">
      <c r="A26" s="16" t="s">
        <v>827</v>
      </c>
      <c r="B26" s="16" t="s">
        <v>885</v>
      </c>
    </row>
    <row r="27" spans="1:4">
      <c r="A27" s="17" t="s">
        <v>828</v>
      </c>
      <c r="B27" s="17" t="s">
        <v>886</v>
      </c>
    </row>
    <row r="28" spans="1:4">
      <c r="A28" s="18" t="s">
        <v>829</v>
      </c>
      <c r="B28" s="18" t="s">
        <v>868</v>
      </c>
    </row>
    <row r="29" spans="1:4">
      <c r="A29" s="4"/>
      <c r="B29" s="4"/>
    </row>
    <row r="30" spans="1:4">
      <c r="A30" s="190" t="s">
        <v>212</v>
      </c>
      <c r="B30" s="190"/>
    </row>
    <row r="31" spans="1:4">
      <c r="A31" s="4"/>
      <c r="B31" s="4"/>
    </row>
    <row r="32" spans="1:4">
      <c r="A32" s="10" t="s">
        <v>11</v>
      </c>
      <c r="B32" s="88" t="s">
        <v>18</v>
      </c>
    </row>
    <row r="33" spans="1:2">
      <c r="A33" s="11" t="s">
        <v>12</v>
      </c>
      <c r="B33" s="63" t="s">
        <v>27</v>
      </c>
    </row>
    <row r="34" spans="1:2">
      <c r="A34" s="12" t="s">
        <v>2</v>
      </c>
      <c r="B34" s="89" t="s">
        <v>26</v>
      </c>
    </row>
    <row r="35" spans="1:2">
      <c r="A35" s="16" t="s">
        <v>19</v>
      </c>
      <c r="B35" s="16" t="s">
        <v>409</v>
      </c>
    </row>
    <row r="36" spans="1:2">
      <c r="A36" s="18" t="s">
        <v>2</v>
      </c>
      <c r="B36" s="18" t="s">
        <v>21</v>
      </c>
    </row>
    <row r="37" spans="1:2">
      <c r="A37" s="10" t="s">
        <v>20</v>
      </c>
      <c r="B37" s="10" t="s">
        <v>410</v>
      </c>
    </row>
    <row r="38" spans="1:2">
      <c r="A38" s="12" t="s">
        <v>2</v>
      </c>
      <c r="B38" s="12" t="s">
        <v>22</v>
      </c>
    </row>
    <row r="40" spans="1:2">
      <c r="A40" s="191" t="s">
        <v>929</v>
      </c>
      <c r="B40" s="191"/>
    </row>
    <row r="42" spans="1:2" ht="51">
      <c r="A42" s="61" t="s">
        <v>830</v>
      </c>
      <c r="B42" s="185" t="s">
        <v>928</v>
      </c>
    </row>
    <row r="43" spans="1:2">
      <c r="A43" s="184" t="s">
        <v>925</v>
      </c>
      <c r="B43" s="186">
        <v>0.3</v>
      </c>
    </row>
    <row r="44" spans="1:2">
      <c r="A44" s="184" t="s">
        <v>926</v>
      </c>
      <c r="B44" s="186">
        <v>0.5</v>
      </c>
    </row>
    <row r="45" spans="1:2">
      <c r="A45" s="184" t="s">
        <v>927</v>
      </c>
      <c r="B45" s="186">
        <v>0.2</v>
      </c>
    </row>
    <row r="47" spans="1:2">
      <c r="A47" s="191" t="s">
        <v>924</v>
      </c>
      <c r="B47" s="191"/>
    </row>
    <row r="49" spans="1:2" ht="34">
      <c r="A49" s="8" t="s">
        <v>857</v>
      </c>
      <c r="B49" s="174" t="s">
        <v>897</v>
      </c>
    </row>
    <row r="51" spans="1:2" ht="39">
      <c r="A51" s="193" t="s">
        <v>855</v>
      </c>
      <c r="B51" s="193"/>
    </row>
    <row r="52" spans="1:2">
      <c r="A52" s="194" t="s">
        <v>447</v>
      </c>
      <c r="B52" s="194"/>
    </row>
    <row r="53" spans="1:2">
      <c r="A53" s="3"/>
      <c r="B53" s="3"/>
    </row>
    <row r="54" spans="1:2">
      <c r="A54" s="91" t="s">
        <v>448</v>
      </c>
      <c r="B54" s="91"/>
    </row>
    <row r="55" spans="1:2">
      <c r="A55" s="66" t="s">
        <v>449</v>
      </c>
      <c r="B55" s="66"/>
    </row>
    <row r="56" spans="1:2">
      <c r="A56" s="66" t="s">
        <v>450</v>
      </c>
      <c r="B56" s="66"/>
    </row>
    <row r="57" spans="1:2">
      <c r="A57" s="66" t="s">
        <v>451</v>
      </c>
      <c r="B57" s="66"/>
    </row>
    <row r="58" spans="1:2">
      <c r="A58" s="92" t="s">
        <v>2</v>
      </c>
      <c r="B58" s="18" t="s">
        <v>865</v>
      </c>
    </row>
    <row r="59" spans="1:2">
      <c r="A59" s="102" t="s">
        <v>460</v>
      </c>
      <c r="B59" s="6"/>
    </row>
    <row r="60" spans="1:2">
      <c r="A60" s="103" t="s">
        <v>2</v>
      </c>
      <c r="B60" s="148"/>
    </row>
    <row r="61" spans="1:2">
      <c r="A61" s="90" t="s">
        <v>723</v>
      </c>
      <c r="B61" s="13" t="s">
        <v>876</v>
      </c>
    </row>
    <row r="62" spans="1:2">
      <c r="A62" s="90" t="s">
        <v>452</v>
      </c>
      <c r="B62" s="82" t="s">
        <v>877</v>
      </c>
    </row>
    <row r="63" spans="1:2">
      <c r="A63" s="90" t="s">
        <v>2</v>
      </c>
      <c r="B63" s="14" t="s">
        <v>878</v>
      </c>
    </row>
    <row r="64" spans="1:2">
      <c r="A64" s="10" t="s">
        <v>712</v>
      </c>
      <c r="B64" s="10" t="s">
        <v>879</v>
      </c>
    </row>
    <row r="65" spans="1:2">
      <c r="A65" s="11" t="s">
        <v>456</v>
      </c>
      <c r="B65" s="11" t="s">
        <v>862</v>
      </c>
    </row>
    <row r="66" spans="1:2">
      <c r="A66" s="41" t="s">
        <v>40</v>
      </c>
      <c r="B66" s="41" t="s">
        <v>880</v>
      </c>
    </row>
    <row r="67" spans="1:2">
      <c r="A67" s="82" t="s">
        <v>4</v>
      </c>
      <c r="B67" s="175" t="s">
        <v>859</v>
      </c>
    </row>
    <row r="68" spans="1:2">
      <c r="A68" s="125" t="s">
        <v>830</v>
      </c>
      <c r="B68" s="9" t="s">
        <v>881</v>
      </c>
    </row>
    <row r="70" spans="1:2">
      <c r="A70" s="191" t="s">
        <v>929</v>
      </c>
      <c r="B70" s="191"/>
    </row>
    <row r="72" spans="1:2" ht="51">
      <c r="A72" s="61" t="s">
        <v>830</v>
      </c>
      <c r="B72" s="68" t="s">
        <v>930</v>
      </c>
    </row>
    <row r="73" spans="1:2">
      <c r="A73" s="184" t="s">
        <v>925</v>
      </c>
      <c r="B73" s="186">
        <v>0.15</v>
      </c>
    </row>
    <row r="74" spans="1:2">
      <c r="A74" s="184" t="s">
        <v>926</v>
      </c>
      <c r="B74" s="186">
        <v>0.25</v>
      </c>
    </row>
    <row r="75" spans="1:2">
      <c r="A75" s="184" t="s">
        <v>927</v>
      </c>
      <c r="B75" s="186">
        <v>0.6</v>
      </c>
    </row>
    <row r="77" spans="1:2">
      <c r="A77" s="191" t="s">
        <v>924</v>
      </c>
      <c r="B77" s="191"/>
    </row>
    <row r="79" spans="1:2" ht="34">
      <c r="A79" s="8" t="s">
        <v>857</v>
      </c>
      <c r="B79" s="174" t="s">
        <v>898</v>
      </c>
    </row>
    <row r="81" spans="1:2" ht="39">
      <c r="A81" s="193" t="s">
        <v>854</v>
      </c>
      <c r="B81" s="193"/>
    </row>
    <row r="82" spans="1:2">
      <c r="A82" s="194" t="s">
        <v>546</v>
      </c>
      <c r="B82" s="194"/>
    </row>
    <row r="83" spans="1:2">
      <c r="A83" s="3"/>
      <c r="B83" s="3"/>
    </row>
    <row r="84" spans="1:2" ht="34">
      <c r="A84" s="151" t="s">
        <v>776</v>
      </c>
      <c r="B84" s="151" t="s">
        <v>867</v>
      </c>
    </row>
    <row r="85" spans="1:2">
      <c r="A85" s="152" t="s">
        <v>6</v>
      </c>
      <c r="B85" s="18" t="s">
        <v>866</v>
      </c>
    </row>
    <row r="86" spans="1:2">
      <c r="A86" s="109" t="s">
        <v>708</v>
      </c>
      <c r="B86" s="11" t="s">
        <v>863</v>
      </c>
    </row>
    <row r="87" spans="1:2">
      <c r="A87" s="41" t="s">
        <v>40</v>
      </c>
      <c r="B87" s="41" t="s">
        <v>37</v>
      </c>
    </row>
    <row r="88" spans="1:2">
      <c r="A88" s="128" t="s">
        <v>4</v>
      </c>
      <c r="B88" s="175" t="s">
        <v>860</v>
      </c>
    </row>
    <row r="89" spans="1:2">
      <c r="A89" s="6" t="s">
        <v>549</v>
      </c>
      <c r="B89" s="8" t="s">
        <v>864</v>
      </c>
    </row>
    <row r="90" spans="1:2">
      <c r="A90" s="155" t="s">
        <v>833</v>
      </c>
      <c r="B90" s="17" t="s">
        <v>882</v>
      </c>
    </row>
    <row r="91" spans="1:2">
      <c r="A91" s="130" t="s">
        <v>832</v>
      </c>
      <c r="B91" s="17" t="s">
        <v>883</v>
      </c>
    </row>
    <row r="92" spans="1:2">
      <c r="A92" s="156" t="s">
        <v>831</v>
      </c>
      <c r="B92" s="18" t="s">
        <v>884</v>
      </c>
    </row>
    <row r="93" spans="1:2">
      <c r="A93" s="4"/>
      <c r="B93" s="4"/>
    </row>
    <row r="94" spans="1:2">
      <c r="A94" s="190" t="s">
        <v>212</v>
      </c>
      <c r="B94" s="190"/>
    </row>
    <row r="95" spans="1:2">
      <c r="A95" s="4"/>
      <c r="B95" s="4"/>
    </row>
    <row r="96" spans="1:2">
      <c r="A96" s="139" t="s">
        <v>869</v>
      </c>
      <c r="B96" s="139" t="s">
        <v>872</v>
      </c>
    </row>
    <row r="97" spans="1:2">
      <c r="A97" s="138" t="s">
        <v>871</v>
      </c>
      <c r="B97" s="138" t="s">
        <v>873</v>
      </c>
    </row>
    <row r="98" spans="1:2">
      <c r="A98" s="138" t="s">
        <v>870</v>
      </c>
      <c r="B98" s="138" t="s">
        <v>874</v>
      </c>
    </row>
    <row r="99" spans="1:2">
      <c r="A99" s="36" t="s">
        <v>2</v>
      </c>
      <c r="B99" s="36" t="s">
        <v>875</v>
      </c>
    </row>
    <row r="101" spans="1:2">
      <c r="A101" s="191" t="s">
        <v>929</v>
      </c>
      <c r="B101" s="191"/>
    </row>
    <row r="103" spans="1:2" ht="51">
      <c r="A103" s="61" t="s">
        <v>830</v>
      </c>
      <c r="B103" s="68" t="s">
        <v>931</v>
      </c>
    </row>
    <row r="104" spans="1:2">
      <c r="A104" s="184" t="s">
        <v>925</v>
      </c>
      <c r="B104" s="186">
        <v>0.2</v>
      </c>
    </row>
    <row r="105" spans="1:2">
      <c r="A105" s="184" t="s">
        <v>926</v>
      </c>
      <c r="B105" s="186">
        <v>0.3</v>
      </c>
    </row>
    <row r="106" spans="1:2">
      <c r="A106" s="184" t="s">
        <v>927</v>
      </c>
      <c r="B106" s="186">
        <v>0.5</v>
      </c>
    </row>
    <row r="108" spans="1:2">
      <c r="A108" s="191" t="s">
        <v>924</v>
      </c>
      <c r="B108" s="191"/>
    </row>
    <row r="110" spans="1:2" ht="34">
      <c r="A110" s="8" t="s">
        <v>857</v>
      </c>
      <c r="B110" s="174" t="s">
        <v>899</v>
      </c>
    </row>
    <row r="112" spans="1:2">
      <c r="A112" s="190" t="s">
        <v>698</v>
      </c>
      <c r="B112" s="190"/>
    </row>
    <row r="114" spans="1:2" ht="31.25" customHeight="1">
      <c r="A114" s="61" t="s">
        <v>4</v>
      </c>
      <c r="B114" s="68" t="s">
        <v>861</v>
      </c>
    </row>
  </sheetData>
  <mergeCells count="21">
    <mergeCell ref="A112:B112"/>
    <mergeCell ref="A108:B108"/>
    <mergeCell ref="A101:B101"/>
    <mergeCell ref="A2:B2"/>
    <mergeCell ref="A3:B3"/>
    <mergeCell ref="A51:B51"/>
    <mergeCell ref="A81:B81"/>
    <mergeCell ref="A52:B52"/>
    <mergeCell ref="A82:B82"/>
    <mergeCell ref="A8:B8"/>
    <mergeCell ref="A30:B30"/>
    <mergeCell ref="A7:B7"/>
    <mergeCell ref="A40:B40"/>
    <mergeCell ref="A47:B47"/>
    <mergeCell ref="A77:B77"/>
    <mergeCell ref="A1:B1"/>
    <mergeCell ref="A6:B6"/>
    <mergeCell ref="A5:B5"/>
    <mergeCell ref="A4:B4"/>
    <mergeCell ref="A94:B94"/>
    <mergeCell ref="A70:B7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82"/>
  <sheetViews>
    <sheetView workbookViewId="0">
      <pane xSplit="1" ySplit="1" topLeftCell="AN17" activePane="bottomRight" state="frozen"/>
      <selection pane="topRight" activeCell="B1" sqref="B1"/>
      <selection pane="bottomLeft" activeCell="A2" sqref="A2"/>
      <selection pane="bottomRight" activeCell="AQ20" sqref="AQ20"/>
    </sheetView>
  </sheetViews>
  <sheetFormatPr baseColWidth="10" defaultColWidth="11.1640625" defaultRowHeight="16"/>
  <cols>
    <col min="1" max="1" width="41" style="28" customWidth="1"/>
    <col min="2" max="2" width="42.1640625" bestFit="1" customWidth="1"/>
    <col min="3" max="3" width="36" bestFit="1" customWidth="1"/>
    <col min="4" max="4" width="37.5" bestFit="1" customWidth="1"/>
    <col min="5" max="5" width="47.33203125" bestFit="1" customWidth="1"/>
    <col min="6" max="6" width="57.33203125" customWidth="1"/>
    <col min="7" max="7" width="61.33203125" bestFit="1" customWidth="1"/>
    <col min="8" max="8" width="49.33203125" bestFit="1" customWidth="1"/>
    <col min="9" max="9" width="47.33203125" bestFit="1" customWidth="1"/>
    <col min="10" max="11" width="36" bestFit="1" customWidth="1"/>
    <col min="12" max="12" width="37" bestFit="1" customWidth="1"/>
    <col min="13" max="13" width="36" bestFit="1" customWidth="1"/>
    <col min="14" max="14" width="50.33203125" bestFit="1" customWidth="1"/>
    <col min="15" max="15" width="37" customWidth="1"/>
    <col min="16" max="16" width="36" bestFit="1" customWidth="1"/>
    <col min="17" max="17" width="47.33203125" bestFit="1" customWidth="1"/>
    <col min="18" max="18" width="37.5" bestFit="1" customWidth="1"/>
    <col min="19" max="19" width="37" bestFit="1" customWidth="1"/>
    <col min="20" max="20" width="35.83203125" customWidth="1"/>
    <col min="21" max="21" width="36" customWidth="1"/>
    <col min="22" max="22" width="34.83203125" customWidth="1"/>
    <col min="23" max="23" width="37.5" bestFit="1"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40.6640625" customWidth="1"/>
    <col min="37" max="37" width="55.1640625"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s="1" customFormat="1" ht="20" customHeight="1">
      <c r="A2" s="31" t="s">
        <v>38</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row>
    <row r="3" spans="1:45">
      <c r="A3" s="16" t="s">
        <v>700</v>
      </c>
      <c r="B3" s="52" t="s">
        <v>0</v>
      </c>
      <c r="C3" s="33" t="s">
        <v>8</v>
      </c>
      <c r="D3" s="57" t="s">
        <v>43</v>
      </c>
      <c r="E3" s="33" t="s">
        <v>8</v>
      </c>
      <c r="F3" s="57" t="s">
        <v>96</v>
      </c>
      <c r="G3" s="57" t="s">
        <v>401</v>
      </c>
      <c r="H3" s="33" t="s">
        <v>8</v>
      </c>
      <c r="I3" s="33" t="s">
        <v>8</v>
      </c>
      <c r="J3" s="57" t="s">
        <v>427</v>
      </c>
      <c r="K3" s="57" t="s">
        <v>428</v>
      </c>
      <c r="L3" s="57" t="s">
        <v>429</v>
      </c>
      <c r="M3" s="57" t="s">
        <v>430</v>
      </c>
      <c r="N3" s="70" t="s">
        <v>8</v>
      </c>
      <c r="O3" s="57" t="s">
        <v>166</v>
      </c>
      <c r="P3" s="57" t="s">
        <v>8</v>
      </c>
      <c r="Q3" s="57" t="s">
        <v>152</v>
      </c>
      <c r="R3" s="33" t="s">
        <v>8</v>
      </c>
      <c r="S3" s="33" t="s">
        <v>8</v>
      </c>
      <c r="T3" s="57" t="s">
        <v>432</v>
      </c>
      <c r="U3" s="57" t="s">
        <v>433</v>
      </c>
      <c r="V3" s="57" t="s">
        <v>243</v>
      </c>
      <c r="W3" s="57" t="s">
        <v>399</v>
      </c>
      <c r="X3" s="57" t="s">
        <v>434</v>
      </c>
      <c r="Y3" s="57" t="s">
        <v>435</v>
      </c>
      <c r="Z3" s="57" t="s">
        <v>436</v>
      </c>
      <c r="AA3" s="57" t="s">
        <v>443</v>
      </c>
      <c r="AB3" s="33" t="s">
        <v>8</v>
      </c>
      <c r="AC3" s="33" t="s">
        <v>8</v>
      </c>
      <c r="AD3" s="33" t="s">
        <v>8</v>
      </c>
      <c r="AE3" s="33" t="s">
        <v>8</v>
      </c>
      <c r="AF3" s="33" t="s">
        <v>8</v>
      </c>
      <c r="AG3" s="33" t="s">
        <v>8</v>
      </c>
      <c r="AH3" s="33" t="s">
        <v>8</v>
      </c>
      <c r="AI3" s="57" t="s">
        <v>438</v>
      </c>
      <c r="AJ3" s="57" t="s">
        <v>239</v>
      </c>
      <c r="AK3" s="57" t="s">
        <v>245</v>
      </c>
      <c r="AL3" s="33" t="s">
        <v>8</v>
      </c>
      <c r="AM3" s="33" t="s">
        <v>8</v>
      </c>
      <c r="AN3" s="57" t="s">
        <v>263</v>
      </c>
      <c r="AO3" s="57" t="s">
        <v>272</v>
      </c>
      <c r="AP3" s="57" t="s">
        <v>439</v>
      </c>
      <c r="AQ3" s="57" t="s">
        <v>381</v>
      </c>
      <c r="AR3" s="57" t="s">
        <v>382</v>
      </c>
      <c r="AS3" s="57" t="s">
        <v>442</v>
      </c>
    </row>
    <row r="4" spans="1:45">
      <c r="A4" s="17" t="s">
        <v>699</v>
      </c>
      <c r="B4" s="53" t="s">
        <v>8</v>
      </c>
      <c r="C4" s="34" t="s">
        <v>426</v>
      </c>
      <c r="D4" s="21" t="s">
        <v>8</v>
      </c>
      <c r="E4" s="34" t="s">
        <v>91</v>
      </c>
      <c r="F4" s="21" t="s">
        <v>8</v>
      </c>
      <c r="G4" s="21" t="s">
        <v>8</v>
      </c>
      <c r="H4" s="34" t="s">
        <v>114</v>
      </c>
      <c r="I4" s="34" t="s">
        <v>117</v>
      </c>
      <c r="J4" s="21" t="s">
        <v>8</v>
      </c>
      <c r="K4" s="21" t="s">
        <v>8</v>
      </c>
      <c r="L4" s="21" t="s">
        <v>8</v>
      </c>
      <c r="M4" s="21" t="s">
        <v>8</v>
      </c>
      <c r="N4" s="71" t="s">
        <v>130</v>
      </c>
      <c r="O4" s="21" t="s">
        <v>8</v>
      </c>
      <c r="P4" s="34" t="s">
        <v>431</v>
      </c>
      <c r="Q4" s="21" t="s">
        <v>8</v>
      </c>
      <c r="R4" s="34" t="s">
        <v>153</v>
      </c>
      <c r="S4" s="34" t="s">
        <v>160</v>
      </c>
      <c r="T4" s="21" t="s">
        <v>8</v>
      </c>
      <c r="U4" s="21" t="s">
        <v>8</v>
      </c>
      <c r="V4" s="34" t="s">
        <v>243</v>
      </c>
      <c r="W4" s="21" t="s">
        <v>8</v>
      </c>
      <c r="X4" s="21" t="s">
        <v>8</v>
      </c>
      <c r="Y4" s="21" t="s">
        <v>8</v>
      </c>
      <c r="Z4" s="21" t="s">
        <v>8</v>
      </c>
      <c r="AA4" s="21" t="s">
        <v>8</v>
      </c>
      <c r="AB4" s="34" t="s">
        <v>193</v>
      </c>
      <c r="AC4" s="34" t="s">
        <v>198</v>
      </c>
      <c r="AD4" s="34" t="s">
        <v>437</v>
      </c>
      <c r="AE4" s="34" t="s">
        <v>404</v>
      </c>
      <c r="AF4" s="34" t="s">
        <v>213</v>
      </c>
      <c r="AG4" s="34" t="s">
        <v>223</v>
      </c>
      <c r="AH4" s="34" t="s">
        <v>231</v>
      </c>
      <c r="AI4" s="21" t="s">
        <v>8</v>
      </c>
      <c r="AJ4" s="34" t="s">
        <v>239</v>
      </c>
      <c r="AK4" s="21" t="s">
        <v>8</v>
      </c>
      <c r="AL4" s="81" t="s">
        <v>251</v>
      </c>
      <c r="AM4" s="81" t="s">
        <v>254</v>
      </c>
      <c r="AN4" s="21" t="s">
        <v>8</v>
      </c>
      <c r="AO4" s="34" t="s">
        <v>8</v>
      </c>
      <c r="AP4" s="21" t="s">
        <v>8</v>
      </c>
      <c r="AQ4" s="21" t="s">
        <v>8</v>
      </c>
      <c r="AR4" s="21" t="s">
        <v>8</v>
      </c>
      <c r="AS4" s="21" t="s">
        <v>8</v>
      </c>
    </row>
    <row r="5" spans="1:45">
      <c r="A5" s="51" t="s">
        <v>40</v>
      </c>
      <c r="B5" s="50" t="s">
        <v>35</v>
      </c>
      <c r="C5" s="51" t="s">
        <v>39</v>
      </c>
      <c r="D5" s="51" t="s">
        <v>34</v>
      </c>
      <c r="E5" s="51" t="s">
        <v>93</v>
      </c>
      <c r="F5" s="51" t="s">
        <v>35</v>
      </c>
      <c r="G5" s="66" t="s">
        <v>90</v>
      </c>
      <c r="H5" s="66" t="s">
        <v>90</v>
      </c>
      <c r="I5" s="51" t="s">
        <v>90</v>
      </c>
      <c r="J5" s="51" t="s">
        <v>90</v>
      </c>
      <c r="K5" s="51" t="s">
        <v>90</v>
      </c>
      <c r="L5" s="51" t="s">
        <v>34</v>
      </c>
      <c r="M5" s="51" t="s">
        <v>90</v>
      </c>
      <c r="N5" s="23" t="s">
        <v>131</v>
      </c>
      <c r="O5" s="51" t="s">
        <v>93</v>
      </c>
      <c r="P5" s="51" t="s">
        <v>144</v>
      </c>
      <c r="Q5" s="51" t="s">
        <v>35</v>
      </c>
      <c r="R5" s="51" t="s">
        <v>34</v>
      </c>
      <c r="S5" s="51" t="s">
        <v>90</v>
      </c>
      <c r="T5" s="51" t="s">
        <v>34</v>
      </c>
      <c r="U5" s="51" t="s">
        <v>144</v>
      </c>
      <c r="V5" s="51" t="s">
        <v>35</v>
      </c>
      <c r="W5" s="51" t="s">
        <v>90</v>
      </c>
      <c r="X5" s="51" t="s">
        <v>34</v>
      </c>
      <c r="Y5" s="51" t="s">
        <v>34</v>
      </c>
      <c r="Z5" s="51" t="s">
        <v>90</v>
      </c>
      <c r="AA5" s="51" t="s">
        <v>90</v>
      </c>
      <c r="AB5" s="51" t="s">
        <v>34</v>
      </c>
      <c r="AC5" s="51" t="s">
        <v>34</v>
      </c>
      <c r="AD5" s="51" t="s">
        <v>144</v>
      </c>
      <c r="AE5" s="51" t="s">
        <v>34</v>
      </c>
      <c r="AF5" s="51" t="s">
        <v>90</v>
      </c>
      <c r="AG5" s="51" t="s">
        <v>34</v>
      </c>
      <c r="AH5" s="51" t="s">
        <v>90</v>
      </c>
      <c r="AI5" s="51" t="s">
        <v>90</v>
      </c>
      <c r="AJ5" s="51" t="s">
        <v>35</v>
      </c>
      <c r="AK5" s="51" t="s">
        <v>90</v>
      </c>
      <c r="AL5" s="51" t="s">
        <v>90</v>
      </c>
      <c r="AM5" s="51" t="s">
        <v>90</v>
      </c>
      <c r="AN5" s="51" t="s">
        <v>90</v>
      </c>
      <c r="AO5" s="51" t="s">
        <v>90</v>
      </c>
      <c r="AP5" s="51" t="s">
        <v>90</v>
      </c>
      <c r="AQ5" s="51" t="s">
        <v>35</v>
      </c>
      <c r="AR5" s="51" t="s">
        <v>34</v>
      </c>
      <c r="AS5" s="51" t="s">
        <v>90</v>
      </c>
    </row>
    <row r="6" spans="1:45" ht="51">
      <c r="A6" s="18" t="s">
        <v>2</v>
      </c>
      <c r="B6" s="54" t="s">
        <v>23</v>
      </c>
      <c r="C6" s="22" t="s">
        <v>894</v>
      </c>
      <c r="D6" s="22" t="s">
        <v>42</v>
      </c>
      <c r="E6" s="22" t="s">
        <v>92</v>
      </c>
      <c r="F6" s="22" t="s">
        <v>97</v>
      </c>
      <c r="G6" s="22" t="s">
        <v>106</v>
      </c>
      <c r="H6" s="22" t="s">
        <v>110</v>
      </c>
      <c r="I6" s="22" t="s">
        <v>118</v>
      </c>
      <c r="J6" s="22" t="s">
        <v>894</v>
      </c>
      <c r="K6" s="22" t="s">
        <v>894</v>
      </c>
      <c r="L6" s="22" t="s">
        <v>894</v>
      </c>
      <c r="M6" s="22" t="s">
        <v>894</v>
      </c>
      <c r="N6" s="72" t="s">
        <v>133</v>
      </c>
      <c r="O6" s="22" t="s">
        <v>139</v>
      </c>
      <c r="P6" s="22" t="s">
        <v>894</v>
      </c>
      <c r="Q6" s="22" t="s">
        <v>150</v>
      </c>
      <c r="R6" s="22" t="s">
        <v>154</v>
      </c>
      <c r="S6" s="22" t="s">
        <v>161</v>
      </c>
      <c r="T6" s="22" t="s">
        <v>894</v>
      </c>
      <c r="U6" s="22" t="s">
        <v>894</v>
      </c>
      <c r="V6" s="22" t="s">
        <v>823</v>
      </c>
      <c r="W6" s="22" t="s">
        <v>175</v>
      </c>
      <c r="X6" s="22" t="s">
        <v>894</v>
      </c>
      <c r="Y6" s="22" t="s">
        <v>894</v>
      </c>
      <c r="Z6" s="22" t="s">
        <v>894</v>
      </c>
      <c r="AA6" s="22" t="s">
        <v>894</v>
      </c>
      <c r="AB6" s="22" t="s">
        <v>194</v>
      </c>
      <c r="AC6" s="22" t="s">
        <v>199</v>
      </c>
      <c r="AD6" s="22" t="s">
        <v>894</v>
      </c>
      <c r="AE6" s="22" t="s">
        <v>206</v>
      </c>
      <c r="AF6" s="22" t="s">
        <v>214</v>
      </c>
      <c r="AG6" s="22" t="s">
        <v>221</v>
      </c>
      <c r="AH6" s="22" t="s">
        <v>229</v>
      </c>
      <c r="AI6" s="22" t="s">
        <v>894</v>
      </c>
      <c r="AJ6" s="22" t="s">
        <v>240</v>
      </c>
      <c r="AK6" s="22" t="s">
        <v>247</v>
      </c>
      <c r="AL6" s="22" t="s">
        <v>252</v>
      </c>
      <c r="AM6" s="22" t="s">
        <v>257</v>
      </c>
      <c r="AN6" s="22" t="s">
        <v>264</v>
      </c>
      <c r="AO6" s="22" t="s">
        <v>273</v>
      </c>
      <c r="AP6" s="22" t="s">
        <v>894</v>
      </c>
      <c r="AQ6" s="22" t="s">
        <v>282</v>
      </c>
      <c r="AR6" s="22" t="s">
        <v>285</v>
      </c>
      <c r="AS6" s="22" t="s">
        <v>894</v>
      </c>
    </row>
    <row r="7" spans="1:45">
      <c r="A7" s="11" t="s">
        <v>835</v>
      </c>
      <c r="B7" s="6" t="s">
        <v>3</v>
      </c>
      <c r="C7" s="35" t="s">
        <v>33</v>
      </c>
      <c r="D7" s="35" t="s">
        <v>44</v>
      </c>
      <c r="E7" s="35" t="s">
        <v>94</v>
      </c>
      <c r="F7" s="35" t="s">
        <v>98</v>
      </c>
      <c r="G7" s="35" t="s">
        <v>107</v>
      </c>
      <c r="H7" s="35" t="s">
        <v>111</v>
      </c>
      <c r="I7" s="35" t="s">
        <v>119</v>
      </c>
      <c r="J7" s="35" t="s">
        <v>121</v>
      </c>
      <c r="K7" s="35" t="s">
        <v>123</v>
      </c>
      <c r="L7" s="35" t="s">
        <v>126</v>
      </c>
      <c r="M7" s="35" t="s">
        <v>127</v>
      </c>
      <c r="N7" s="35" t="s">
        <v>134</v>
      </c>
      <c r="O7" s="35" t="s">
        <v>167</v>
      </c>
      <c r="P7" s="35" t="s">
        <v>145</v>
      </c>
      <c r="Q7" s="35" t="s">
        <v>151</v>
      </c>
      <c r="R7" s="35" t="s">
        <v>155</v>
      </c>
      <c r="S7" s="35" t="s">
        <v>162</v>
      </c>
      <c r="T7" s="35" t="s">
        <v>169</v>
      </c>
      <c r="U7" s="35" t="s">
        <v>171</v>
      </c>
      <c r="V7" s="35" t="s">
        <v>8</v>
      </c>
      <c r="W7" s="35" t="s">
        <v>176</v>
      </c>
      <c r="X7" s="35" t="s">
        <v>180</v>
      </c>
      <c r="Y7" s="35" t="s">
        <v>184</v>
      </c>
      <c r="Z7" s="35" t="s">
        <v>187</v>
      </c>
      <c r="AA7" s="35" t="s">
        <v>190</v>
      </c>
      <c r="AB7" s="35" t="s">
        <v>195</v>
      </c>
      <c r="AC7" s="35" t="s">
        <v>200</v>
      </c>
      <c r="AD7" s="35" t="s">
        <v>203</v>
      </c>
      <c r="AE7" s="35" t="s">
        <v>407</v>
      </c>
      <c r="AF7" s="35" t="s">
        <v>215</v>
      </c>
      <c r="AG7" s="35" t="s">
        <v>222</v>
      </c>
      <c r="AH7" s="35" t="s">
        <v>230</v>
      </c>
      <c r="AI7" s="35" t="s">
        <v>236</v>
      </c>
      <c r="AJ7" s="35" t="s">
        <v>241</v>
      </c>
      <c r="AK7" s="35" t="s">
        <v>246</v>
      </c>
      <c r="AL7" s="35" t="s">
        <v>253</v>
      </c>
      <c r="AM7" s="35" t="s">
        <v>258</v>
      </c>
      <c r="AN7" s="35" t="s">
        <v>265</v>
      </c>
      <c r="AO7" s="35" t="s">
        <v>274</v>
      </c>
      <c r="AP7" s="35" t="s">
        <v>278</v>
      </c>
      <c r="AQ7" s="35" t="s">
        <v>279</v>
      </c>
      <c r="AR7" s="35" t="s">
        <v>280</v>
      </c>
      <c r="AS7" s="35" t="s">
        <v>281</v>
      </c>
    </row>
    <row r="8" spans="1:45" ht="34">
      <c r="A8" s="11" t="s">
        <v>2</v>
      </c>
      <c r="B8" s="7" t="s">
        <v>31</v>
      </c>
      <c r="C8" s="7" t="s">
        <v>894</v>
      </c>
      <c r="D8" s="7" t="s">
        <v>31</v>
      </c>
      <c r="E8" s="7" t="s">
        <v>31</v>
      </c>
      <c r="F8" s="7" t="s">
        <v>99</v>
      </c>
      <c r="G8" s="7" t="s">
        <v>31</v>
      </c>
      <c r="H8" s="7" t="s">
        <v>31</v>
      </c>
      <c r="I8" s="7" t="s">
        <v>31</v>
      </c>
      <c r="J8" s="7" t="s">
        <v>122</v>
      </c>
      <c r="K8" s="7" t="s">
        <v>124</v>
      </c>
      <c r="L8" s="7" t="s">
        <v>125</v>
      </c>
      <c r="M8" s="7" t="s">
        <v>128</v>
      </c>
      <c r="N8" s="7" t="s">
        <v>132</v>
      </c>
      <c r="O8" s="7" t="s">
        <v>31</v>
      </c>
      <c r="P8" s="7" t="s">
        <v>893</v>
      </c>
      <c r="Q8" s="7" t="s">
        <v>31</v>
      </c>
      <c r="R8" s="7" t="s">
        <v>31</v>
      </c>
      <c r="S8" s="7" t="s">
        <v>31</v>
      </c>
      <c r="T8" s="7" t="s">
        <v>168</v>
      </c>
      <c r="U8" s="76" t="s">
        <v>894</v>
      </c>
      <c r="V8" s="76" t="s">
        <v>31</v>
      </c>
      <c r="W8" s="7" t="s">
        <v>31</v>
      </c>
      <c r="X8" s="7" t="s">
        <v>181</v>
      </c>
      <c r="Y8" s="7" t="s">
        <v>894</v>
      </c>
      <c r="Z8" s="7" t="s">
        <v>188</v>
      </c>
      <c r="AA8" s="7" t="s">
        <v>191</v>
      </c>
      <c r="AB8" s="7" t="s">
        <v>196</v>
      </c>
      <c r="AC8" s="7" t="s">
        <v>201</v>
      </c>
      <c r="AD8" s="7" t="s">
        <v>893</v>
      </c>
      <c r="AE8" s="7" t="s">
        <v>31</v>
      </c>
      <c r="AF8" s="7" t="s">
        <v>216</v>
      </c>
      <c r="AG8" s="7" t="s">
        <v>224</v>
      </c>
      <c r="AH8" s="7" t="s">
        <v>232</v>
      </c>
      <c r="AI8" s="7" t="s">
        <v>237</v>
      </c>
      <c r="AJ8" s="7" t="s">
        <v>31</v>
      </c>
      <c r="AK8" s="7" t="s">
        <v>31</v>
      </c>
      <c r="AL8" s="7" t="s">
        <v>31</v>
      </c>
      <c r="AM8" s="7" t="s">
        <v>172</v>
      </c>
      <c r="AN8" s="7" t="s">
        <v>224</v>
      </c>
      <c r="AO8" s="7" t="s">
        <v>31</v>
      </c>
      <c r="AP8" s="7" t="s">
        <v>284</v>
      </c>
      <c r="AQ8" s="7" t="s">
        <v>283</v>
      </c>
      <c r="AR8" s="7" t="s">
        <v>286</v>
      </c>
      <c r="AS8" s="7" t="s">
        <v>287</v>
      </c>
    </row>
    <row r="9" spans="1:45">
      <c r="A9" s="16" t="s">
        <v>4</v>
      </c>
      <c r="B9" s="13" t="s">
        <v>5</v>
      </c>
      <c r="C9" s="13" t="s">
        <v>89</v>
      </c>
      <c r="D9" s="13" t="s">
        <v>45</v>
      </c>
      <c r="E9" s="13" t="s">
        <v>95</v>
      </c>
      <c r="F9" s="13" t="s">
        <v>100</v>
      </c>
      <c r="G9" s="13" t="s">
        <v>402</v>
      </c>
      <c r="H9" s="13" t="s">
        <v>112</v>
      </c>
      <c r="I9" s="13" t="s">
        <v>120</v>
      </c>
      <c r="J9" s="13" t="s">
        <v>147</v>
      </c>
      <c r="K9" s="13" t="s">
        <v>148</v>
      </c>
      <c r="L9" s="13" t="s">
        <v>149</v>
      </c>
      <c r="M9" s="13" t="s">
        <v>129</v>
      </c>
      <c r="N9" s="13" t="s">
        <v>135</v>
      </c>
      <c r="O9" s="13" t="s">
        <v>140</v>
      </c>
      <c r="P9" s="13" t="s">
        <v>146</v>
      </c>
      <c r="Q9" s="13" t="s">
        <v>445</v>
      </c>
      <c r="R9" s="13" t="s">
        <v>156</v>
      </c>
      <c r="S9" s="13" t="s">
        <v>163</v>
      </c>
      <c r="T9" s="13" t="s">
        <v>170</v>
      </c>
      <c r="U9" s="13" t="s">
        <v>174</v>
      </c>
      <c r="V9" s="13" t="s">
        <v>173</v>
      </c>
      <c r="W9" s="13" t="s">
        <v>207</v>
      </c>
      <c r="X9" s="13" t="s">
        <v>182</v>
      </c>
      <c r="Y9" s="13" t="s">
        <v>185</v>
      </c>
      <c r="Z9" s="13" t="s">
        <v>189</v>
      </c>
      <c r="AA9" s="13" t="s">
        <v>192</v>
      </c>
      <c r="AB9" s="13" t="s">
        <v>208</v>
      </c>
      <c r="AC9" s="13" t="s">
        <v>209</v>
      </c>
      <c r="AD9" s="13" t="s">
        <v>204</v>
      </c>
      <c r="AE9" s="13" t="s">
        <v>210</v>
      </c>
      <c r="AF9" s="13" t="s">
        <v>217</v>
      </c>
      <c r="AG9" s="13" t="s">
        <v>225</v>
      </c>
      <c r="AH9" s="13" t="s">
        <v>233</v>
      </c>
      <c r="AI9" s="13" t="s">
        <v>238</v>
      </c>
      <c r="AJ9" s="13" t="s">
        <v>242</v>
      </c>
      <c r="AK9" s="13" t="s">
        <v>444</v>
      </c>
      <c r="AL9" s="13" t="s">
        <v>260</v>
      </c>
      <c r="AM9" s="13" t="s">
        <v>267</v>
      </c>
      <c r="AN9" s="13" t="s">
        <v>266</v>
      </c>
      <c r="AO9" s="13" t="s">
        <v>275</v>
      </c>
      <c r="AP9" s="13" t="s">
        <v>288</v>
      </c>
      <c r="AQ9" s="13" t="s">
        <v>290</v>
      </c>
      <c r="AR9" s="13" t="s">
        <v>291</v>
      </c>
      <c r="AS9" s="13" t="s">
        <v>289</v>
      </c>
    </row>
    <row r="10" spans="1:45">
      <c r="A10" s="17" t="s">
        <v>415</v>
      </c>
      <c r="B10" s="82" t="s">
        <v>388</v>
      </c>
      <c r="C10" s="82" t="s">
        <v>389</v>
      </c>
      <c r="D10" s="82" t="s">
        <v>388</v>
      </c>
      <c r="E10" s="82" t="s">
        <v>388</v>
      </c>
      <c r="F10" s="82" t="s">
        <v>390</v>
      </c>
      <c r="G10" s="82" t="s">
        <v>388</v>
      </c>
      <c r="H10" s="82" t="s">
        <v>388</v>
      </c>
      <c r="I10" s="82" t="s">
        <v>388</v>
      </c>
      <c r="J10" s="82" t="s">
        <v>389</v>
      </c>
      <c r="K10" s="82" t="s">
        <v>389</v>
      </c>
      <c r="L10" s="82" t="s">
        <v>389</v>
      </c>
      <c r="M10" s="82" t="s">
        <v>389</v>
      </c>
      <c r="N10" s="82" t="s">
        <v>388</v>
      </c>
      <c r="O10" s="82" t="s">
        <v>388</v>
      </c>
      <c r="P10" s="82" t="s">
        <v>389</v>
      </c>
      <c r="Q10" s="82" t="s">
        <v>388</v>
      </c>
      <c r="R10" s="82" t="s">
        <v>390</v>
      </c>
      <c r="S10" s="82" t="s">
        <v>388</v>
      </c>
      <c r="T10" s="82" t="s">
        <v>389</v>
      </c>
      <c r="U10" s="82" t="s">
        <v>389</v>
      </c>
      <c r="V10" s="82" t="s">
        <v>389</v>
      </c>
      <c r="W10" s="82" t="s">
        <v>390</v>
      </c>
      <c r="X10" s="82" t="s">
        <v>389</v>
      </c>
      <c r="Y10" s="82" t="s">
        <v>389</v>
      </c>
      <c r="Z10" s="82" t="s">
        <v>389</v>
      </c>
      <c r="AA10" s="82" t="s">
        <v>389</v>
      </c>
      <c r="AB10" s="82" t="s">
        <v>388</v>
      </c>
      <c r="AC10" s="82" t="s">
        <v>388</v>
      </c>
      <c r="AD10" s="82" t="s">
        <v>389</v>
      </c>
      <c r="AE10" s="82" t="s">
        <v>388</v>
      </c>
      <c r="AF10" s="82" t="s">
        <v>388</v>
      </c>
      <c r="AG10" s="82" t="s">
        <v>388</v>
      </c>
      <c r="AH10" s="82" t="s">
        <v>388</v>
      </c>
      <c r="AI10" s="82" t="s">
        <v>389</v>
      </c>
      <c r="AJ10" s="82" t="s">
        <v>389</v>
      </c>
      <c r="AK10" s="82" t="s">
        <v>388</v>
      </c>
      <c r="AL10" s="82" t="s">
        <v>390</v>
      </c>
      <c r="AM10" s="82" t="s">
        <v>390</v>
      </c>
      <c r="AN10" s="82" t="s">
        <v>388</v>
      </c>
      <c r="AO10" s="82" t="s">
        <v>388</v>
      </c>
      <c r="AP10" s="82" t="s">
        <v>389</v>
      </c>
      <c r="AQ10" s="82" t="s">
        <v>388</v>
      </c>
      <c r="AR10" s="82" t="s">
        <v>390</v>
      </c>
      <c r="AS10" s="82" t="s">
        <v>389</v>
      </c>
    </row>
    <row r="11" spans="1:45">
      <c r="A11" s="17" t="s">
        <v>387</v>
      </c>
      <c r="B11" s="82" t="s">
        <v>411</v>
      </c>
      <c r="C11" s="82" t="s">
        <v>389</v>
      </c>
      <c r="D11" s="82" t="s">
        <v>413</v>
      </c>
      <c r="E11" s="82" t="s">
        <v>414</v>
      </c>
      <c r="F11" s="82" t="s">
        <v>412</v>
      </c>
      <c r="G11" s="82" t="s">
        <v>416</v>
      </c>
      <c r="H11" s="82" t="s">
        <v>417</v>
      </c>
      <c r="I11" s="82" t="s">
        <v>418</v>
      </c>
      <c r="J11" s="82" t="s">
        <v>389</v>
      </c>
      <c r="K11" s="82" t="s">
        <v>389</v>
      </c>
      <c r="L11" s="82" t="s">
        <v>389</v>
      </c>
      <c r="M11" s="82" t="s">
        <v>389</v>
      </c>
      <c r="N11" s="82" t="s">
        <v>414</v>
      </c>
      <c r="O11" s="82" t="s">
        <v>418</v>
      </c>
      <c r="P11" s="82" t="s">
        <v>389</v>
      </c>
      <c r="Q11" s="82" t="s">
        <v>389</v>
      </c>
      <c r="R11" s="82" t="s">
        <v>412</v>
      </c>
      <c r="S11" s="82" t="s">
        <v>418</v>
      </c>
      <c r="T11" s="82" t="s">
        <v>389</v>
      </c>
      <c r="U11" s="82" t="s">
        <v>389</v>
      </c>
      <c r="V11" s="82" t="s">
        <v>389</v>
      </c>
      <c r="W11" s="82" t="s">
        <v>419</v>
      </c>
      <c r="X11" s="82" t="s">
        <v>389</v>
      </c>
      <c r="Y11" s="82" t="s">
        <v>389</v>
      </c>
      <c r="Z11" s="82" t="s">
        <v>389</v>
      </c>
      <c r="AA11" s="82" t="s">
        <v>389</v>
      </c>
      <c r="AB11" s="82" t="s">
        <v>417</v>
      </c>
      <c r="AC11" s="82" t="s">
        <v>418</v>
      </c>
      <c r="AD11" s="82" t="s">
        <v>389</v>
      </c>
      <c r="AE11" s="82" t="s">
        <v>417</v>
      </c>
      <c r="AF11" s="82" t="s">
        <v>420</v>
      </c>
      <c r="AG11" s="82" t="s">
        <v>417</v>
      </c>
      <c r="AH11" s="82" t="s">
        <v>411</v>
      </c>
      <c r="AI11" s="82" t="s">
        <v>389</v>
      </c>
      <c r="AJ11" s="82" t="s">
        <v>389</v>
      </c>
      <c r="AK11" s="82" t="s">
        <v>389</v>
      </c>
      <c r="AL11" s="82" t="s">
        <v>421</v>
      </c>
      <c r="AM11" s="82" t="s">
        <v>422</v>
      </c>
      <c r="AN11" s="82" t="s">
        <v>416</v>
      </c>
      <c r="AO11" s="82" t="s">
        <v>423</v>
      </c>
      <c r="AP11" s="82" t="s">
        <v>389</v>
      </c>
      <c r="AQ11" s="82" t="s">
        <v>424</v>
      </c>
      <c r="AR11" s="82" t="s">
        <v>425</v>
      </c>
      <c r="AS11" s="82" t="s">
        <v>389</v>
      </c>
    </row>
    <row r="12" spans="1:45">
      <c r="A12" s="17" t="s">
        <v>392</v>
      </c>
      <c r="B12" s="82" t="s">
        <v>391</v>
      </c>
      <c r="C12" s="82" t="s">
        <v>389</v>
      </c>
      <c r="D12" s="82" t="s">
        <v>391</v>
      </c>
      <c r="E12" s="82" t="s">
        <v>391</v>
      </c>
      <c r="F12" s="82" t="s">
        <v>391</v>
      </c>
      <c r="G12" s="82" t="s">
        <v>391</v>
      </c>
      <c r="H12" s="82" t="s">
        <v>391</v>
      </c>
      <c r="I12" s="82" t="s">
        <v>391</v>
      </c>
      <c r="J12" s="82" t="s">
        <v>389</v>
      </c>
      <c r="K12" s="82" t="s">
        <v>389</v>
      </c>
      <c r="L12" s="82" t="s">
        <v>389</v>
      </c>
      <c r="M12" s="82" t="s">
        <v>389</v>
      </c>
      <c r="N12" s="82" t="s">
        <v>394</v>
      </c>
      <c r="O12" s="82" t="s">
        <v>391</v>
      </c>
      <c r="P12" s="82" t="s">
        <v>389</v>
      </c>
      <c r="Q12" s="82" t="s">
        <v>391</v>
      </c>
      <c r="R12" s="82" t="s">
        <v>395</v>
      </c>
      <c r="S12" s="82" t="s">
        <v>391</v>
      </c>
      <c r="T12" s="82" t="s">
        <v>389</v>
      </c>
      <c r="U12" s="82" t="s">
        <v>389</v>
      </c>
      <c r="V12" s="82" t="s">
        <v>389</v>
      </c>
      <c r="W12" s="82" t="s">
        <v>393</v>
      </c>
      <c r="X12" s="82" t="s">
        <v>389</v>
      </c>
      <c r="Y12" s="82" t="s">
        <v>389</v>
      </c>
      <c r="Z12" s="82" t="s">
        <v>389</v>
      </c>
      <c r="AA12" s="82" t="s">
        <v>389</v>
      </c>
      <c r="AB12" s="82" t="s">
        <v>393</v>
      </c>
      <c r="AC12" s="82" t="s">
        <v>391</v>
      </c>
      <c r="AD12" s="82" t="s">
        <v>389</v>
      </c>
      <c r="AE12" s="83" t="s">
        <v>391</v>
      </c>
      <c r="AF12" s="83" t="s">
        <v>391</v>
      </c>
      <c r="AG12" s="83" t="s">
        <v>391</v>
      </c>
      <c r="AH12" s="83" t="s">
        <v>391</v>
      </c>
      <c r="AI12" s="82" t="s">
        <v>389</v>
      </c>
      <c r="AJ12" s="82" t="s">
        <v>389</v>
      </c>
      <c r="AK12" s="83" t="s">
        <v>391</v>
      </c>
      <c r="AL12" s="83" t="s">
        <v>391</v>
      </c>
      <c r="AM12" s="82" t="s">
        <v>396</v>
      </c>
      <c r="AN12" s="83" t="s">
        <v>391</v>
      </c>
      <c r="AO12" s="83" t="s">
        <v>391</v>
      </c>
      <c r="AP12" s="82" t="s">
        <v>389</v>
      </c>
      <c r="AQ12" s="83" t="s">
        <v>391</v>
      </c>
      <c r="AR12" s="82" t="s">
        <v>397</v>
      </c>
      <c r="AS12" s="82" t="s">
        <v>389</v>
      </c>
    </row>
    <row r="13" spans="1:45" ht="17">
      <c r="A13" s="18" t="s">
        <v>6</v>
      </c>
      <c r="B13" s="14" t="s">
        <v>891</v>
      </c>
      <c r="C13" s="14" t="s">
        <v>895</v>
      </c>
      <c r="D13" s="14" t="s">
        <v>891</v>
      </c>
      <c r="E13" s="14" t="s">
        <v>891</v>
      </c>
      <c r="F13" s="14" t="s">
        <v>891</v>
      </c>
      <c r="G13" s="14" t="s">
        <v>891</v>
      </c>
      <c r="H13" s="14" t="s">
        <v>891</v>
      </c>
      <c r="I13" s="14" t="s">
        <v>891</v>
      </c>
      <c r="J13" s="73" t="s">
        <v>893</v>
      </c>
      <c r="K13" s="73" t="s">
        <v>893</v>
      </c>
      <c r="L13" s="73" t="s">
        <v>893</v>
      </c>
      <c r="M13" s="73" t="s">
        <v>893</v>
      </c>
      <c r="N13" s="14" t="s">
        <v>891</v>
      </c>
      <c r="O13" s="14" t="s">
        <v>891</v>
      </c>
      <c r="P13" s="14" t="s">
        <v>893</v>
      </c>
      <c r="Q13" s="14" t="s">
        <v>891</v>
      </c>
      <c r="R13" s="14" t="s">
        <v>891</v>
      </c>
      <c r="S13" s="14" t="s">
        <v>891</v>
      </c>
      <c r="T13" s="14" t="s">
        <v>893</v>
      </c>
      <c r="U13" s="14" t="s">
        <v>894</v>
      </c>
      <c r="V13" s="14" t="s">
        <v>243</v>
      </c>
      <c r="W13" s="14" t="s">
        <v>891</v>
      </c>
      <c r="X13" s="22" t="s">
        <v>894</v>
      </c>
      <c r="Y13" s="14" t="s">
        <v>894</v>
      </c>
      <c r="Z13" s="22" t="s">
        <v>893</v>
      </c>
      <c r="AA13" s="22" t="s">
        <v>893</v>
      </c>
      <c r="AB13" s="14" t="s">
        <v>891</v>
      </c>
      <c r="AC13" s="14" t="s">
        <v>891</v>
      </c>
      <c r="AD13" s="14" t="s">
        <v>893</v>
      </c>
      <c r="AE13" s="14" t="s">
        <v>891</v>
      </c>
      <c r="AF13" s="14" t="s">
        <v>891</v>
      </c>
      <c r="AG13" s="14" t="s">
        <v>891</v>
      </c>
      <c r="AH13" s="14" t="s">
        <v>891</v>
      </c>
      <c r="AI13" s="22" t="s">
        <v>894</v>
      </c>
      <c r="AJ13" s="14" t="s">
        <v>249</v>
      </c>
      <c r="AK13" s="14" t="s">
        <v>250</v>
      </c>
      <c r="AL13" s="14" t="s">
        <v>259</v>
      </c>
      <c r="AM13" s="14" t="s">
        <v>891</v>
      </c>
      <c r="AN13" s="14" t="s">
        <v>891</v>
      </c>
      <c r="AO13" s="14" t="s">
        <v>891</v>
      </c>
      <c r="AP13" s="22" t="s">
        <v>894</v>
      </c>
      <c r="AQ13" s="14" t="s">
        <v>891</v>
      </c>
      <c r="AR13" s="14" t="s">
        <v>891</v>
      </c>
      <c r="AS13" s="14" t="s">
        <v>894</v>
      </c>
    </row>
    <row r="14" spans="1:45">
      <c r="A14" s="8" t="s">
        <v>9</v>
      </c>
      <c r="B14" s="11" t="s">
        <v>892</v>
      </c>
      <c r="C14" s="11" t="s">
        <v>406</v>
      </c>
      <c r="D14" s="11" t="s">
        <v>892</v>
      </c>
      <c r="E14" s="11" t="s">
        <v>406</v>
      </c>
      <c r="F14" s="11" t="s">
        <v>892</v>
      </c>
      <c r="G14" s="11" t="s">
        <v>892</v>
      </c>
      <c r="H14" s="11" t="s">
        <v>892</v>
      </c>
      <c r="I14" s="11" t="s">
        <v>892</v>
      </c>
      <c r="J14" s="11" t="s">
        <v>406</v>
      </c>
      <c r="K14" s="11" t="s">
        <v>406</v>
      </c>
      <c r="L14" s="11" t="s">
        <v>406</v>
      </c>
      <c r="M14" s="11" t="s">
        <v>406</v>
      </c>
      <c r="N14" s="11" t="s">
        <v>892</v>
      </c>
      <c r="O14" s="11" t="s">
        <v>892</v>
      </c>
      <c r="P14" s="11" t="s">
        <v>406</v>
      </c>
      <c r="Q14" s="11" t="s">
        <v>892</v>
      </c>
      <c r="R14" s="11" t="s">
        <v>892</v>
      </c>
      <c r="S14" s="11" t="s">
        <v>892</v>
      </c>
      <c r="T14" s="11" t="s">
        <v>406</v>
      </c>
      <c r="U14" s="11" t="s">
        <v>406</v>
      </c>
      <c r="V14" s="11" t="s">
        <v>892</v>
      </c>
      <c r="W14" s="11" t="s">
        <v>892</v>
      </c>
      <c r="X14" s="11" t="s">
        <v>406</v>
      </c>
      <c r="Y14" s="11" t="s">
        <v>406</v>
      </c>
      <c r="Z14" s="11" t="s">
        <v>406</v>
      </c>
      <c r="AA14" s="11" t="s">
        <v>406</v>
      </c>
      <c r="AB14" s="11" t="s">
        <v>406</v>
      </c>
      <c r="AC14" s="11" t="s">
        <v>406</v>
      </c>
      <c r="AD14" s="11" t="s">
        <v>406</v>
      </c>
      <c r="AE14" s="11" t="s">
        <v>892</v>
      </c>
      <c r="AF14" s="11" t="s">
        <v>406</v>
      </c>
      <c r="AG14" s="11" t="s">
        <v>892</v>
      </c>
      <c r="AH14" s="11" t="s">
        <v>406</v>
      </c>
      <c r="AI14" s="11" t="s">
        <v>406</v>
      </c>
      <c r="AJ14" s="11" t="s">
        <v>892</v>
      </c>
      <c r="AK14" s="11" t="s">
        <v>892</v>
      </c>
      <c r="AL14" s="11" t="s">
        <v>892</v>
      </c>
      <c r="AM14" s="11" t="s">
        <v>406</v>
      </c>
      <c r="AN14" s="11" t="s">
        <v>892</v>
      </c>
      <c r="AO14" s="11" t="s">
        <v>892</v>
      </c>
      <c r="AP14" s="11" t="s">
        <v>406</v>
      </c>
      <c r="AQ14" s="11" t="s">
        <v>892</v>
      </c>
      <c r="AR14" s="11" t="s">
        <v>892</v>
      </c>
      <c r="AS14" s="11" t="s">
        <v>406</v>
      </c>
    </row>
    <row r="15" spans="1:45">
      <c r="A15" s="17" t="s">
        <v>28</v>
      </c>
      <c r="B15" s="40" t="s">
        <v>295</v>
      </c>
      <c r="C15" s="15" t="s">
        <v>296</v>
      </c>
      <c r="D15" s="15" t="s">
        <v>297</v>
      </c>
      <c r="E15" s="15" t="s">
        <v>298</v>
      </c>
      <c r="F15" s="15" t="s">
        <v>304</v>
      </c>
      <c r="G15" s="15" t="s">
        <v>305</v>
      </c>
      <c r="H15" s="15" t="s">
        <v>307</v>
      </c>
      <c r="I15" s="15" t="s">
        <v>309</v>
      </c>
      <c r="J15" s="15" t="s">
        <v>311</v>
      </c>
      <c r="K15" s="15" t="s">
        <v>313</v>
      </c>
      <c r="L15" s="15" t="s">
        <v>315</v>
      </c>
      <c r="M15" s="15" t="s">
        <v>317</v>
      </c>
      <c r="N15" s="15" t="s">
        <v>319</v>
      </c>
      <c r="O15" s="15" t="s">
        <v>321</v>
      </c>
      <c r="P15" s="15" t="s">
        <v>323</v>
      </c>
      <c r="Q15" s="15" t="s">
        <v>325</v>
      </c>
      <c r="R15" s="15" t="s">
        <v>327</v>
      </c>
      <c r="S15" s="15" t="s">
        <v>329</v>
      </c>
      <c r="T15" s="15" t="s">
        <v>331</v>
      </c>
      <c r="U15" s="15" t="s">
        <v>333</v>
      </c>
      <c r="V15" s="15" t="s">
        <v>825</v>
      </c>
      <c r="W15" s="15" t="s">
        <v>336</v>
      </c>
      <c r="X15" s="15" t="s">
        <v>338</v>
      </c>
      <c r="Y15" s="15" t="s">
        <v>341</v>
      </c>
      <c r="Z15" s="15" t="s">
        <v>340</v>
      </c>
      <c r="AA15" s="15" t="s">
        <v>345</v>
      </c>
      <c r="AB15" s="15" t="s">
        <v>346</v>
      </c>
      <c r="AC15" s="15" t="s">
        <v>348</v>
      </c>
      <c r="AD15" s="15" t="s">
        <v>350</v>
      </c>
      <c r="AE15" s="15" t="s">
        <v>352</v>
      </c>
      <c r="AF15" s="15" t="s">
        <v>354</v>
      </c>
      <c r="AG15" s="15" t="s">
        <v>357</v>
      </c>
      <c r="AH15" s="15" t="s">
        <v>358</v>
      </c>
      <c r="AI15" s="15" t="s">
        <v>360</v>
      </c>
      <c r="AJ15" s="15" t="s">
        <v>825</v>
      </c>
      <c r="AK15" s="15" t="s">
        <v>363</v>
      </c>
      <c r="AL15" s="15" t="s">
        <v>365</v>
      </c>
      <c r="AM15" s="15" t="s">
        <v>367</v>
      </c>
      <c r="AN15" s="15" t="s">
        <v>369</v>
      </c>
      <c r="AO15" s="15" t="s">
        <v>372</v>
      </c>
      <c r="AP15" s="15" t="s">
        <v>373</v>
      </c>
      <c r="AQ15" s="15" t="s">
        <v>375</v>
      </c>
      <c r="AR15" s="15" t="s">
        <v>377</v>
      </c>
      <c r="AS15" s="15" t="s">
        <v>379</v>
      </c>
    </row>
    <row r="16" spans="1:45" ht="54" customHeight="1">
      <c r="A16" s="8" t="s">
        <v>10</v>
      </c>
      <c r="B16" s="12" t="s">
        <v>108</v>
      </c>
      <c r="C16" s="12" t="s">
        <v>894</v>
      </c>
      <c r="D16" s="12" t="s">
        <v>47</v>
      </c>
      <c r="E16" s="12" t="s">
        <v>108</v>
      </c>
      <c r="F16" s="74" t="s">
        <v>684</v>
      </c>
      <c r="G16" s="74" t="s">
        <v>268</v>
      </c>
      <c r="H16" s="9" t="s">
        <v>108</v>
      </c>
      <c r="I16" s="9" t="s">
        <v>108</v>
      </c>
      <c r="J16" s="9" t="s">
        <v>893</v>
      </c>
      <c r="K16" s="9" t="s">
        <v>893</v>
      </c>
      <c r="L16" s="9" t="s">
        <v>893</v>
      </c>
      <c r="M16" s="9" t="s">
        <v>893</v>
      </c>
      <c r="N16" s="9" t="s">
        <v>136</v>
      </c>
      <c r="O16" s="9" t="s">
        <v>141</v>
      </c>
      <c r="P16" s="9" t="s">
        <v>893</v>
      </c>
      <c r="Q16" s="9" t="s">
        <v>108</v>
      </c>
      <c r="R16" s="74" t="s">
        <v>157</v>
      </c>
      <c r="S16" s="74" t="s">
        <v>205</v>
      </c>
      <c r="T16" s="9" t="s">
        <v>893</v>
      </c>
      <c r="U16" s="9" t="s">
        <v>893</v>
      </c>
      <c r="V16" s="78" t="s">
        <v>826</v>
      </c>
      <c r="W16" s="9" t="s">
        <v>177</v>
      </c>
      <c r="X16" s="9" t="s">
        <v>893</v>
      </c>
      <c r="Y16" s="9" t="s">
        <v>894</v>
      </c>
      <c r="Z16" s="9" t="s">
        <v>893</v>
      </c>
      <c r="AA16" s="9" t="s">
        <v>893</v>
      </c>
      <c r="AB16" s="9" t="s">
        <v>197</v>
      </c>
      <c r="AC16" s="9" t="s">
        <v>136</v>
      </c>
      <c r="AD16" s="9" t="s">
        <v>893</v>
      </c>
      <c r="AE16" s="74" t="s">
        <v>269</v>
      </c>
      <c r="AF16" s="74" t="s">
        <v>219</v>
      </c>
      <c r="AG16" s="9" t="s">
        <v>226</v>
      </c>
      <c r="AH16" s="9" t="s">
        <v>108</v>
      </c>
      <c r="AI16" s="9"/>
      <c r="AJ16" s="80" t="s">
        <v>244</v>
      </c>
      <c r="AK16" s="74" t="s">
        <v>248</v>
      </c>
      <c r="AL16" s="9" t="s">
        <v>108</v>
      </c>
      <c r="AM16" s="9" t="s">
        <v>256</v>
      </c>
      <c r="AN16" s="74" t="s">
        <v>270</v>
      </c>
      <c r="AO16" s="74" t="s">
        <v>276</v>
      </c>
      <c r="AP16" s="9" t="s">
        <v>894</v>
      </c>
      <c r="AQ16" s="74" t="s">
        <v>292</v>
      </c>
      <c r="AR16" s="9" t="s">
        <v>294</v>
      </c>
      <c r="AS16" s="9" t="s">
        <v>894</v>
      </c>
    </row>
    <row r="17" spans="1:45" ht="191" customHeight="1">
      <c r="A17" s="18" t="s">
        <v>13</v>
      </c>
      <c r="B17" s="87" t="s">
        <v>24</v>
      </c>
      <c r="C17" s="61" t="s">
        <v>403</v>
      </c>
      <c r="D17" s="61" t="s">
        <v>46</v>
      </c>
      <c r="E17" s="84" t="s">
        <v>398</v>
      </c>
      <c r="F17" s="84" t="s">
        <v>408</v>
      </c>
      <c r="G17" s="61" t="s">
        <v>109</v>
      </c>
      <c r="H17" s="61" t="s">
        <v>113</v>
      </c>
      <c r="I17" s="61" t="s">
        <v>403</v>
      </c>
      <c r="J17" s="61" t="s">
        <v>403</v>
      </c>
      <c r="K17" s="61" t="s">
        <v>403</v>
      </c>
      <c r="L17" s="61" t="s">
        <v>403</v>
      </c>
      <c r="M17" s="61" t="s">
        <v>403</v>
      </c>
      <c r="N17" s="179" t="s">
        <v>137</v>
      </c>
      <c r="O17" s="61" t="s">
        <v>142</v>
      </c>
      <c r="P17" s="61" t="s">
        <v>403</v>
      </c>
      <c r="Q17" s="62" t="s">
        <v>446</v>
      </c>
      <c r="R17" s="61" t="s">
        <v>158</v>
      </c>
      <c r="S17" s="61" t="s">
        <v>440</v>
      </c>
      <c r="T17" s="61" t="s">
        <v>403</v>
      </c>
      <c r="U17" s="61" t="s">
        <v>403</v>
      </c>
      <c r="V17" s="61" t="s">
        <v>913</v>
      </c>
      <c r="W17" s="61" t="s">
        <v>179</v>
      </c>
      <c r="X17" s="61" t="s">
        <v>403</v>
      </c>
      <c r="Y17" s="61" t="s">
        <v>403</v>
      </c>
      <c r="Z17" s="61" t="s">
        <v>403</v>
      </c>
      <c r="AA17" s="61" t="s">
        <v>403</v>
      </c>
      <c r="AB17" s="61" t="s">
        <v>403</v>
      </c>
      <c r="AC17" s="61" t="s">
        <v>202</v>
      </c>
      <c r="AD17" s="61" t="s">
        <v>403</v>
      </c>
      <c r="AE17" s="85" t="s">
        <v>405</v>
      </c>
      <c r="AF17" s="61" t="s">
        <v>218</v>
      </c>
      <c r="AG17" s="61" t="s">
        <v>227</v>
      </c>
      <c r="AH17" s="61" t="s">
        <v>234</v>
      </c>
      <c r="AI17" s="61" t="s">
        <v>403</v>
      </c>
      <c r="AJ17" s="79" t="s">
        <v>912</v>
      </c>
      <c r="AK17" s="79" t="s">
        <v>914</v>
      </c>
      <c r="AL17" s="84" t="s">
        <v>441</v>
      </c>
      <c r="AM17" s="62" t="s">
        <v>255</v>
      </c>
      <c r="AN17" s="86" t="s">
        <v>915</v>
      </c>
      <c r="AO17" s="61" t="s">
        <v>277</v>
      </c>
      <c r="AP17" s="61" t="s">
        <v>403</v>
      </c>
      <c r="AQ17" s="61" t="s">
        <v>293</v>
      </c>
      <c r="AR17" s="61" t="s">
        <v>385</v>
      </c>
      <c r="AS17" s="61" t="s">
        <v>403</v>
      </c>
    </row>
    <row r="18" spans="1:45">
      <c r="A18" s="12" t="s">
        <v>36</v>
      </c>
      <c r="B18" s="41" t="s">
        <v>299</v>
      </c>
      <c r="C18" s="41" t="s">
        <v>300</v>
      </c>
      <c r="D18" s="41" t="s">
        <v>301</v>
      </c>
      <c r="E18" s="41" t="s">
        <v>302</v>
      </c>
      <c r="F18" s="41" t="s">
        <v>303</v>
      </c>
      <c r="G18" s="41" t="s">
        <v>306</v>
      </c>
      <c r="H18" s="41" t="s">
        <v>308</v>
      </c>
      <c r="I18" s="41" t="s">
        <v>310</v>
      </c>
      <c r="J18" s="41" t="s">
        <v>312</v>
      </c>
      <c r="K18" s="41" t="s">
        <v>314</v>
      </c>
      <c r="L18" s="41" t="s">
        <v>316</v>
      </c>
      <c r="M18" s="41" t="s">
        <v>318</v>
      </c>
      <c r="N18" s="41" t="s">
        <v>320</v>
      </c>
      <c r="O18" s="41" t="s">
        <v>322</v>
      </c>
      <c r="P18" s="41" t="s">
        <v>324</v>
      </c>
      <c r="Q18" s="41" t="s">
        <v>326</v>
      </c>
      <c r="R18" s="41" t="s">
        <v>328</v>
      </c>
      <c r="S18" s="41" t="s">
        <v>330</v>
      </c>
      <c r="T18" s="41" t="s">
        <v>332</v>
      </c>
      <c r="U18" s="41" t="s">
        <v>334</v>
      </c>
      <c r="V18" s="41" t="s">
        <v>335</v>
      </c>
      <c r="W18" s="41" t="s">
        <v>337</v>
      </c>
      <c r="X18" s="41" t="s">
        <v>339</v>
      </c>
      <c r="Y18" s="41" t="s">
        <v>342</v>
      </c>
      <c r="Z18" s="41" t="s">
        <v>343</v>
      </c>
      <c r="AA18" s="41" t="s">
        <v>344</v>
      </c>
      <c r="AB18" s="41" t="s">
        <v>347</v>
      </c>
      <c r="AC18" s="41" t="s">
        <v>349</v>
      </c>
      <c r="AD18" s="41" t="s">
        <v>351</v>
      </c>
      <c r="AE18" s="41" t="s">
        <v>353</v>
      </c>
      <c r="AF18" s="41" t="s">
        <v>355</v>
      </c>
      <c r="AG18" s="41" t="s">
        <v>356</v>
      </c>
      <c r="AH18" s="41" t="s">
        <v>359</v>
      </c>
      <c r="AI18" s="41" t="s">
        <v>361</v>
      </c>
      <c r="AJ18" s="41" t="s">
        <v>362</v>
      </c>
      <c r="AK18" s="41" t="s">
        <v>364</v>
      </c>
      <c r="AL18" s="41" t="s">
        <v>366</v>
      </c>
      <c r="AM18" s="41" t="s">
        <v>368</v>
      </c>
      <c r="AN18" s="41" t="s">
        <v>370</v>
      </c>
      <c r="AO18" s="41" t="s">
        <v>371</v>
      </c>
      <c r="AP18" s="41" t="s">
        <v>374</v>
      </c>
      <c r="AQ18" s="41" t="s">
        <v>376</v>
      </c>
      <c r="AR18" s="41" t="s">
        <v>378</v>
      </c>
      <c r="AS18" s="41" t="s">
        <v>380</v>
      </c>
    </row>
    <row r="19" spans="1:45">
      <c r="A19" s="16" t="s">
        <v>827</v>
      </c>
      <c r="B19" s="42">
        <v>350</v>
      </c>
      <c r="C19" s="42" t="s">
        <v>8</v>
      </c>
      <c r="D19" s="42">
        <v>1600</v>
      </c>
      <c r="E19" s="42">
        <v>1625</v>
      </c>
      <c r="F19" s="42">
        <v>470</v>
      </c>
      <c r="G19" s="42">
        <v>560</v>
      </c>
      <c r="H19" s="42">
        <v>750</v>
      </c>
      <c r="I19" s="42" t="s">
        <v>8</v>
      </c>
      <c r="J19" s="42" t="s">
        <v>8</v>
      </c>
      <c r="K19" s="42" t="s">
        <v>8</v>
      </c>
      <c r="L19" s="42" t="s">
        <v>8</v>
      </c>
      <c r="M19" s="42" t="s">
        <v>8</v>
      </c>
      <c r="N19" s="42">
        <v>1700</v>
      </c>
      <c r="O19" s="42">
        <v>1900</v>
      </c>
      <c r="P19" s="42" t="s">
        <v>8</v>
      </c>
      <c r="Q19" s="42">
        <v>850</v>
      </c>
      <c r="R19" s="42">
        <v>1000</v>
      </c>
      <c r="S19" s="42">
        <v>1850</v>
      </c>
      <c r="T19" s="42" t="s">
        <v>8</v>
      </c>
      <c r="U19" s="42" t="s">
        <v>8</v>
      </c>
      <c r="V19" s="42">
        <v>1300</v>
      </c>
      <c r="W19" s="42">
        <v>325</v>
      </c>
      <c r="X19" s="42" t="s">
        <v>8</v>
      </c>
      <c r="Y19" s="42" t="s">
        <v>8</v>
      </c>
      <c r="Z19" s="42" t="s">
        <v>8</v>
      </c>
      <c r="AA19" s="42" t="s">
        <v>8</v>
      </c>
      <c r="AB19" s="42" t="s">
        <v>8</v>
      </c>
      <c r="AC19" s="42">
        <v>520</v>
      </c>
      <c r="AD19" s="42" t="s">
        <v>8</v>
      </c>
      <c r="AE19" s="42">
        <v>520</v>
      </c>
      <c r="AF19" s="42">
        <v>1625</v>
      </c>
      <c r="AG19" s="42">
        <v>520</v>
      </c>
      <c r="AH19" s="42">
        <v>2170</v>
      </c>
      <c r="AI19" s="42" t="s">
        <v>8</v>
      </c>
      <c r="AJ19" s="57">
        <v>1000</v>
      </c>
      <c r="AK19" s="42">
        <v>480</v>
      </c>
      <c r="AL19" s="42">
        <v>600</v>
      </c>
      <c r="AM19" s="42">
        <v>1100</v>
      </c>
      <c r="AN19" s="42">
        <v>830</v>
      </c>
      <c r="AO19" s="42">
        <v>1300</v>
      </c>
      <c r="AP19" s="42" t="s">
        <v>8</v>
      </c>
      <c r="AQ19" s="42">
        <v>2500</v>
      </c>
      <c r="AR19" s="42">
        <v>440</v>
      </c>
      <c r="AS19" s="42" t="s">
        <v>8</v>
      </c>
    </row>
    <row r="20" spans="1:45">
      <c r="A20" s="17" t="s">
        <v>828</v>
      </c>
      <c r="B20" s="43">
        <v>300</v>
      </c>
      <c r="C20" s="43">
        <v>1000</v>
      </c>
      <c r="D20" s="43" t="s">
        <v>8</v>
      </c>
      <c r="E20" s="43">
        <v>1250</v>
      </c>
      <c r="F20" s="43">
        <v>360</v>
      </c>
      <c r="G20" s="43">
        <v>430</v>
      </c>
      <c r="H20" s="43">
        <v>570</v>
      </c>
      <c r="I20" s="43" t="s">
        <v>811</v>
      </c>
      <c r="J20" s="43">
        <v>750</v>
      </c>
      <c r="K20" s="43">
        <v>1500</v>
      </c>
      <c r="L20" s="43">
        <v>750</v>
      </c>
      <c r="M20" s="43">
        <v>1600</v>
      </c>
      <c r="N20" s="43">
        <v>1300</v>
      </c>
      <c r="O20" s="43">
        <v>1700</v>
      </c>
      <c r="P20" s="43">
        <v>1300</v>
      </c>
      <c r="Q20" s="43">
        <v>750</v>
      </c>
      <c r="R20" s="43">
        <v>740</v>
      </c>
      <c r="S20" s="43">
        <v>1420</v>
      </c>
      <c r="T20" s="43">
        <v>1400</v>
      </c>
      <c r="U20" s="43">
        <v>1200</v>
      </c>
      <c r="V20" s="43">
        <v>1000</v>
      </c>
      <c r="W20" s="43">
        <v>300</v>
      </c>
      <c r="X20" s="43">
        <v>750</v>
      </c>
      <c r="Y20" s="43">
        <v>1620</v>
      </c>
      <c r="Z20" s="43">
        <v>750</v>
      </c>
      <c r="AA20" s="43">
        <v>1400</v>
      </c>
      <c r="AB20" s="43" t="s">
        <v>8</v>
      </c>
      <c r="AC20" s="43">
        <v>400</v>
      </c>
      <c r="AD20" s="43">
        <v>1550</v>
      </c>
      <c r="AE20" s="43">
        <v>400</v>
      </c>
      <c r="AF20" s="43">
        <v>1250</v>
      </c>
      <c r="AG20" s="43">
        <v>400</v>
      </c>
      <c r="AH20" s="43">
        <v>1550</v>
      </c>
      <c r="AI20" s="43">
        <v>700</v>
      </c>
      <c r="AJ20" s="182">
        <v>800</v>
      </c>
      <c r="AK20" s="43">
        <v>340</v>
      </c>
      <c r="AL20" s="43">
        <v>500</v>
      </c>
      <c r="AM20" s="43">
        <v>750</v>
      </c>
      <c r="AN20" s="43">
        <v>640</v>
      </c>
      <c r="AO20" s="43">
        <v>1000</v>
      </c>
      <c r="AP20" s="168">
        <v>1550</v>
      </c>
      <c r="AQ20" s="43">
        <v>2200</v>
      </c>
      <c r="AR20" s="43">
        <v>320</v>
      </c>
      <c r="AS20" s="43">
        <v>1500</v>
      </c>
    </row>
    <row r="21" spans="1:45">
      <c r="A21" s="18" t="s">
        <v>829</v>
      </c>
      <c r="B21" s="44">
        <v>300</v>
      </c>
      <c r="C21" s="44">
        <v>900</v>
      </c>
      <c r="D21" s="44">
        <v>1200</v>
      </c>
      <c r="E21" s="44">
        <v>1060</v>
      </c>
      <c r="F21" s="44">
        <v>280</v>
      </c>
      <c r="G21" s="44">
        <v>330</v>
      </c>
      <c r="H21" s="44">
        <v>440</v>
      </c>
      <c r="I21" s="44" t="s">
        <v>811</v>
      </c>
      <c r="J21" s="44">
        <v>640</v>
      </c>
      <c r="K21" s="44">
        <v>1300</v>
      </c>
      <c r="L21" s="44">
        <v>640</v>
      </c>
      <c r="M21" s="44">
        <v>1400</v>
      </c>
      <c r="N21" s="44">
        <v>1100</v>
      </c>
      <c r="O21" s="44">
        <v>1300</v>
      </c>
      <c r="P21" s="44">
        <v>1000</v>
      </c>
      <c r="Q21" s="44">
        <v>550</v>
      </c>
      <c r="R21" s="44">
        <v>590</v>
      </c>
      <c r="S21" s="44">
        <v>1000</v>
      </c>
      <c r="T21" s="44">
        <v>1190</v>
      </c>
      <c r="U21" s="44">
        <v>1000</v>
      </c>
      <c r="V21" s="44">
        <v>900</v>
      </c>
      <c r="W21" s="44">
        <v>300</v>
      </c>
      <c r="X21" s="44">
        <v>640</v>
      </c>
      <c r="Y21" s="44">
        <v>1350</v>
      </c>
      <c r="Z21" s="44">
        <v>640</v>
      </c>
      <c r="AA21" s="44">
        <v>1260</v>
      </c>
      <c r="AB21" s="44">
        <v>600</v>
      </c>
      <c r="AC21" s="44">
        <v>250</v>
      </c>
      <c r="AD21" s="44">
        <v>1550</v>
      </c>
      <c r="AE21" s="44">
        <v>250</v>
      </c>
      <c r="AF21" s="44">
        <v>1060</v>
      </c>
      <c r="AG21" s="44">
        <v>250</v>
      </c>
      <c r="AH21" s="44">
        <v>1190</v>
      </c>
      <c r="AI21" s="44">
        <v>600</v>
      </c>
      <c r="AJ21" s="101">
        <v>800</v>
      </c>
      <c r="AK21" s="44">
        <v>260</v>
      </c>
      <c r="AL21" s="44">
        <v>400</v>
      </c>
      <c r="AM21" s="44">
        <v>640</v>
      </c>
      <c r="AN21" s="44">
        <v>500</v>
      </c>
      <c r="AO21" s="44">
        <v>900</v>
      </c>
      <c r="AP21" s="173">
        <v>1350</v>
      </c>
      <c r="AQ21" s="44">
        <v>2000</v>
      </c>
      <c r="AR21" s="44">
        <v>250</v>
      </c>
      <c r="AS21" s="44">
        <v>1250</v>
      </c>
    </row>
    <row r="22" spans="1:45">
      <c r="A22" s="29" t="s">
        <v>212</v>
      </c>
    </row>
    <row r="23" spans="1:45">
      <c r="A23" s="26" t="s">
        <v>11</v>
      </c>
      <c r="B23" s="45">
        <v>60000000</v>
      </c>
      <c r="C23" s="46" t="s">
        <v>8</v>
      </c>
      <c r="D23" s="45">
        <v>441920096</v>
      </c>
      <c r="E23" s="45">
        <v>416980000</v>
      </c>
      <c r="F23" s="45">
        <v>119522072</v>
      </c>
      <c r="G23" s="45">
        <v>283710000</v>
      </c>
      <c r="H23" s="45">
        <v>164257178</v>
      </c>
      <c r="I23" s="45">
        <v>62170000</v>
      </c>
      <c r="J23" s="46" t="s">
        <v>8</v>
      </c>
      <c r="K23" s="46" t="s">
        <v>8</v>
      </c>
      <c r="L23" s="46" t="s">
        <v>8</v>
      </c>
      <c r="M23" s="46" t="s">
        <v>8</v>
      </c>
      <c r="N23" s="45">
        <v>3115250000</v>
      </c>
      <c r="O23" s="45">
        <v>3576539000</v>
      </c>
      <c r="P23" s="46" t="s">
        <v>8</v>
      </c>
      <c r="Q23" s="45">
        <v>489185075.57999992</v>
      </c>
      <c r="R23" s="45">
        <v>301256932.90000063</v>
      </c>
      <c r="S23" s="45">
        <v>14706408.89999998</v>
      </c>
      <c r="T23" s="46" t="s">
        <v>8</v>
      </c>
      <c r="U23" s="46" t="s">
        <v>8</v>
      </c>
      <c r="V23" s="45">
        <v>2396691555</v>
      </c>
      <c r="W23" s="45">
        <v>32411394</v>
      </c>
      <c r="X23" s="46" t="s">
        <v>8</v>
      </c>
      <c r="Y23" s="46" t="s">
        <v>8</v>
      </c>
      <c r="Z23" s="46" t="s">
        <v>8</v>
      </c>
      <c r="AA23" s="46" t="s">
        <v>8</v>
      </c>
      <c r="AB23" s="45">
        <v>14808539.200000001</v>
      </c>
      <c r="AC23" s="45">
        <v>81046500</v>
      </c>
      <c r="AD23" s="46" t="s">
        <v>8</v>
      </c>
      <c r="AE23" s="45">
        <v>17673241</v>
      </c>
      <c r="AF23" s="45">
        <v>1009115058.1999999</v>
      </c>
      <c r="AG23" s="45">
        <v>49671709</v>
      </c>
      <c r="AH23" s="45">
        <v>322444359</v>
      </c>
      <c r="AI23" s="46" t="s">
        <v>8</v>
      </c>
      <c r="AJ23" s="46" t="s">
        <v>8</v>
      </c>
      <c r="AK23" s="46" t="s">
        <v>8</v>
      </c>
      <c r="AL23" s="45">
        <v>230172636</v>
      </c>
      <c r="AM23" s="45">
        <v>139691049</v>
      </c>
      <c r="AN23" s="45">
        <v>58031187</v>
      </c>
      <c r="AO23" s="45">
        <v>2361070000</v>
      </c>
      <c r="AP23" s="46" t="s">
        <v>8</v>
      </c>
      <c r="AQ23" s="45">
        <v>818056531.70000005</v>
      </c>
      <c r="AR23" s="45">
        <v>1192264869</v>
      </c>
      <c r="AS23" s="46" t="s">
        <v>8</v>
      </c>
    </row>
    <row r="24" spans="1:45" ht="153">
      <c r="A24" s="25" t="s">
        <v>12</v>
      </c>
      <c r="B24" s="63" t="s">
        <v>103</v>
      </c>
      <c r="C24" s="64" t="s">
        <v>8</v>
      </c>
      <c r="D24" s="64" t="s">
        <v>8</v>
      </c>
      <c r="E24" s="65" t="s">
        <v>101</v>
      </c>
      <c r="F24" s="65" t="s">
        <v>105</v>
      </c>
      <c r="G24" s="65" t="s">
        <v>101</v>
      </c>
      <c r="H24" s="65" t="s">
        <v>115</v>
      </c>
      <c r="I24" s="65" t="s">
        <v>101</v>
      </c>
      <c r="J24" s="64" t="s">
        <v>8</v>
      </c>
      <c r="K24" s="64" t="s">
        <v>8</v>
      </c>
      <c r="L24" s="64" t="s">
        <v>8</v>
      </c>
      <c r="M24" s="64" t="s">
        <v>8</v>
      </c>
      <c r="N24" s="65" t="s">
        <v>101</v>
      </c>
      <c r="O24" s="65" t="s">
        <v>143</v>
      </c>
      <c r="P24" s="64" t="s">
        <v>8</v>
      </c>
      <c r="Q24" s="65" t="s">
        <v>101</v>
      </c>
      <c r="R24" s="75" t="s">
        <v>159</v>
      </c>
      <c r="S24" s="65" t="s">
        <v>165</v>
      </c>
      <c r="T24" s="64" t="s">
        <v>8</v>
      </c>
      <c r="U24" s="64" t="s">
        <v>8</v>
      </c>
      <c r="V24" s="75" t="s">
        <v>103</v>
      </c>
      <c r="W24" s="75" t="s">
        <v>178</v>
      </c>
      <c r="X24" s="64" t="s">
        <v>8</v>
      </c>
      <c r="Y24" s="64" t="s">
        <v>8</v>
      </c>
      <c r="Z24" s="64" t="s">
        <v>8</v>
      </c>
      <c r="AA24" s="64" t="s">
        <v>8</v>
      </c>
      <c r="AB24" s="65" t="s">
        <v>101</v>
      </c>
      <c r="AC24" s="75" t="s">
        <v>103</v>
      </c>
      <c r="AD24" s="64" t="s">
        <v>8</v>
      </c>
      <c r="AE24" s="65" t="s">
        <v>211</v>
      </c>
      <c r="AF24" s="65" t="s">
        <v>220</v>
      </c>
      <c r="AG24" s="65" t="s">
        <v>228</v>
      </c>
      <c r="AH24" s="65" t="s">
        <v>235</v>
      </c>
      <c r="AI24" s="64" t="s">
        <v>8</v>
      </c>
      <c r="AJ24" s="64" t="s">
        <v>8</v>
      </c>
      <c r="AK24" s="64" t="s">
        <v>8</v>
      </c>
      <c r="AL24" s="75" t="s">
        <v>178</v>
      </c>
      <c r="AM24" s="75" t="s">
        <v>262</v>
      </c>
      <c r="AN24" s="65" t="s">
        <v>271</v>
      </c>
      <c r="AO24" s="65" t="s">
        <v>101</v>
      </c>
      <c r="AP24" s="64" t="s">
        <v>8</v>
      </c>
      <c r="AQ24" s="65" t="s">
        <v>383</v>
      </c>
      <c r="AR24" s="65" t="s">
        <v>384</v>
      </c>
      <c r="AS24" s="64" t="s">
        <v>8</v>
      </c>
    </row>
    <row r="25" spans="1:45" ht="34">
      <c r="A25" s="27" t="s">
        <v>2</v>
      </c>
      <c r="B25" s="48" t="s">
        <v>683</v>
      </c>
      <c r="C25" s="47" t="s">
        <v>8</v>
      </c>
      <c r="D25" s="32" t="s">
        <v>685</v>
      </c>
      <c r="E25" s="32" t="s">
        <v>102</v>
      </c>
      <c r="F25" s="77" t="s">
        <v>104</v>
      </c>
      <c r="G25" s="32" t="s">
        <v>102</v>
      </c>
      <c r="H25" s="32" t="s">
        <v>116</v>
      </c>
      <c r="I25" s="32" t="s">
        <v>102</v>
      </c>
      <c r="J25" s="47" t="s">
        <v>8</v>
      </c>
      <c r="K25" s="37" t="s">
        <v>8</v>
      </c>
      <c r="L25" s="116" t="s">
        <v>8</v>
      </c>
      <c r="M25" s="47" t="s">
        <v>8</v>
      </c>
      <c r="N25" s="32" t="s">
        <v>102</v>
      </c>
      <c r="O25" s="32" t="s">
        <v>31</v>
      </c>
      <c r="P25" s="47" t="s">
        <v>8</v>
      </c>
      <c r="Q25" s="32" t="s">
        <v>102</v>
      </c>
      <c r="R25" s="114" t="s">
        <v>685</v>
      </c>
      <c r="S25" s="32" t="s">
        <v>164</v>
      </c>
      <c r="T25" s="47" t="s">
        <v>8</v>
      </c>
      <c r="U25" s="47" t="s">
        <v>8</v>
      </c>
      <c r="V25" s="77" t="s">
        <v>31</v>
      </c>
      <c r="W25" s="114" t="s">
        <v>685</v>
      </c>
      <c r="X25" s="47" t="s">
        <v>8</v>
      </c>
      <c r="Y25" s="47" t="s">
        <v>8</v>
      </c>
      <c r="Z25" s="47" t="s">
        <v>8</v>
      </c>
      <c r="AA25" s="47" t="s">
        <v>8</v>
      </c>
      <c r="AB25" s="32" t="s">
        <v>102</v>
      </c>
      <c r="AC25" s="32" t="s">
        <v>201</v>
      </c>
      <c r="AD25" s="47" t="s">
        <v>8</v>
      </c>
      <c r="AE25" s="32" t="s">
        <v>31</v>
      </c>
      <c r="AF25" s="32" t="s">
        <v>216</v>
      </c>
      <c r="AG25" s="32" t="s">
        <v>224</v>
      </c>
      <c r="AH25" s="115" t="s">
        <v>686</v>
      </c>
      <c r="AI25" s="47" t="s">
        <v>8</v>
      </c>
      <c r="AJ25" s="47" t="s">
        <v>8</v>
      </c>
      <c r="AK25" s="47" t="s">
        <v>8</v>
      </c>
      <c r="AL25" s="32" t="s">
        <v>31</v>
      </c>
      <c r="AM25" s="32" t="s">
        <v>261</v>
      </c>
      <c r="AN25" s="32" t="s">
        <v>224</v>
      </c>
      <c r="AO25" s="32" t="s">
        <v>102</v>
      </c>
      <c r="AP25" s="47" t="s">
        <v>8</v>
      </c>
      <c r="AQ25" s="32" t="s">
        <v>932</v>
      </c>
      <c r="AR25" s="32" t="s">
        <v>286</v>
      </c>
      <c r="AS25" s="47" t="s">
        <v>8</v>
      </c>
    </row>
    <row r="26" spans="1:45">
      <c r="A26" s="23" t="s">
        <v>19</v>
      </c>
      <c r="B26" s="39" t="s">
        <v>8</v>
      </c>
      <c r="C26" s="49" t="s">
        <v>8</v>
      </c>
      <c r="D26" s="49" t="s">
        <v>8</v>
      </c>
      <c r="E26" s="56">
        <v>3681826</v>
      </c>
      <c r="F26" s="56">
        <v>1078156</v>
      </c>
      <c r="G26" s="49" t="s">
        <v>8</v>
      </c>
      <c r="H26" s="49" t="s">
        <v>8</v>
      </c>
      <c r="I26" s="56">
        <v>263774</v>
      </c>
      <c r="J26" s="49" t="s">
        <v>8</v>
      </c>
      <c r="K26" s="56"/>
      <c r="L26" s="56">
        <v>215620</v>
      </c>
      <c r="M26" s="56">
        <v>1235000</v>
      </c>
      <c r="N26" s="56">
        <v>14876000</v>
      </c>
      <c r="O26" s="49" t="s">
        <v>8</v>
      </c>
      <c r="P26" s="49" t="s">
        <v>8</v>
      </c>
      <c r="Q26" s="49" t="s">
        <v>8</v>
      </c>
      <c r="R26" s="56">
        <v>2702183</v>
      </c>
      <c r="S26" s="49" t="s">
        <v>8</v>
      </c>
      <c r="T26" s="56">
        <v>1775475</v>
      </c>
      <c r="U26" s="49" t="s">
        <v>8</v>
      </c>
      <c r="V26" s="49" t="s">
        <v>8</v>
      </c>
      <c r="W26" s="49" t="s">
        <v>8</v>
      </c>
      <c r="X26" s="49" t="s">
        <v>8</v>
      </c>
      <c r="Y26" s="56">
        <v>10337</v>
      </c>
      <c r="Z26" s="49" t="s">
        <v>8</v>
      </c>
      <c r="AA26" s="56">
        <v>140172</v>
      </c>
      <c r="AB26" s="56">
        <v>94399</v>
      </c>
      <c r="AC26" s="49" t="s">
        <v>8</v>
      </c>
      <c r="AD26" s="49" t="s">
        <v>8</v>
      </c>
      <c r="AE26" s="49" t="s">
        <v>8</v>
      </c>
      <c r="AF26" s="49" t="s">
        <v>8</v>
      </c>
      <c r="AG26" s="56">
        <v>446235</v>
      </c>
      <c r="AH26" s="56">
        <v>1534929</v>
      </c>
      <c r="AI26" s="49" t="s">
        <v>8</v>
      </c>
      <c r="AJ26" s="49" t="s">
        <v>8</v>
      </c>
      <c r="AK26" s="49" t="s">
        <v>8</v>
      </c>
      <c r="AL26" s="56">
        <v>2246000</v>
      </c>
      <c r="AM26" s="56">
        <v>862274</v>
      </c>
      <c r="AN26" s="49" t="s">
        <v>8</v>
      </c>
      <c r="AO26" s="49" t="s">
        <v>8</v>
      </c>
      <c r="AP26" s="49" t="s">
        <v>8</v>
      </c>
      <c r="AQ26" s="56" t="s">
        <v>8</v>
      </c>
      <c r="AR26" s="56" t="s">
        <v>8</v>
      </c>
      <c r="AS26" s="49" t="s">
        <v>8</v>
      </c>
    </row>
    <row r="27" spans="1:45" ht="34">
      <c r="A27" s="24" t="s">
        <v>2</v>
      </c>
      <c r="B27" s="59" t="s">
        <v>8</v>
      </c>
      <c r="C27" s="59" t="s">
        <v>8</v>
      </c>
      <c r="D27" s="59" t="s">
        <v>8</v>
      </c>
      <c r="E27" s="60" t="s">
        <v>31</v>
      </c>
      <c r="F27" s="122" t="s">
        <v>104</v>
      </c>
      <c r="G27" s="59" t="s">
        <v>8</v>
      </c>
      <c r="H27" s="59" t="s">
        <v>8</v>
      </c>
      <c r="I27" s="60" t="s">
        <v>686</v>
      </c>
      <c r="J27" s="59" t="s">
        <v>8</v>
      </c>
      <c r="K27" s="60"/>
      <c r="L27" s="60" t="s">
        <v>125</v>
      </c>
      <c r="M27" s="60" t="s">
        <v>128</v>
      </c>
      <c r="N27" s="60" t="s">
        <v>686</v>
      </c>
      <c r="O27" s="59" t="s">
        <v>8</v>
      </c>
      <c r="P27" s="59" t="s">
        <v>8</v>
      </c>
      <c r="Q27" s="59" t="s">
        <v>8</v>
      </c>
      <c r="R27" s="60" t="s">
        <v>31</v>
      </c>
      <c r="S27" s="59" t="s">
        <v>8</v>
      </c>
      <c r="T27" s="60" t="s">
        <v>168</v>
      </c>
      <c r="U27" s="59" t="s">
        <v>8</v>
      </c>
      <c r="V27" s="59" t="s">
        <v>8</v>
      </c>
      <c r="W27" s="59" t="s">
        <v>8</v>
      </c>
      <c r="X27" s="59" t="s">
        <v>8</v>
      </c>
      <c r="Y27" s="117" t="s">
        <v>186</v>
      </c>
      <c r="Z27" s="59" t="s">
        <v>8</v>
      </c>
      <c r="AA27" s="117" t="s">
        <v>172</v>
      </c>
      <c r="AB27" s="101" t="s">
        <v>685</v>
      </c>
      <c r="AC27" s="59" t="s">
        <v>8</v>
      </c>
      <c r="AD27" s="59" t="s">
        <v>8</v>
      </c>
      <c r="AE27" s="59" t="s">
        <v>8</v>
      </c>
      <c r="AF27" s="59" t="s">
        <v>8</v>
      </c>
      <c r="AG27" s="101" t="s">
        <v>685</v>
      </c>
      <c r="AH27" s="60" t="s">
        <v>232</v>
      </c>
      <c r="AI27" s="59" t="s">
        <v>8</v>
      </c>
      <c r="AJ27" s="59" t="s">
        <v>8</v>
      </c>
      <c r="AK27" s="59" t="s">
        <v>8</v>
      </c>
      <c r="AL27" s="60" t="s">
        <v>686</v>
      </c>
      <c r="AM27" s="60" t="s">
        <v>172</v>
      </c>
      <c r="AN27" s="59" t="s">
        <v>8</v>
      </c>
      <c r="AO27" s="59" t="s">
        <v>8</v>
      </c>
      <c r="AP27" s="59" t="s">
        <v>8</v>
      </c>
      <c r="AQ27" s="60" t="s">
        <v>8</v>
      </c>
      <c r="AR27" s="60" t="s">
        <v>8</v>
      </c>
      <c r="AS27" s="59" t="s">
        <v>8</v>
      </c>
    </row>
    <row r="28" spans="1:45">
      <c r="A28" s="26" t="s">
        <v>20</v>
      </c>
      <c r="B28" s="20">
        <v>1012062</v>
      </c>
      <c r="C28" s="120" t="s">
        <v>8</v>
      </c>
      <c r="D28" s="20">
        <v>4441408</v>
      </c>
      <c r="E28" s="58">
        <v>5203468.5000000102</v>
      </c>
      <c r="F28" s="20">
        <v>1607998</v>
      </c>
      <c r="G28" s="20">
        <v>3887149</v>
      </c>
      <c r="H28" s="37" t="s">
        <v>8</v>
      </c>
      <c r="I28" s="37" t="s">
        <v>8</v>
      </c>
      <c r="J28" s="20">
        <v>4375122</v>
      </c>
      <c r="K28" s="147">
        <v>2873365</v>
      </c>
      <c r="L28" s="20">
        <v>649746</v>
      </c>
      <c r="M28" s="147">
        <v>2807505</v>
      </c>
      <c r="N28" s="37" t="s">
        <v>8</v>
      </c>
      <c r="O28" s="20">
        <v>40545317</v>
      </c>
      <c r="P28" s="37" t="s">
        <v>8</v>
      </c>
      <c r="Q28" s="20">
        <v>6017036.5999999996</v>
      </c>
      <c r="R28" s="147">
        <v>4390302</v>
      </c>
      <c r="S28" s="37" t="s">
        <v>8</v>
      </c>
      <c r="T28" s="147">
        <v>1994968</v>
      </c>
      <c r="U28" s="20">
        <v>35599</v>
      </c>
      <c r="V28" s="37">
        <v>31208161</v>
      </c>
      <c r="W28" s="20">
        <v>412884</v>
      </c>
      <c r="X28" s="20">
        <v>1025233</v>
      </c>
      <c r="Y28" s="20">
        <v>15474</v>
      </c>
      <c r="Z28" s="147">
        <v>1374233</v>
      </c>
      <c r="AA28" s="20">
        <v>222946</v>
      </c>
      <c r="AB28" s="20">
        <v>223850</v>
      </c>
      <c r="AC28" s="37" t="s">
        <v>8</v>
      </c>
      <c r="AD28" s="20">
        <v>19048</v>
      </c>
      <c r="AE28" s="37" t="s">
        <v>8</v>
      </c>
      <c r="AF28" s="37" t="s">
        <v>8</v>
      </c>
      <c r="AG28" s="20"/>
      <c r="AH28" s="37" t="s">
        <v>8</v>
      </c>
      <c r="AI28" s="147">
        <v>12965598</v>
      </c>
      <c r="AJ28" s="20">
        <v>5621098</v>
      </c>
      <c r="AK28" s="20">
        <v>8458756</v>
      </c>
      <c r="AL28" s="37" t="s">
        <v>8</v>
      </c>
      <c r="AM28" s="20">
        <v>194117</v>
      </c>
      <c r="AN28" s="20">
        <v>844656</v>
      </c>
      <c r="AO28" s="20">
        <v>25849338</v>
      </c>
      <c r="AP28" s="147">
        <v>4824227</v>
      </c>
      <c r="AQ28" s="20">
        <v>4420538</v>
      </c>
      <c r="AR28" s="20"/>
      <c r="AS28" s="20">
        <v>22900000</v>
      </c>
    </row>
    <row r="29" spans="1:45" ht="34">
      <c r="A29" s="36" t="s">
        <v>2</v>
      </c>
      <c r="B29" s="7" t="s">
        <v>31</v>
      </c>
      <c r="C29" s="121" t="s">
        <v>8</v>
      </c>
      <c r="D29" s="55" t="s">
        <v>31</v>
      </c>
      <c r="E29" s="114" t="s">
        <v>685</v>
      </c>
      <c r="F29" s="55" t="s">
        <v>104</v>
      </c>
      <c r="G29" s="55" t="s">
        <v>31</v>
      </c>
      <c r="H29" s="38" t="s">
        <v>8</v>
      </c>
      <c r="I29" s="38" t="s">
        <v>8</v>
      </c>
      <c r="J29" s="55" t="s">
        <v>122</v>
      </c>
      <c r="K29" s="181" t="s">
        <v>917</v>
      </c>
      <c r="L29" s="55" t="s">
        <v>31</v>
      </c>
      <c r="M29" s="181" t="s">
        <v>917</v>
      </c>
      <c r="N29" s="38" t="s">
        <v>8</v>
      </c>
      <c r="O29" s="55" t="s">
        <v>31</v>
      </c>
      <c r="P29" s="38" t="s">
        <v>8</v>
      </c>
      <c r="Q29" s="55" t="s">
        <v>31</v>
      </c>
      <c r="R29" s="181" t="s">
        <v>917</v>
      </c>
      <c r="S29" s="38" t="s">
        <v>8</v>
      </c>
      <c r="T29" s="181" t="s">
        <v>917</v>
      </c>
      <c r="U29" s="55" t="s">
        <v>679</v>
      </c>
      <c r="V29" s="181" t="s">
        <v>917</v>
      </c>
      <c r="W29" s="55" t="s">
        <v>31</v>
      </c>
      <c r="X29" s="55" t="s">
        <v>183</v>
      </c>
      <c r="Y29" s="55" t="s">
        <v>680</v>
      </c>
      <c r="Z29" s="181" t="s">
        <v>917</v>
      </c>
      <c r="AA29" s="181" t="s">
        <v>917</v>
      </c>
      <c r="AB29" s="181" t="s">
        <v>917</v>
      </c>
      <c r="AC29" s="38" t="s">
        <v>8</v>
      </c>
      <c r="AD29" s="55" t="s">
        <v>681</v>
      </c>
      <c r="AE29" s="38" t="s">
        <v>8</v>
      </c>
      <c r="AF29" s="38" t="s">
        <v>8</v>
      </c>
      <c r="AG29" s="55"/>
      <c r="AH29" s="38" t="s">
        <v>8</v>
      </c>
      <c r="AI29" s="181" t="s">
        <v>917</v>
      </c>
      <c r="AJ29" s="55" t="s">
        <v>31</v>
      </c>
      <c r="AK29" s="55" t="s">
        <v>31</v>
      </c>
      <c r="AL29" s="38" t="s">
        <v>8</v>
      </c>
      <c r="AM29" s="181" t="s">
        <v>917</v>
      </c>
      <c r="AN29" s="181" t="s">
        <v>917</v>
      </c>
      <c r="AO29" s="55" t="s">
        <v>31</v>
      </c>
      <c r="AP29" s="181" t="s">
        <v>917</v>
      </c>
      <c r="AQ29" s="55" t="s">
        <v>283</v>
      </c>
      <c r="AR29" s="55"/>
      <c r="AS29" s="55" t="s">
        <v>172</v>
      </c>
    </row>
    <row r="31" spans="1:45" s="4" customFormat="1" ht="130" customHeight="1">
      <c r="A31" s="67" t="s">
        <v>138</v>
      </c>
      <c r="B31" s="170"/>
      <c r="C31" s="171"/>
      <c r="D31" s="170"/>
      <c r="E31" s="171"/>
      <c r="F31" s="171"/>
      <c r="G31" s="170"/>
      <c r="H31" s="19"/>
      <c r="I31" s="171" t="s">
        <v>916</v>
      </c>
      <c r="J31" s="170"/>
      <c r="K31" s="170"/>
      <c r="L31" s="170"/>
      <c r="M31" s="170"/>
      <c r="N31" s="171" t="s">
        <v>834</v>
      </c>
      <c r="O31" s="170"/>
      <c r="P31" s="170"/>
      <c r="Q31" s="170"/>
      <c r="R31" s="172" t="s">
        <v>918</v>
      </c>
      <c r="S31" s="170"/>
      <c r="T31" s="170"/>
      <c r="U31" s="170"/>
      <c r="V31" s="171" t="s">
        <v>921</v>
      </c>
      <c r="W31" s="171" t="s">
        <v>920</v>
      </c>
      <c r="X31" s="170"/>
      <c r="Y31" s="170"/>
      <c r="Z31" s="170"/>
      <c r="AA31" s="170"/>
      <c r="AB31" s="183" t="s">
        <v>923</v>
      </c>
      <c r="AC31" s="172" t="s">
        <v>851</v>
      </c>
      <c r="AD31" s="170"/>
      <c r="AE31" s="170"/>
      <c r="AF31" s="19"/>
      <c r="AG31" s="170"/>
      <c r="AH31" s="19"/>
      <c r="AI31" s="170"/>
      <c r="AJ31" s="172" t="s">
        <v>919</v>
      </c>
      <c r="AK31" s="170"/>
      <c r="AL31" s="170"/>
      <c r="AM31" s="183" t="s">
        <v>922</v>
      </c>
      <c r="AN31" s="170"/>
      <c r="AO31" s="19" t="s">
        <v>852</v>
      </c>
      <c r="AP31" s="170"/>
      <c r="AQ31" s="172" t="s">
        <v>933</v>
      </c>
      <c r="AR31" s="170"/>
      <c r="AS31" s="170"/>
    </row>
    <row r="34" spans="1:10">
      <c r="J34" s="69"/>
    </row>
    <row r="36" spans="1:10">
      <c r="A36" s="28" t="s">
        <v>400</v>
      </c>
    </row>
    <row r="39" spans="1:10">
      <c r="B39" s="158"/>
    </row>
    <row r="40" spans="1:10">
      <c r="B40" s="158"/>
    </row>
    <row r="41" spans="1:10">
      <c r="B41" s="158"/>
    </row>
    <row r="42" spans="1:10">
      <c r="B42" s="158"/>
    </row>
    <row r="43" spans="1:10">
      <c r="B43" s="158"/>
    </row>
    <row r="44" spans="1:10">
      <c r="B44" s="158"/>
    </row>
    <row r="45" spans="1:10">
      <c r="B45" s="158"/>
    </row>
    <row r="46" spans="1:10">
      <c r="B46" s="158"/>
    </row>
    <row r="47" spans="1:10">
      <c r="B47" s="158"/>
    </row>
    <row r="48" spans="1:10">
      <c r="B48" s="158"/>
    </row>
    <row r="49" spans="2:2">
      <c r="B49" s="158"/>
    </row>
    <row r="50" spans="2:2">
      <c r="B50" s="158"/>
    </row>
    <row r="51" spans="2:2">
      <c r="B51" s="158"/>
    </row>
    <row r="52" spans="2:2">
      <c r="B52" s="158"/>
    </row>
    <row r="53" spans="2:2">
      <c r="B53" s="158"/>
    </row>
    <row r="54" spans="2:2">
      <c r="B54" s="158"/>
    </row>
    <row r="55" spans="2:2">
      <c r="B55" s="158"/>
    </row>
    <row r="56" spans="2:2">
      <c r="B56" s="158"/>
    </row>
    <row r="57" spans="2:2">
      <c r="B57" s="158"/>
    </row>
    <row r="58" spans="2:2">
      <c r="B58" s="158"/>
    </row>
    <row r="59" spans="2:2">
      <c r="B59" s="158"/>
    </row>
    <row r="60" spans="2:2">
      <c r="B60" s="158"/>
    </row>
    <row r="61" spans="2:2">
      <c r="B61" s="158"/>
    </row>
    <row r="62" spans="2:2">
      <c r="B62" s="158"/>
    </row>
    <row r="63" spans="2:2">
      <c r="B63" s="158"/>
    </row>
    <row r="64" spans="2:2">
      <c r="B64" s="158"/>
    </row>
    <row r="65" spans="2:2">
      <c r="B65" s="158"/>
    </row>
    <row r="66" spans="2:2">
      <c r="B66" s="158"/>
    </row>
    <row r="67" spans="2:2">
      <c r="B67" s="158"/>
    </row>
    <row r="68" spans="2:2">
      <c r="B68" s="158"/>
    </row>
    <row r="69" spans="2:2">
      <c r="B69" s="158"/>
    </row>
    <row r="70" spans="2:2">
      <c r="B70" s="158"/>
    </row>
    <row r="71" spans="2:2">
      <c r="B71" s="158"/>
    </row>
    <row r="72" spans="2:2">
      <c r="B72" s="158"/>
    </row>
    <row r="73" spans="2:2">
      <c r="B73" s="158"/>
    </row>
    <row r="74" spans="2:2">
      <c r="B74" s="158"/>
    </row>
    <row r="75" spans="2:2">
      <c r="B75" s="158"/>
    </row>
    <row r="76" spans="2:2">
      <c r="B76" s="158"/>
    </row>
    <row r="77" spans="2:2">
      <c r="B77" s="158"/>
    </row>
    <row r="78" spans="2:2">
      <c r="B78" s="158"/>
    </row>
    <row r="79" spans="2:2">
      <c r="B79" s="158"/>
    </row>
    <row r="80" spans="2:2">
      <c r="B80" s="158"/>
    </row>
    <row r="81" spans="2:2">
      <c r="B81" s="158"/>
    </row>
    <row r="82" spans="2:2">
      <c r="B82" s="158"/>
    </row>
  </sheetData>
  <hyperlinks>
    <hyperlink ref="F25" r:id="rId1" xr:uid="{00000000-0004-0000-0100-000000000000}"/>
    <hyperlink ref="F27" r:id="rId2" xr:uid="{00000000-0004-0000-0100-000001000000}"/>
    <hyperlink ref="F29" r:id="rId3" xr:uid="{00000000-0004-0000-0100-00000200000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3"/>
  <sheetViews>
    <sheetView workbookViewId="0">
      <pane xSplit="1" ySplit="1" topLeftCell="B2" activePane="bottomRight" state="frozen"/>
      <selection pane="topRight" activeCell="B1" sqref="B1"/>
      <selection pane="bottomLeft" activeCell="A2" sqref="A2"/>
      <selection pane="bottomRight" activeCell="AQ19" sqref="AQ19"/>
    </sheetView>
  </sheetViews>
  <sheetFormatPr baseColWidth="10" defaultColWidth="11.1640625" defaultRowHeight="16"/>
  <cols>
    <col min="1" max="1" width="52.5" customWidth="1"/>
    <col min="2" max="2" width="42.1640625" bestFit="1" customWidth="1"/>
    <col min="3" max="3" width="55.33203125" customWidth="1"/>
    <col min="4" max="4" width="35.6640625" bestFit="1" customWidth="1"/>
    <col min="5" max="5" width="47.33203125" bestFit="1" customWidth="1"/>
    <col min="6" max="6" width="49.6640625" bestFit="1" customWidth="1"/>
    <col min="7" max="7" width="53.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47.1640625" customWidth="1"/>
    <col min="16" max="16" width="38.5" bestFit="1" customWidth="1"/>
    <col min="17" max="17" width="47.33203125" bestFit="1" customWidth="1"/>
    <col min="18" max="18" width="35.83203125" bestFit="1" customWidth="1"/>
    <col min="19" max="19" width="41" customWidth="1"/>
    <col min="20" max="20" width="41.5" customWidth="1"/>
    <col min="21" max="21" width="43.83203125" customWidth="1"/>
    <col min="22" max="22" width="34.83203125" customWidth="1"/>
    <col min="23" max="23" width="39"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31" t="s">
        <v>447</v>
      </c>
    </row>
    <row r="3" spans="1:45">
      <c r="A3" s="91" t="s">
        <v>448</v>
      </c>
      <c r="B3" s="42" t="s">
        <v>8</v>
      </c>
      <c r="C3" s="57">
        <v>1</v>
      </c>
      <c r="D3" s="96">
        <v>300</v>
      </c>
      <c r="E3" s="57">
        <v>200</v>
      </c>
      <c r="F3" s="57">
        <v>191</v>
      </c>
      <c r="G3" s="57">
        <v>429</v>
      </c>
      <c r="H3" s="57">
        <v>200</v>
      </c>
      <c r="I3" s="57">
        <v>40</v>
      </c>
      <c r="J3" s="33" t="s">
        <v>8</v>
      </c>
      <c r="K3" s="57">
        <v>200</v>
      </c>
      <c r="L3" s="57">
        <v>100</v>
      </c>
      <c r="M3" s="57">
        <v>900</v>
      </c>
      <c r="N3" s="57">
        <v>1900</v>
      </c>
      <c r="O3" s="33" t="s">
        <v>8</v>
      </c>
      <c r="P3" s="33" t="s">
        <v>8</v>
      </c>
      <c r="Q3" s="33" t="s">
        <v>8</v>
      </c>
      <c r="R3" s="33" t="s">
        <v>8</v>
      </c>
      <c r="S3" s="57">
        <v>146</v>
      </c>
      <c r="T3" s="57">
        <v>400</v>
      </c>
      <c r="U3" s="33" t="s">
        <v>8</v>
      </c>
      <c r="V3" s="33" t="s">
        <v>8</v>
      </c>
      <c r="W3" s="57">
        <v>201</v>
      </c>
      <c r="X3" s="57">
        <v>200</v>
      </c>
      <c r="Y3" s="57">
        <v>593</v>
      </c>
      <c r="Z3" s="57">
        <v>100</v>
      </c>
      <c r="AA3" s="57">
        <v>0</v>
      </c>
      <c r="AB3" s="57">
        <v>114</v>
      </c>
      <c r="AC3" s="57" t="s">
        <v>8</v>
      </c>
      <c r="AD3" s="57" t="s">
        <v>8</v>
      </c>
      <c r="AE3" s="33" t="s">
        <v>8</v>
      </c>
      <c r="AF3" s="57">
        <v>400</v>
      </c>
      <c r="AG3" s="57">
        <v>187</v>
      </c>
      <c r="AH3" s="57"/>
      <c r="AI3" s="57"/>
      <c r="AJ3" s="57">
        <v>1100</v>
      </c>
      <c r="AK3" s="57">
        <v>1100</v>
      </c>
      <c r="AL3" s="57">
        <v>320</v>
      </c>
      <c r="AM3" s="57">
        <v>200</v>
      </c>
      <c r="AN3" s="57">
        <v>100</v>
      </c>
      <c r="AO3" s="57"/>
      <c r="AP3" s="57"/>
      <c r="AQ3" s="57">
        <v>200</v>
      </c>
      <c r="AR3" s="57" t="s">
        <v>8</v>
      </c>
      <c r="AS3" s="57">
        <v>1300</v>
      </c>
    </row>
    <row r="4" spans="1:45">
      <c r="A4" s="66" t="s">
        <v>449</v>
      </c>
      <c r="B4" s="167">
        <v>11302</v>
      </c>
      <c r="C4" s="34">
        <v>375</v>
      </c>
      <c r="D4" s="97">
        <v>25500</v>
      </c>
      <c r="E4" s="95">
        <v>35700</v>
      </c>
      <c r="F4" s="34">
        <v>4428</v>
      </c>
      <c r="G4" s="95">
        <v>31362</v>
      </c>
      <c r="H4" s="95">
        <v>20100</v>
      </c>
      <c r="I4" s="34">
        <v>5100</v>
      </c>
      <c r="J4" s="39" t="s">
        <v>8</v>
      </c>
      <c r="K4" s="95">
        <v>15000</v>
      </c>
      <c r="L4" s="34">
        <v>6600</v>
      </c>
      <c r="M4" s="95">
        <v>21000</v>
      </c>
      <c r="N4" s="95">
        <v>235100</v>
      </c>
      <c r="O4" s="21" t="s">
        <v>8</v>
      </c>
      <c r="P4" s="21" t="s">
        <v>8</v>
      </c>
      <c r="Q4" s="21" t="s">
        <v>8</v>
      </c>
      <c r="R4" s="21" t="s">
        <v>8</v>
      </c>
      <c r="S4" s="34" t="s">
        <v>8</v>
      </c>
      <c r="T4" s="95">
        <v>14600</v>
      </c>
      <c r="U4" s="21" t="s">
        <v>8</v>
      </c>
      <c r="V4" s="21" t="s">
        <v>8</v>
      </c>
      <c r="W4" s="34">
        <v>4246</v>
      </c>
      <c r="X4" s="34">
        <v>9800</v>
      </c>
      <c r="Y4" s="34"/>
      <c r="Z4" s="95">
        <v>18000</v>
      </c>
      <c r="AA4" s="34">
        <v>800</v>
      </c>
      <c r="AB4" s="34">
        <v>3297</v>
      </c>
      <c r="AC4" s="34" t="s">
        <v>8</v>
      </c>
      <c r="AD4" s="34" t="s">
        <v>8</v>
      </c>
      <c r="AE4" s="21" t="s">
        <v>8</v>
      </c>
      <c r="AF4" s="95">
        <v>61400</v>
      </c>
      <c r="AG4" s="34">
        <v>7456</v>
      </c>
      <c r="AH4" s="34"/>
      <c r="AI4" s="34"/>
      <c r="AJ4" s="95">
        <v>66200</v>
      </c>
      <c r="AK4" s="95">
        <v>48100</v>
      </c>
      <c r="AL4" s="95">
        <v>16391</v>
      </c>
      <c r="AM4" s="95">
        <v>65000</v>
      </c>
      <c r="AN4" s="95">
        <v>18600</v>
      </c>
      <c r="AO4" s="34"/>
      <c r="AP4" s="34"/>
      <c r="AQ4" s="95">
        <v>21300</v>
      </c>
      <c r="AR4" s="34" t="s">
        <v>8</v>
      </c>
      <c r="AS4" s="95">
        <v>126000</v>
      </c>
    </row>
    <row r="5" spans="1:45">
      <c r="A5" s="66" t="s">
        <v>450</v>
      </c>
      <c r="B5" s="168">
        <v>4624</v>
      </c>
      <c r="C5" s="34">
        <v>830</v>
      </c>
      <c r="D5" s="71">
        <v>4300</v>
      </c>
      <c r="E5" s="95">
        <v>23300</v>
      </c>
      <c r="F5" s="34">
        <v>1968</v>
      </c>
      <c r="G5" s="95">
        <v>20016</v>
      </c>
      <c r="H5" s="34">
        <v>6700</v>
      </c>
      <c r="I5" s="34">
        <v>2200</v>
      </c>
      <c r="J5" s="39" t="s">
        <v>8</v>
      </c>
      <c r="K5" s="34">
        <v>3200</v>
      </c>
      <c r="L5" s="34">
        <v>3200</v>
      </c>
      <c r="M5" s="95">
        <v>18100</v>
      </c>
      <c r="N5" s="95">
        <v>63500</v>
      </c>
      <c r="O5" s="21" t="s">
        <v>8</v>
      </c>
      <c r="P5" s="21" t="s">
        <v>8</v>
      </c>
      <c r="Q5" s="21" t="s">
        <v>8</v>
      </c>
      <c r="R5" s="21" t="s">
        <v>8</v>
      </c>
      <c r="S5" s="34">
        <v>3875</v>
      </c>
      <c r="T5" s="95">
        <v>13100</v>
      </c>
      <c r="U5" s="21" t="s">
        <v>8</v>
      </c>
      <c r="V5" s="21" t="s">
        <v>8</v>
      </c>
      <c r="W5" s="34">
        <v>2702</v>
      </c>
      <c r="X5" s="34">
        <v>3200</v>
      </c>
      <c r="Y5" s="34"/>
      <c r="Z5" s="34">
        <v>3700</v>
      </c>
      <c r="AA5" s="34">
        <v>1300</v>
      </c>
      <c r="AB5" s="34">
        <v>6461</v>
      </c>
      <c r="AC5" s="34" t="s">
        <v>8</v>
      </c>
      <c r="AD5" s="34" t="s">
        <v>8</v>
      </c>
      <c r="AE5" s="21" t="s">
        <v>8</v>
      </c>
      <c r="AF5" s="95">
        <v>63200</v>
      </c>
      <c r="AG5" s="34">
        <v>4408</v>
      </c>
      <c r="AH5" s="34"/>
      <c r="AI5" s="34"/>
      <c r="AJ5" s="95">
        <v>38300</v>
      </c>
      <c r="AK5" s="95">
        <v>24100</v>
      </c>
      <c r="AL5" s="34">
        <v>7293</v>
      </c>
      <c r="AM5" s="95">
        <v>10400</v>
      </c>
      <c r="AN5" s="34">
        <v>2900</v>
      </c>
      <c r="AO5" s="34"/>
      <c r="AP5" s="34"/>
      <c r="AQ5" s="34">
        <v>3500</v>
      </c>
      <c r="AR5" s="34" t="s">
        <v>8</v>
      </c>
      <c r="AS5" s="95">
        <v>73900</v>
      </c>
    </row>
    <row r="6" spans="1:45">
      <c r="A6" s="66" t="s">
        <v>451</v>
      </c>
      <c r="B6" s="167">
        <v>15926</v>
      </c>
      <c r="C6" s="34">
        <v>1206</v>
      </c>
      <c r="D6" s="97">
        <v>30100</v>
      </c>
      <c r="E6" s="95">
        <v>59200</v>
      </c>
      <c r="F6" s="34">
        <v>6587</v>
      </c>
      <c r="G6" s="34">
        <v>51807</v>
      </c>
      <c r="H6" s="95">
        <v>27000</v>
      </c>
      <c r="I6" s="34">
        <v>7340</v>
      </c>
      <c r="J6" s="39" t="s">
        <v>8</v>
      </c>
      <c r="K6" s="95">
        <v>18400</v>
      </c>
      <c r="L6" s="34">
        <v>9900</v>
      </c>
      <c r="M6" s="95">
        <v>40000</v>
      </c>
      <c r="N6" s="95">
        <v>300500</v>
      </c>
      <c r="O6" s="21" t="s">
        <v>8</v>
      </c>
      <c r="P6" s="21" t="s">
        <v>8</v>
      </c>
      <c r="Q6" s="21" t="s">
        <v>8</v>
      </c>
      <c r="R6" s="21" t="s">
        <v>8</v>
      </c>
      <c r="S6" s="34">
        <v>5480</v>
      </c>
      <c r="T6" s="95">
        <v>28100</v>
      </c>
      <c r="U6" s="21" t="s">
        <v>8</v>
      </c>
      <c r="V6" s="21" t="s">
        <v>8</v>
      </c>
      <c r="W6" s="34">
        <v>7149</v>
      </c>
      <c r="X6" s="95">
        <v>13200</v>
      </c>
      <c r="Y6" s="34">
        <v>593</v>
      </c>
      <c r="Z6" s="95">
        <v>21800</v>
      </c>
      <c r="AA6" s="34">
        <v>2100</v>
      </c>
      <c r="AB6" s="34">
        <v>9872</v>
      </c>
      <c r="AC6" s="34">
        <v>5700</v>
      </c>
      <c r="AD6" s="34">
        <v>167</v>
      </c>
      <c r="AE6" s="21" t="s">
        <v>8</v>
      </c>
      <c r="AF6" s="95">
        <v>125000</v>
      </c>
      <c r="AG6" s="95">
        <v>12051</v>
      </c>
      <c r="AH6" s="34"/>
      <c r="AI6" s="34"/>
      <c r="AJ6" s="95">
        <v>105600</v>
      </c>
      <c r="AK6" s="95">
        <v>73300</v>
      </c>
      <c r="AL6" s="95">
        <v>24004</v>
      </c>
      <c r="AM6" s="95">
        <v>75600</v>
      </c>
      <c r="AN6" s="95">
        <v>21600</v>
      </c>
      <c r="AO6" s="34"/>
      <c r="AP6" s="34"/>
      <c r="AQ6" s="95">
        <v>25000</v>
      </c>
      <c r="AR6" s="34" t="s">
        <v>8</v>
      </c>
      <c r="AS6" s="95">
        <v>201200</v>
      </c>
    </row>
    <row r="7" spans="1:45" ht="68">
      <c r="A7" s="92" t="s">
        <v>2</v>
      </c>
      <c r="B7" s="143" t="s">
        <v>715</v>
      </c>
      <c r="C7" s="142" t="s">
        <v>716</v>
      </c>
      <c r="D7" s="92" t="s">
        <v>713</v>
      </c>
      <c r="E7" s="92" t="s">
        <v>713</v>
      </c>
      <c r="F7" s="92" t="s">
        <v>714</v>
      </c>
      <c r="G7" s="92" t="s">
        <v>713</v>
      </c>
      <c r="H7" s="92" t="s">
        <v>713</v>
      </c>
      <c r="I7" s="92" t="s">
        <v>713</v>
      </c>
      <c r="J7" s="144" t="s">
        <v>8</v>
      </c>
      <c r="K7" s="92" t="s">
        <v>713</v>
      </c>
      <c r="L7" s="92" t="s">
        <v>713</v>
      </c>
      <c r="M7" s="92" t="s">
        <v>713</v>
      </c>
      <c r="N7" s="92" t="s">
        <v>713</v>
      </c>
      <c r="O7" s="144" t="s">
        <v>8</v>
      </c>
      <c r="P7" s="144" t="s">
        <v>8</v>
      </c>
      <c r="Q7" s="144" t="s">
        <v>8</v>
      </c>
      <c r="R7" s="144" t="s">
        <v>8</v>
      </c>
      <c r="S7" s="98" t="s">
        <v>717</v>
      </c>
      <c r="T7" s="92" t="s">
        <v>713</v>
      </c>
      <c r="U7" s="144" t="s">
        <v>8</v>
      </c>
      <c r="V7" s="144" t="s">
        <v>8</v>
      </c>
      <c r="W7" s="98" t="s">
        <v>728</v>
      </c>
      <c r="X7" s="92" t="s">
        <v>713</v>
      </c>
      <c r="Y7" s="98" t="s">
        <v>718</v>
      </c>
      <c r="Z7" s="92" t="s">
        <v>713</v>
      </c>
      <c r="AA7" s="92" t="s">
        <v>713</v>
      </c>
      <c r="AB7" s="98" t="s">
        <v>719</v>
      </c>
      <c r="AC7" s="98" t="s">
        <v>720</v>
      </c>
      <c r="AD7" s="98" t="s">
        <v>721</v>
      </c>
      <c r="AE7" s="144" t="s">
        <v>8</v>
      </c>
      <c r="AF7" s="92" t="s">
        <v>713</v>
      </c>
      <c r="AG7" s="98" t="s">
        <v>730</v>
      </c>
      <c r="AH7" s="92"/>
      <c r="AI7" s="92"/>
      <c r="AJ7" s="92" t="s">
        <v>713</v>
      </c>
      <c r="AK7" s="92" t="s">
        <v>713</v>
      </c>
      <c r="AL7" s="98" t="s">
        <v>732</v>
      </c>
      <c r="AM7" s="92" t="s">
        <v>713</v>
      </c>
      <c r="AN7" s="92" t="s">
        <v>713</v>
      </c>
      <c r="AO7" s="92"/>
      <c r="AP7" s="92"/>
      <c r="AQ7" s="92" t="s">
        <v>713</v>
      </c>
      <c r="AR7" s="92"/>
      <c r="AS7" s="92" t="s">
        <v>713</v>
      </c>
    </row>
    <row r="8" spans="1:45">
      <c r="A8" s="102" t="s">
        <v>460</v>
      </c>
      <c r="B8" s="146">
        <v>15926</v>
      </c>
      <c r="C8" s="93">
        <v>1206</v>
      </c>
      <c r="D8" s="58">
        <v>30100</v>
      </c>
      <c r="E8" s="20">
        <v>59200</v>
      </c>
      <c r="F8" s="35">
        <v>6587</v>
      </c>
      <c r="G8" s="20">
        <v>51807</v>
      </c>
      <c r="H8" s="20">
        <v>27000</v>
      </c>
      <c r="I8" s="35">
        <v>7340</v>
      </c>
      <c r="J8" s="20">
        <v>80000</v>
      </c>
      <c r="K8" s="20">
        <v>68481</v>
      </c>
      <c r="L8" s="35">
        <v>9900</v>
      </c>
      <c r="M8" s="20">
        <v>40000</v>
      </c>
      <c r="N8" s="20">
        <v>300500</v>
      </c>
      <c r="O8" s="20">
        <v>388400</v>
      </c>
      <c r="P8" s="35">
        <v>59</v>
      </c>
      <c r="Q8" s="20">
        <v>51229</v>
      </c>
      <c r="R8" s="20">
        <v>62100</v>
      </c>
      <c r="S8" s="35">
        <v>5480</v>
      </c>
      <c r="T8" s="20">
        <v>28100</v>
      </c>
      <c r="U8" s="35">
        <v>909</v>
      </c>
      <c r="V8" s="58">
        <v>287039</v>
      </c>
      <c r="W8" s="35">
        <v>7149</v>
      </c>
      <c r="X8" s="58">
        <v>13200</v>
      </c>
      <c r="Y8" s="35">
        <v>593</v>
      </c>
      <c r="Z8" s="58">
        <v>21800</v>
      </c>
      <c r="AA8" s="35">
        <v>2100</v>
      </c>
      <c r="AB8" s="35">
        <v>9872</v>
      </c>
      <c r="AC8" s="35">
        <v>5700</v>
      </c>
      <c r="AD8" s="35">
        <v>167</v>
      </c>
      <c r="AE8" s="35">
        <v>2508</v>
      </c>
      <c r="AF8" s="58">
        <v>125000</v>
      </c>
      <c r="AG8" s="58">
        <v>12051</v>
      </c>
      <c r="AH8" s="58">
        <v>105235</v>
      </c>
      <c r="AI8" s="58">
        <v>172900</v>
      </c>
      <c r="AJ8" s="58">
        <v>105600</v>
      </c>
      <c r="AK8" s="58">
        <v>73300</v>
      </c>
      <c r="AL8" s="58">
        <v>24004</v>
      </c>
      <c r="AM8" s="58">
        <v>75600</v>
      </c>
      <c r="AN8" s="58">
        <v>21600</v>
      </c>
      <c r="AO8" s="58">
        <v>201196</v>
      </c>
      <c r="AP8" s="58">
        <v>99350</v>
      </c>
      <c r="AQ8" s="58">
        <v>53066</v>
      </c>
      <c r="AR8" s="58">
        <v>197027</v>
      </c>
      <c r="AS8" s="58">
        <v>201200</v>
      </c>
    </row>
    <row r="9" spans="1:45" ht="85">
      <c r="A9" s="103" t="s">
        <v>2</v>
      </c>
      <c r="B9" s="148" t="s">
        <v>461</v>
      </c>
      <c r="C9" s="99" t="s">
        <v>461</v>
      </c>
      <c r="D9" s="99" t="s">
        <v>461</v>
      </c>
      <c r="E9" s="99" t="s">
        <v>461</v>
      </c>
      <c r="F9" s="99" t="s">
        <v>461</v>
      </c>
      <c r="G9" s="99" t="s">
        <v>461</v>
      </c>
      <c r="H9" s="99" t="s">
        <v>461</v>
      </c>
      <c r="I9" s="99" t="s">
        <v>461</v>
      </c>
      <c r="J9" s="100" t="s">
        <v>453</v>
      </c>
      <c r="K9" s="99" t="s">
        <v>461</v>
      </c>
      <c r="L9" s="99" t="s">
        <v>461</v>
      </c>
      <c r="M9" s="99" t="s">
        <v>461</v>
      </c>
      <c r="N9" s="99" t="s">
        <v>461</v>
      </c>
      <c r="O9" s="119" t="s">
        <v>682</v>
      </c>
      <c r="P9" s="100" t="s">
        <v>722</v>
      </c>
      <c r="Q9" s="100" t="s">
        <v>150</v>
      </c>
      <c r="R9" s="119" t="s">
        <v>682</v>
      </c>
      <c r="S9" s="99" t="s">
        <v>461</v>
      </c>
      <c r="T9" s="99" t="s">
        <v>461</v>
      </c>
      <c r="U9" s="100" t="s">
        <v>727</v>
      </c>
      <c r="V9" s="100" t="s">
        <v>810</v>
      </c>
      <c r="W9" s="99" t="s">
        <v>461</v>
      </c>
      <c r="X9" s="99" t="s">
        <v>461</v>
      </c>
      <c r="Y9" s="99" t="s">
        <v>461</v>
      </c>
      <c r="Z9" s="99" t="s">
        <v>461</v>
      </c>
      <c r="AA9" s="99" t="s">
        <v>461</v>
      </c>
      <c r="AB9" s="99" t="s">
        <v>461</v>
      </c>
      <c r="AC9" s="99" t="s">
        <v>461</v>
      </c>
      <c r="AD9" s="99" t="s">
        <v>461</v>
      </c>
      <c r="AE9" s="100" t="s">
        <v>453</v>
      </c>
      <c r="AF9" s="99" t="s">
        <v>461</v>
      </c>
      <c r="AG9" s="99" t="s">
        <v>461</v>
      </c>
      <c r="AH9" s="100" t="s">
        <v>731</v>
      </c>
      <c r="AI9" s="119" t="s">
        <v>682</v>
      </c>
      <c r="AJ9" s="99" t="s">
        <v>461</v>
      </c>
      <c r="AK9" s="99" t="s">
        <v>461</v>
      </c>
      <c r="AL9" s="99" t="s">
        <v>461</v>
      </c>
      <c r="AM9" s="99" t="s">
        <v>461</v>
      </c>
      <c r="AN9" s="99" t="s">
        <v>461</v>
      </c>
      <c r="AO9" s="119" t="s">
        <v>682</v>
      </c>
      <c r="AP9" s="119" t="s">
        <v>682</v>
      </c>
      <c r="AQ9" s="106" t="s">
        <v>934</v>
      </c>
      <c r="AR9" s="100" t="s">
        <v>285</v>
      </c>
      <c r="AS9" s="99" t="s">
        <v>461</v>
      </c>
    </row>
    <row r="10" spans="1:45">
      <c r="A10" s="90" t="s">
        <v>723</v>
      </c>
      <c r="B10" s="169">
        <v>5012796.6732999999</v>
      </c>
      <c r="C10" s="118" t="s">
        <v>8</v>
      </c>
      <c r="D10" s="95">
        <v>53639678.530959994</v>
      </c>
      <c r="E10" s="95">
        <v>163649572.46044999</v>
      </c>
      <c r="F10" s="95">
        <v>10566670.710349998</v>
      </c>
      <c r="G10" s="95">
        <v>106371889.75825001</v>
      </c>
      <c r="H10" s="95">
        <v>17423209.490009997</v>
      </c>
      <c r="I10" s="95">
        <v>16467655.544876998</v>
      </c>
      <c r="J10" s="95">
        <v>120435048.04576397</v>
      </c>
      <c r="K10" s="95">
        <v>70451066.569999993</v>
      </c>
      <c r="L10" s="95">
        <v>17659110.739999998</v>
      </c>
      <c r="M10" s="95">
        <v>75693939.149500102</v>
      </c>
      <c r="N10" s="95">
        <v>604476236.29386699</v>
      </c>
      <c r="O10" s="95">
        <v>449822168.9001376</v>
      </c>
      <c r="P10" s="95"/>
      <c r="Q10" s="95">
        <v>62247430.378977977</v>
      </c>
      <c r="R10" s="56">
        <v>82345387.952430904</v>
      </c>
      <c r="S10" s="132">
        <v>4252598.5233969996</v>
      </c>
      <c r="T10" s="95">
        <v>22388171.396700013</v>
      </c>
      <c r="U10" s="95"/>
      <c r="V10" s="95">
        <v>500000000</v>
      </c>
      <c r="W10" s="95"/>
      <c r="X10" s="95">
        <v>20717495.27</v>
      </c>
      <c r="Y10" s="95"/>
      <c r="Z10" s="95">
        <v>49311263.640000001</v>
      </c>
      <c r="AA10" s="95">
        <v>5044251.3</v>
      </c>
      <c r="AB10" s="95">
        <v>4732927.7541599991</v>
      </c>
      <c r="AC10" s="95">
        <v>13412787.123570003</v>
      </c>
      <c r="AD10" s="95"/>
      <c r="AE10" s="95">
        <v>2794292.9193099993</v>
      </c>
      <c r="AF10" s="95">
        <v>259999501.3325001</v>
      </c>
      <c r="AG10" s="95">
        <v>10248069.392300004</v>
      </c>
      <c r="AH10" s="95">
        <v>39052190.168182038</v>
      </c>
      <c r="AI10" s="95">
        <v>240613838.13775948</v>
      </c>
      <c r="AJ10" s="95">
        <v>61925890.836419985</v>
      </c>
      <c r="AK10" s="95">
        <v>107000000</v>
      </c>
      <c r="AL10" s="95">
        <v>36937914.073899999</v>
      </c>
      <c r="AM10" s="95">
        <v>70023377.327420011</v>
      </c>
      <c r="AN10" s="95">
        <v>13047089.711720005</v>
      </c>
      <c r="AO10" s="95">
        <v>286007469.04388541</v>
      </c>
      <c r="AP10" s="95">
        <v>132579788.07735008</v>
      </c>
      <c r="AQ10" s="95">
        <v>111102462.40000001</v>
      </c>
      <c r="AR10" s="95">
        <v>173029820.63733897</v>
      </c>
      <c r="AS10" s="95">
        <v>309798021.99175501</v>
      </c>
    </row>
    <row r="11" spans="1:45">
      <c r="A11" s="90" t="s">
        <v>452</v>
      </c>
      <c r="B11" s="169">
        <v>315</v>
      </c>
      <c r="C11" s="104">
        <v>683.76068376068383</v>
      </c>
      <c r="D11" s="104">
        <v>1782.0491206299</v>
      </c>
      <c r="E11" s="104">
        <v>2764.35088615625</v>
      </c>
      <c r="F11" s="105">
        <v>1604.1704433505386</v>
      </c>
      <c r="G11" s="104">
        <v>2053.2339212509896</v>
      </c>
      <c r="H11" s="105">
        <v>645.3040551855554</v>
      </c>
      <c r="I11" s="104">
        <v>2243.5498017543596</v>
      </c>
      <c r="J11" s="105">
        <v>1505.4381005720495</v>
      </c>
      <c r="K11" s="104">
        <v>1028.7680753785721</v>
      </c>
      <c r="L11" s="105">
        <v>1783.7485595959595</v>
      </c>
      <c r="M11" s="104">
        <v>1892.3484787375025</v>
      </c>
      <c r="N11" s="105">
        <v>2011.568174022852</v>
      </c>
      <c r="O11" s="104">
        <v>1158.1415265194069</v>
      </c>
      <c r="P11" s="105">
        <v>855.76271186440681</v>
      </c>
      <c r="Q11" s="104">
        <v>1215.0818946100446</v>
      </c>
      <c r="R11" s="104">
        <v>1326.0126884449421</v>
      </c>
      <c r="S11" s="105">
        <v>776.0216283571167</v>
      </c>
      <c r="T11" s="104">
        <v>796.73207817437765</v>
      </c>
      <c r="U11" s="105">
        <v>300</v>
      </c>
      <c r="V11" s="104">
        <v>1741.923571361383</v>
      </c>
      <c r="W11" s="105">
        <v>683.76068376068395</v>
      </c>
      <c r="X11" s="104">
        <v>1569.5072174242423</v>
      </c>
      <c r="Y11" s="105">
        <v>658.1196581196582</v>
      </c>
      <c r="Z11" s="104">
        <v>2261.984570642202</v>
      </c>
      <c r="AA11" s="105">
        <v>2402.0244285714284</v>
      </c>
      <c r="AB11" s="104">
        <v>479.42947266612634</v>
      </c>
      <c r="AC11" s="105">
        <v>2353.1205479947371</v>
      </c>
      <c r="AD11" s="104">
        <v>683.76068376068383</v>
      </c>
      <c r="AE11" s="105">
        <v>1114.1518817025515</v>
      </c>
      <c r="AF11" s="104">
        <v>2079.9960106600006</v>
      </c>
      <c r="AG11" s="105">
        <v>850.39161831383319</v>
      </c>
      <c r="AH11" s="104">
        <v>371.09507453016619</v>
      </c>
      <c r="AI11" s="105">
        <v>1391.6358481073423</v>
      </c>
      <c r="AJ11" s="104">
        <v>586.41942079943169</v>
      </c>
      <c r="AK11" s="105">
        <v>1459.7544338335606</v>
      </c>
      <c r="AL11" s="104">
        <v>1538.8232825320779</v>
      </c>
      <c r="AM11" s="105">
        <v>926.23514983359803</v>
      </c>
      <c r="AN11" s="104">
        <v>604.03193109814833</v>
      </c>
      <c r="AO11" s="105">
        <v>1421.536556610894</v>
      </c>
      <c r="AP11" s="104">
        <v>1334.4719484383502</v>
      </c>
      <c r="AQ11" s="105">
        <f>AQ10/AQ8</f>
        <v>2093.6656691666981</v>
      </c>
      <c r="AR11" s="104">
        <v>878</v>
      </c>
      <c r="AS11" s="104">
        <v>1539.7516003566352</v>
      </c>
    </row>
    <row r="12" spans="1:45">
      <c r="A12" s="90" t="s">
        <v>2</v>
      </c>
      <c r="B12" s="104" t="s">
        <v>704</v>
      </c>
      <c r="C12" s="90" t="s">
        <v>701</v>
      </c>
      <c r="D12" s="104" t="s">
        <v>704</v>
      </c>
      <c r="E12" s="104" t="s">
        <v>704</v>
      </c>
      <c r="F12" s="104" t="s">
        <v>704</v>
      </c>
      <c r="G12" s="104" t="s">
        <v>704</v>
      </c>
      <c r="H12" s="104" t="s">
        <v>704</v>
      </c>
      <c r="I12" s="104" t="s">
        <v>704</v>
      </c>
      <c r="J12" s="104" t="s">
        <v>704</v>
      </c>
      <c r="K12" s="104" t="s">
        <v>704</v>
      </c>
      <c r="L12" s="104" t="s">
        <v>704</v>
      </c>
      <c r="M12" s="104" t="s">
        <v>704</v>
      </c>
      <c r="N12" s="104" t="s">
        <v>704</v>
      </c>
      <c r="O12" s="104" t="s">
        <v>704</v>
      </c>
      <c r="P12" s="90" t="s">
        <v>701</v>
      </c>
      <c r="Q12" s="104" t="s">
        <v>704</v>
      </c>
      <c r="R12" s="104" t="s">
        <v>704</v>
      </c>
      <c r="S12" s="104" t="s">
        <v>704</v>
      </c>
      <c r="T12" s="104" t="s">
        <v>704</v>
      </c>
      <c r="U12" s="90" t="s">
        <v>701</v>
      </c>
      <c r="V12" s="104" t="s">
        <v>704</v>
      </c>
      <c r="W12" s="90" t="s">
        <v>701</v>
      </c>
      <c r="X12" s="104" t="s">
        <v>704</v>
      </c>
      <c r="Y12" s="90" t="s">
        <v>701</v>
      </c>
      <c r="Z12" s="104" t="s">
        <v>704</v>
      </c>
      <c r="AA12" s="104" t="s">
        <v>704</v>
      </c>
      <c r="AB12" s="104" t="s">
        <v>704</v>
      </c>
      <c r="AC12" s="104" t="s">
        <v>704</v>
      </c>
      <c r="AD12" s="90" t="s">
        <v>701</v>
      </c>
      <c r="AE12" s="104" t="s">
        <v>704</v>
      </c>
      <c r="AF12" s="104" t="s">
        <v>704</v>
      </c>
      <c r="AG12" s="104" t="s">
        <v>704</v>
      </c>
      <c r="AH12" s="104" t="s">
        <v>704</v>
      </c>
      <c r="AI12" s="104" t="s">
        <v>704</v>
      </c>
      <c r="AJ12" s="104" t="s">
        <v>704</v>
      </c>
      <c r="AK12" s="104" t="s">
        <v>704</v>
      </c>
      <c r="AL12" s="104" t="s">
        <v>704</v>
      </c>
      <c r="AM12" s="104" t="s">
        <v>704</v>
      </c>
      <c r="AN12" s="104" t="s">
        <v>704</v>
      </c>
      <c r="AO12" s="104" t="s">
        <v>704</v>
      </c>
      <c r="AP12" s="104" t="s">
        <v>704</v>
      </c>
      <c r="AQ12" s="104" t="s">
        <v>935</v>
      </c>
      <c r="AR12" s="104" t="s">
        <v>704</v>
      </c>
      <c r="AS12" s="104" t="s">
        <v>704</v>
      </c>
    </row>
    <row r="13" spans="1:45" s="4" customFormat="1" ht="51">
      <c r="A13" s="10" t="s">
        <v>712</v>
      </c>
      <c r="B13" s="107" t="s">
        <v>726</v>
      </c>
      <c r="C13" s="108" t="s">
        <v>736</v>
      </c>
      <c r="D13" s="107" t="s">
        <v>726</v>
      </c>
      <c r="E13" s="107" t="s">
        <v>726</v>
      </c>
      <c r="F13" s="107" t="s">
        <v>726</v>
      </c>
      <c r="G13" s="107" t="s">
        <v>726</v>
      </c>
      <c r="H13" s="107" t="s">
        <v>726</v>
      </c>
      <c r="I13" s="107" t="s">
        <v>726</v>
      </c>
      <c r="J13" s="107" t="s">
        <v>726</v>
      </c>
      <c r="K13" s="107" t="s">
        <v>726</v>
      </c>
      <c r="L13" s="107" t="s">
        <v>726</v>
      </c>
      <c r="M13" s="107" t="s">
        <v>726</v>
      </c>
      <c r="N13" s="107" t="s">
        <v>726</v>
      </c>
      <c r="O13" s="107" t="s">
        <v>726</v>
      </c>
      <c r="P13" s="110" t="s">
        <v>389</v>
      </c>
      <c r="Q13" s="107" t="s">
        <v>726</v>
      </c>
      <c r="R13" s="107" t="s">
        <v>726</v>
      </c>
      <c r="S13" s="107" t="s">
        <v>726</v>
      </c>
      <c r="T13" s="107" t="s">
        <v>726</v>
      </c>
      <c r="U13" s="133" t="s">
        <v>702</v>
      </c>
      <c r="V13" s="107" t="s">
        <v>726</v>
      </c>
      <c r="W13" s="133" t="s">
        <v>729</v>
      </c>
      <c r="X13" s="107" t="s">
        <v>726</v>
      </c>
      <c r="Y13" s="133" t="s">
        <v>703</v>
      </c>
      <c r="Z13" s="107" t="s">
        <v>726</v>
      </c>
      <c r="AA13" s="107" t="s">
        <v>726</v>
      </c>
      <c r="AB13" s="107" t="s">
        <v>726</v>
      </c>
      <c r="AC13" s="107" t="s">
        <v>726</v>
      </c>
      <c r="AD13" s="110" t="s">
        <v>389</v>
      </c>
      <c r="AE13" s="107" t="s">
        <v>726</v>
      </c>
      <c r="AF13" s="107" t="s">
        <v>726</v>
      </c>
      <c r="AG13" s="107" t="s">
        <v>726</v>
      </c>
      <c r="AH13" s="107" t="s">
        <v>726</v>
      </c>
      <c r="AI13" s="107" t="s">
        <v>726</v>
      </c>
      <c r="AJ13" s="107" t="s">
        <v>726</v>
      </c>
      <c r="AK13" s="107" t="s">
        <v>726</v>
      </c>
      <c r="AL13" s="107" t="s">
        <v>726</v>
      </c>
      <c r="AM13" s="107" t="s">
        <v>726</v>
      </c>
      <c r="AN13" s="107" t="s">
        <v>726</v>
      </c>
      <c r="AO13" s="107" t="s">
        <v>726</v>
      </c>
      <c r="AP13" s="107" t="s">
        <v>726</v>
      </c>
      <c r="AQ13" s="107" t="s">
        <v>726</v>
      </c>
      <c r="AR13" s="107" t="s">
        <v>733</v>
      </c>
      <c r="AS13" s="107" t="s">
        <v>726</v>
      </c>
    </row>
    <row r="14" spans="1:45" s="4" customFormat="1">
      <c r="A14" s="11" t="s">
        <v>456</v>
      </c>
      <c r="B14" s="11" t="s">
        <v>454</v>
      </c>
      <c r="C14" s="11" t="s">
        <v>457</v>
      </c>
      <c r="D14" s="11" t="s">
        <v>462</v>
      </c>
      <c r="E14" s="11" t="s">
        <v>463</v>
      </c>
      <c r="F14" s="11" t="s">
        <v>464</v>
      </c>
      <c r="G14" s="11" t="s">
        <v>465</v>
      </c>
      <c r="H14" s="11" t="s">
        <v>466</v>
      </c>
      <c r="I14" s="11" t="s">
        <v>467</v>
      </c>
      <c r="J14" s="11" t="s">
        <v>468</v>
      </c>
      <c r="K14" s="11" t="s">
        <v>469</v>
      </c>
      <c r="L14" s="109" t="s">
        <v>470</v>
      </c>
      <c r="M14" s="109" t="s">
        <v>471</v>
      </c>
      <c r="N14" s="109" t="s">
        <v>472</v>
      </c>
      <c r="O14" s="109" t="s">
        <v>473</v>
      </c>
      <c r="P14" s="109" t="s">
        <v>474</v>
      </c>
      <c r="Q14" s="109" t="s">
        <v>475</v>
      </c>
      <c r="R14" s="109" t="s">
        <v>476</v>
      </c>
      <c r="S14" s="109" t="s">
        <v>477</v>
      </c>
      <c r="T14" s="109" t="s">
        <v>478</v>
      </c>
      <c r="U14" s="109" t="s">
        <v>479</v>
      </c>
      <c r="V14" s="109" t="s">
        <v>480</v>
      </c>
      <c r="W14" s="109" t="s">
        <v>481</v>
      </c>
      <c r="X14" s="109" t="s">
        <v>482</v>
      </c>
      <c r="Y14" s="109" t="s">
        <v>483</v>
      </c>
      <c r="Z14" s="109" t="s">
        <v>484</v>
      </c>
      <c r="AA14" s="109" t="s">
        <v>485</v>
      </c>
      <c r="AB14" s="109" t="s">
        <v>486</v>
      </c>
      <c r="AC14" s="109" t="s">
        <v>487</v>
      </c>
      <c r="AD14" s="109" t="s">
        <v>488</v>
      </c>
      <c r="AE14" s="109" t="s">
        <v>489</v>
      </c>
      <c r="AF14" s="109" t="s">
        <v>490</v>
      </c>
      <c r="AG14" s="109" t="s">
        <v>491</v>
      </c>
      <c r="AH14" s="109" t="s">
        <v>492</v>
      </c>
      <c r="AI14" s="109" t="s">
        <v>493</v>
      </c>
      <c r="AJ14" s="109" t="s">
        <v>494</v>
      </c>
      <c r="AK14" s="109" t="s">
        <v>495</v>
      </c>
      <c r="AL14" s="109" t="s">
        <v>496</v>
      </c>
      <c r="AM14" s="109" t="s">
        <v>497</v>
      </c>
      <c r="AN14" s="109" t="s">
        <v>498</v>
      </c>
      <c r="AO14" s="109" t="s">
        <v>499</v>
      </c>
      <c r="AP14" s="109" t="s">
        <v>500</v>
      </c>
      <c r="AQ14" s="109" t="s">
        <v>501</v>
      </c>
      <c r="AR14" s="109" t="s">
        <v>382</v>
      </c>
      <c r="AS14" s="109" t="s">
        <v>502</v>
      </c>
    </row>
    <row r="15" spans="1:45">
      <c r="A15" s="41" t="s">
        <v>458</v>
      </c>
      <c r="B15" s="41" t="s">
        <v>459</v>
      </c>
      <c r="C15" s="41" t="s">
        <v>34</v>
      </c>
      <c r="D15" s="41" t="s">
        <v>459</v>
      </c>
      <c r="E15" s="41" t="s">
        <v>459</v>
      </c>
      <c r="F15" s="41" t="s">
        <v>459</v>
      </c>
      <c r="G15" s="41" t="s">
        <v>459</v>
      </c>
      <c r="H15" s="41" t="s">
        <v>459</v>
      </c>
      <c r="I15" s="41" t="s">
        <v>459</v>
      </c>
      <c r="J15" s="41" t="s">
        <v>459</v>
      </c>
      <c r="K15" s="41" t="s">
        <v>459</v>
      </c>
      <c r="L15" s="41" t="s">
        <v>459</v>
      </c>
      <c r="M15" s="41" t="s">
        <v>459</v>
      </c>
      <c r="N15" s="41" t="s">
        <v>459</v>
      </c>
      <c r="O15" s="41" t="s">
        <v>459</v>
      </c>
      <c r="P15" s="111" t="s">
        <v>144</v>
      </c>
      <c r="Q15" s="41" t="s">
        <v>459</v>
      </c>
      <c r="R15" s="41" t="s">
        <v>459</v>
      </c>
      <c r="S15" s="41" t="s">
        <v>459</v>
      </c>
      <c r="T15" s="41" t="s">
        <v>459</v>
      </c>
      <c r="U15" s="111" t="s">
        <v>90</v>
      </c>
      <c r="V15" s="41" t="s">
        <v>459</v>
      </c>
      <c r="W15" s="111" t="s">
        <v>90</v>
      </c>
      <c r="X15" s="41" t="s">
        <v>459</v>
      </c>
      <c r="Y15" s="111" t="s">
        <v>34</v>
      </c>
      <c r="Z15" s="41" t="s">
        <v>459</v>
      </c>
      <c r="AA15" s="41" t="s">
        <v>459</v>
      </c>
      <c r="AB15" s="41" t="s">
        <v>459</v>
      </c>
      <c r="AC15" s="41" t="s">
        <v>459</v>
      </c>
      <c r="AD15" s="111" t="s">
        <v>144</v>
      </c>
      <c r="AE15" s="41" t="s">
        <v>459</v>
      </c>
      <c r="AF15" s="41" t="s">
        <v>459</v>
      </c>
      <c r="AG15" s="41" t="s">
        <v>459</v>
      </c>
      <c r="AH15" s="41" t="s">
        <v>459</v>
      </c>
      <c r="AI15" s="41" t="s">
        <v>459</v>
      </c>
      <c r="AJ15" s="41" t="s">
        <v>459</v>
      </c>
      <c r="AK15" s="41" t="s">
        <v>459</v>
      </c>
      <c r="AL15" s="41" t="s">
        <v>459</v>
      </c>
      <c r="AM15" s="41" t="s">
        <v>459</v>
      </c>
      <c r="AN15" s="41" t="s">
        <v>459</v>
      </c>
      <c r="AO15" s="41" t="s">
        <v>459</v>
      </c>
      <c r="AP15" s="41" t="s">
        <v>459</v>
      </c>
      <c r="AQ15" s="41" t="s">
        <v>459</v>
      </c>
      <c r="AR15" s="41" t="s">
        <v>34</v>
      </c>
      <c r="AS15" s="41" t="s">
        <v>459</v>
      </c>
    </row>
    <row r="16" spans="1:45">
      <c r="A16" s="82" t="s">
        <v>724</v>
      </c>
      <c r="B16" s="82" t="s">
        <v>455</v>
      </c>
      <c r="C16" s="82" t="s">
        <v>503</v>
      </c>
      <c r="D16" s="82" t="s">
        <v>504</v>
      </c>
      <c r="E16" s="82" t="s">
        <v>505</v>
      </c>
      <c r="F16" s="128" t="s">
        <v>506</v>
      </c>
      <c r="G16" s="128" t="s">
        <v>507</v>
      </c>
      <c r="H16" s="128" t="s">
        <v>508</v>
      </c>
      <c r="I16" s="128" t="s">
        <v>509</v>
      </c>
      <c r="J16" s="128" t="s">
        <v>510</v>
      </c>
      <c r="K16" s="128" t="s">
        <v>511</v>
      </c>
      <c r="L16" s="128" t="s">
        <v>512</v>
      </c>
      <c r="M16" s="128" t="s">
        <v>513</v>
      </c>
      <c r="N16" s="128" t="s">
        <v>514</v>
      </c>
      <c r="O16" s="128" t="s">
        <v>515</v>
      </c>
      <c r="P16" s="128" t="s">
        <v>516</v>
      </c>
      <c r="Q16" s="128" t="s">
        <v>517</v>
      </c>
      <c r="R16" s="128" t="s">
        <v>518</v>
      </c>
      <c r="S16" s="128" t="s">
        <v>519</v>
      </c>
      <c r="T16" s="128" t="s">
        <v>520</v>
      </c>
      <c r="U16" s="128" t="s">
        <v>521</v>
      </c>
      <c r="V16" s="128" t="s">
        <v>522</v>
      </c>
      <c r="W16" s="128" t="s">
        <v>523</v>
      </c>
      <c r="X16" s="128" t="s">
        <v>524</v>
      </c>
      <c r="Y16" s="128" t="s">
        <v>525</v>
      </c>
      <c r="Z16" s="128" t="s">
        <v>526</v>
      </c>
      <c r="AA16" s="128" t="s">
        <v>527</v>
      </c>
      <c r="AB16" s="128" t="s">
        <v>528</v>
      </c>
      <c r="AC16" s="128" t="s">
        <v>529</v>
      </c>
      <c r="AD16" s="128" t="s">
        <v>530</v>
      </c>
      <c r="AE16" s="128" t="s">
        <v>531</v>
      </c>
      <c r="AF16" s="128" t="s">
        <v>532</v>
      </c>
      <c r="AG16" s="128" t="s">
        <v>533</v>
      </c>
      <c r="AH16" s="128" t="s">
        <v>534</v>
      </c>
      <c r="AI16" s="128" t="s">
        <v>535</v>
      </c>
      <c r="AJ16" s="128" t="s">
        <v>536</v>
      </c>
      <c r="AK16" s="128" t="s">
        <v>537</v>
      </c>
      <c r="AL16" s="128" t="s">
        <v>538</v>
      </c>
      <c r="AM16" s="128" t="s">
        <v>539</v>
      </c>
      <c r="AN16" s="128" t="s">
        <v>540</v>
      </c>
      <c r="AO16" s="128" t="s">
        <v>541</v>
      </c>
      <c r="AP16" s="128" t="s">
        <v>542</v>
      </c>
      <c r="AQ16" s="128" t="s">
        <v>543</v>
      </c>
      <c r="AR16" s="128" t="s">
        <v>544</v>
      </c>
      <c r="AS16" s="128" t="s">
        <v>545</v>
      </c>
    </row>
    <row r="17" spans="1:45">
      <c r="A17" s="125" t="s">
        <v>830</v>
      </c>
      <c r="B17" s="126">
        <v>200</v>
      </c>
      <c r="C17" s="126">
        <v>600</v>
      </c>
      <c r="D17" s="126">
        <v>770</v>
      </c>
      <c r="E17" s="126">
        <v>750</v>
      </c>
      <c r="F17" s="126">
        <v>250</v>
      </c>
      <c r="G17" s="126">
        <v>350</v>
      </c>
      <c r="H17" s="126">
        <v>300</v>
      </c>
      <c r="I17" s="126">
        <v>500</v>
      </c>
      <c r="J17" s="126">
        <v>600</v>
      </c>
      <c r="K17" s="126">
        <v>800</v>
      </c>
      <c r="L17" s="126">
        <v>400</v>
      </c>
      <c r="M17" s="126">
        <v>850</v>
      </c>
      <c r="N17" s="126">
        <v>770</v>
      </c>
      <c r="O17" s="126">
        <v>800</v>
      </c>
      <c r="P17" s="126">
        <v>750</v>
      </c>
      <c r="Q17" s="126">
        <v>400</v>
      </c>
      <c r="R17" s="126">
        <v>500</v>
      </c>
      <c r="S17" s="126">
        <v>1020</v>
      </c>
      <c r="T17" s="126">
        <v>800</v>
      </c>
      <c r="U17" s="126">
        <v>670</v>
      </c>
      <c r="V17" s="126">
        <v>700</v>
      </c>
      <c r="W17" s="126">
        <v>200</v>
      </c>
      <c r="X17" s="126">
        <v>400</v>
      </c>
      <c r="Y17" s="126">
        <v>900</v>
      </c>
      <c r="Z17" s="126">
        <v>400</v>
      </c>
      <c r="AA17" s="126">
        <v>750</v>
      </c>
      <c r="AB17" s="126">
        <v>600</v>
      </c>
      <c r="AC17" s="126">
        <v>250</v>
      </c>
      <c r="AD17" s="126">
        <v>1020</v>
      </c>
      <c r="AE17" s="126">
        <v>250</v>
      </c>
      <c r="AF17" s="126">
        <v>790</v>
      </c>
      <c r="AG17" s="126">
        <v>250</v>
      </c>
      <c r="AH17" s="126">
        <v>1020</v>
      </c>
      <c r="AI17" s="126">
        <v>500</v>
      </c>
      <c r="AJ17" s="126">
        <v>530</v>
      </c>
      <c r="AK17" s="126">
        <v>250</v>
      </c>
      <c r="AL17" s="126">
        <v>400</v>
      </c>
      <c r="AM17" s="126">
        <v>500</v>
      </c>
      <c r="AN17" s="126">
        <v>500</v>
      </c>
      <c r="AO17" s="126">
        <v>600</v>
      </c>
      <c r="AP17" s="126">
        <v>850</v>
      </c>
      <c r="AQ17" s="126">
        <v>1150</v>
      </c>
      <c r="AR17" s="126">
        <v>220</v>
      </c>
      <c r="AS17" s="127">
        <v>830</v>
      </c>
    </row>
    <row r="19" spans="1:45" s="123" customFormat="1" ht="34">
      <c r="A19" s="159" t="s">
        <v>138</v>
      </c>
      <c r="B19" s="160"/>
      <c r="C19" s="161"/>
      <c r="D19" s="161"/>
      <c r="E19" s="162"/>
      <c r="F19" s="162"/>
      <c r="G19" s="166"/>
      <c r="H19" s="162"/>
      <c r="I19" s="163" t="s">
        <v>853</v>
      </c>
      <c r="J19" s="162"/>
      <c r="K19" s="162"/>
      <c r="L19" s="162"/>
      <c r="M19" s="162"/>
      <c r="N19" s="162"/>
      <c r="O19" s="162"/>
      <c r="P19" s="163"/>
      <c r="Q19" s="163"/>
      <c r="R19" s="163"/>
      <c r="S19" s="163"/>
      <c r="T19" s="163"/>
      <c r="U19" s="163"/>
      <c r="V19" s="163"/>
      <c r="W19" s="163"/>
      <c r="X19" s="163"/>
      <c r="Y19" s="163"/>
      <c r="Z19" s="163"/>
      <c r="AA19" s="163"/>
      <c r="AB19" s="163"/>
      <c r="AC19" s="163" t="s">
        <v>846</v>
      </c>
      <c r="AD19" s="163"/>
      <c r="AE19" s="163"/>
      <c r="AF19" s="163"/>
      <c r="AG19" s="163"/>
      <c r="AH19" s="163"/>
      <c r="AI19" s="163"/>
      <c r="AJ19" s="163" t="s">
        <v>848</v>
      </c>
      <c r="AK19" s="163"/>
      <c r="AL19" s="164"/>
      <c r="AM19" s="164"/>
      <c r="AN19" s="164"/>
      <c r="AO19" s="163" t="s">
        <v>850</v>
      </c>
      <c r="AP19" s="164"/>
      <c r="AQ19" s="163" t="s">
        <v>936</v>
      </c>
      <c r="AR19" s="165" t="s">
        <v>8</v>
      </c>
      <c r="AS19" s="164"/>
    </row>
    <row r="23" spans="1:45">
      <c r="A23" s="1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74"/>
  <sheetViews>
    <sheetView tabSelected="1" workbookViewId="0">
      <pane xSplit="1" ySplit="1" topLeftCell="AO2" activePane="bottomRight" state="frozen"/>
      <selection pane="topRight" activeCell="B1" sqref="B1"/>
      <selection pane="bottomLeft" activeCell="A2" sqref="A2"/>
      <selection pane="bottomRight" activeCell="AQ17" sqref="AQ17"/>
    </sheetView>
  </sheetViews>
  <sheetFormatPr baseColWidth="10" defaultColWidth="11.1640625" defaultRowHeight="16"/>
  <cols>
    <col min="1" max="1" width="44.33203125" customWidth="1"/>
    <col min="2" max="2" width="42.1640625" bestFit="1" customWidth="1"/>
    <col min="3" max="3" width="56.33203125" customWidth="1"/>
    <col min="4" max="4" width="47.83203125" customWidth="1"/>
    <col min="5" max="5" width="59.33203125" customWidth="1"/>
    <col min="6" max="6" width="49.6640625" bestFit="1" customWidth="1"/>
    <col min="7" max="7" width="55.3320312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50" customWidth="1"/>
    <col min="16" max="16" width="36" bestFit="1" customWidth="1"/>
    <col min="17" max="17" width="47.33203125" bestFit="1" customWidth="1"/>
    <col min="18" max="18" width="60.83203125" customWidth="1"/>
    <col min="19" max="19" width="43.5" customWidth="1"/>
    <col min="20" max="20" width="49.1640625" customWidth="1"/>
    <col min="21" max="21" width="36" customWidth="1"/>
    <col min="22" max="22" width="34.83203125" customWidth="1"/>
    <col min="23" max="23" width="55.33203125" customWidth="1"/>
    <col min="24" max="24" width="43.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56.33203125" customWidth="1"/>
    <col min="33" max="33" width="44.5" bestFit="1" customWidth="1"/>
    <col min="34" max="34" width="58.832031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113" t="s">
        <v>546</v>
      </c>
    </row>
    <row r="3" spans="1:45" s="180" customFormat="1" ht="68">
      <c r="A3" s="151" t="s">
        <v>776</v>
      </c>
      <c r="B3" s="151" t="s">
        <v>750</v>
      </c>
      <c r="C3" s="151" t="s">
        <v>764</v>
      </c>
      <c r="D3" s="151" t="s">
        <v>751</v>
      </c>
      <c r="E3" s="151" t="s">
        <v>740</v>
      </c>
      <c r="F3" s="151" t="s">
        <v>749</v>
      </c>
      <c r="G3" s="151" t="s">
        <v>763</v>
      </c>
      <c r="H3" s="151" t="s">
        <v>748</v>
      </c>
      <c r="I3" s="151" t="s">
        <v>762</v>
      </c>
      <c r="J3" s="151" t="s">
        <v>742</v>
      </c>
      <c r="K3" s="151" t="s">
        <v>746</v>
      </c>
      <c r="L3" s="151" t="s">
        <v>742</v>
      </c>
      <c r="M3" s="151" t="s">
        <v>746</v>
      </c>
      <c r="N3" s="151" t="s">
        <v>761</v>
      </c>
      <c r="O3" s="151" t="s">
        <v>760</v>
      </c>
      <c r="P3" s="151" t="s">
        <v>753</v>
      </c>
      <c r="Q3" s="151" t="s">
        <v>755</v>
      </c>
      <c r="R3" s="151" t="s">
        <v>759</v>
      </c>
      <c r="S3" s="151" t="s">
        <v>766</v>
      </c>
      <c r="T3" s="151" t="s">
        <v>755</v>
      </c>
      <c r="U3" s="151" t="s">
        <v>770</v>
      </c>
      <c r="V3" s="151" t="s">
        <v>746</v>
      </c>
      <c r="W3" s="151" t="s">
        <v>772</v>
      </c>
      <c r="X3" s="151" t="s">
        <v>755</v>
      </c>
      <c r="Y3" s="151" t="s">
        <v>779</v>
      </c>
      <c r="Z3" s="151" t="s">
        <v>781</v>
      </c>
      <c r="AA3" s="151" t="s">
        <v>781</v>
      </c>
      <c r="AB3" s="151" t="s">
        <v>783</v>
      </c>
      <c r="AC3" s="151" t="s">
        <v>786</v>
      </c>
      <c r="AD3" s="151" t="s">
        <v>787</v>
      </c>
      <c r="AE3" s="151" t="s">
        <v>791</v>
      </c>
      <c r="AF3" s="151" t="s">
        <v>793</v>
      </c>
      <c r="AG3" s="151" t="s">
        <v>790</v>
      </c>
      <c r="AH3" s="151" t="s">
        <v>794</v>
      </c>
      <c r="AI3" s="151" t="s">
        <v>795</v>
      </c>
      <c r="AJ3" s="151" t="s">
        <v>797</v>
      </c>
      <c r="AK3" s="151" t="s">
        <v>798</v>
      </c>
      <c r="AL3" s="151" t="s">
        <v>800</v>
      </c>
      <c r="AM3" s="151" t="s">
        <v>803</v>
      </c>
      <c r="AN3" s="151" t="s">
        <v>804</v>
      </c>
      <c r="AO3" s="151" t="s">
        <v>805</v>
      </c>
      <c r="AP3" s="151" t="s">
        <v>768</v>
      </c>
      <c r="AQ3" s="151" t="s">
        <v>808</v>
      </c>
      <c r="AR3" s="151" t="s">
        <v>807</v>
      </c>
      <c r="AS3" s="151" t="s">
        <v>809</v>
      </c>
    </row>
    <row r="4" spans="1:45" s="123" customFormat="1" ht="99" customHeight="1">
      <c r="A4" s="152" t="s">
        <v>6</v>
      </c>
      <c r="B4" s="153" t="s">
        <v>739</v>
      </c>
      <c r="C4" s="153" t="s">
        <v>734</v>
      </c>
      <c r="D4" s="153" t="s">
        <v>735</v>
      </c>
      <c r="E4" s="153" t="s">
        <v>738</v>
      </c>
      <c r="F4" s="153" t="s">
        <v>737</v>
      </c>
      <c r="G4" s="153" t="s">
        <v>812</v>
      </c>
      <c r="H4" s="153" t="s">
        <v>813</v>
      </c>
      <c r="I4" s="153" t="s">
        <v>814</v>
      </c>
      <c r="J4" s="153" t="s">
        <v>743</v>
      </c>
      <c r="K4" s="153" t="s">
        <v>745</v>
      </c>
      <c r="L4" s="153" t="s">
        <v>747</v>
      </c>
      <c r="M4" s="153" t="s">
        <v>128</v>
      </c>
      <c r="N4" s="153" t="s">
        <v>815</v>
      </c>
      <c r="O4" s="153" t="s">
        <v>816</v>
      </c>
      <c r="P4" s="153" t="s">
        <v>752</v>
      </c>
      <c r="Q4" s="153" t="s">
        <v>756</v>
      </c>
      <c r="R4" s="153" t="s">
        <v>817</v>
      </c>
      <c r="S4" s="153" t="s">
        <v>765</v>
      </c>
      <c r="T4" s="153" t="s">
        <v>767</v>
      </c>
      <c r="U4" s="153" t="s">
        <v>769</v>
      </c>
      <c r="V4" s="153" t="s">
        <v>771</v>
      </c>
      <c r="W4" s="153" t="s">
        <v>773</v>
      </c>
      <c r="X4" s="153" t="s">
        <v>777</v>
      </c>
      <c r="Y4" s="153" t="s">
        <v>778</v>
      </c>
      <c r="Z4" s="153" t="s">
        <v>780</v>
      </c>
      <c r="AA4" s="153" t="s">
        <v>782</v>
      </c>
      <c r="AB4" s="153" t="s">
        <v>784</v>
      </c>
      <c r="AC4" s="153" t="s">
        <v>785</v>
      </c>
      <c r="AD4" s="153" t="s">
        <v>788</v>
      </c>
      <c r="AE4" s="153" t="s">
        <v>792</v>
      </c>
      <c r="AF4" s="153" t="s">
        <v>818</v>
      </c>
      <c r="AG4" s="153" t="s">
        <v>789</v>
      </c>
      <c r="AH4" s="153" t="s">
        <v>229</v>
      </c>
      <c r="AI4" s="153" t="s">
        <v>819</v>
      </c>
      <c r="AJ4" s="153" t="s">
        <v>240</v>
      </c>
      <c r="AK4" s="153" t="s">
        <v>799</v>
      </c>
      <c r="AL4" s="153" t="s">
        <v>801</v>
      </c>
      <c r="AM4" s="153" t="s">
        <v>802</v>
      </c>
      <c r="AN4" s="153" t="s">
        <v>820</v>
      </c>
      <c r="AO4" s="153" t="s">
        <v>821</v>
      </c>
      <c r="AP4" s="153" t="s">
        <v>806</v>
      </c>
      <c r="AQ4" s="154" t="s">
        <v>282</v>
      </c>
      <c r="AR4" s="154" t="s">
        <v>285</v>
      </c>
      <c r="AS4" s="153" t="s">
        <v>822</v>
      </c>
    </row>
    <row r="5" spans="1:45">
      <c r="A5" s="109" t="s">
        <v>708</v>
      </c>
      <c r="B5" s="109" t="s">
        <v>547</v>
      </c>
      <c r="C5" s="124" t="s">
        <v>551</v>
      </c>
      <c r="D5" s="141" t="s">
        <v>554</v>
      </c>
      <c r="E5" s="109" t="s">
        <v>557</v>
      </c>
      <c r="F5" s="109" t="s">
        <v>560</v>
      </c>
      <c r="G5" s="109" t="s">
        <v>563</v>
      </c>
      <c r="H5" s="109" t="s">
        <v>566</v>
      </c>
      <c r="I5" s="109" t="s">
        <v>569</v>
      </c>
      <c r="J5" s="109" t="s">
        <v>572</v>
      </c>
      <c r="K5" s="109" t="s">
        <v>575</v>
      </c>
      <c r="L5" s="109" t="s">
        <v>578</v>
      </c>
      <c r="M5" s="109" t="s">
        <v>581</v>
      </c>
      <c r="N5" s="109" t="s">
        <v>584</v>
      </c>
      <c r="O5" s="109" t="s">
        <v>587</v>
      </c>
      <c r="P5" s="109" t="s">
        <v>590</v>
      </c>
      <c r="Q5" s="109" t="s">
        <v>593</v>
      </c>
      <c r="R5" s="109" t="s">
        <v>596</v>
      </c>
      <c r="S5" s="109" t="s">
        <v>599</v>
      </c>
      <c r="T5" s="109" t="s">
        <v>602</v>
      </c>
      <c r="U5" s="109" t="s">
        <v>605</v>
      </c>
      <c r="V5" s="109" t="s">
        <v>608</v>
      </c>
      <c r="W5" s="109" t="s">
        <v>611</v>
      </c>
      <c r="X5" s="109" t="s">
        <v>614</v>
      </c>
      <c r="Y5" s="109" t="s">
        <v>617</v>
      </c>
      <c r="Z5" s="109" t="s">
        <v>620</v>
      </c>
      <c r="AA5" s="109" t="s">
        <v>623</v>
      </c>
      <c r="AB5" s="109" t="s">
        <v>626</v>
      </c>
      <c r="AC5" s="109" t="s">
        <v>629</v>
      </c>
      <c r="AD5" s="109" t="s">
        <v>632</v>
      </c>
      <c r="AE5" s="109" t="s">
        <v>635</v>
      </c>
      <c r="AF5" s="109" t="s">
        <v>638</v>
      </c>
      <c r="AG5" s="109" t="s">
        <v>641</v>
      </c>
      <c r="AH5" s="109" t="s">
        <v>644</v>
      </c>
      <c r="AI5" s="109" t="s">
        <v>647</v>
      </c>
      <c r="AJ5" s="109" t="s">
        <v>650</v>
      </c>
      <c r="AK5" s="109" t="s">
        <v>653</v>
      </c>
      <c r="AL5" s="109" t="s">
        <v>656</v>
      </c>
      <c r="AM5" s="109" t="s">
        <v>659</v>
      </c>
      <c r="AN5" s="109" t="s">
        <v>662</v>
      </c>
      <c r="AO5" s="109" t="s">
        <v>665</v>
      </c>
      <c r="AP5" s="109" t="s">
        <v>668</v>
      </c>
      <c r="AQ5" s="109" t="s">
        <v>671</v>
      </c>
      <c r="AR5" s="109" t="s">
        <v>382</v>
      </c>
      <c r="AS5" s="109" t="s">
        <v>674</v>
      </c>
    </row>
    <row r="6" spans="1:45">
      <c r="A6" s="41" t="s">
        <v>40</v>
      </c>
      <c r="B6" s="94" t="s">
        <v>34</v>
      </c>
      <c r="C6" s="94" t="s">
        <v>34</v>
      </c>
      <c r="D6" s="136" t="s">
        <v>34</v>
      </c>
      <c r="E6" s="94" t="s">
        <v>90</v>
      </c>
      <c r="F6" s="94" t="s">
        <v>35</v>
      </c>
      <c r="G6" s="94" t="s">
        <v>34</v>
      </c>
      <c r="H6" s="94" t="s">
        <v>90</v>
      </c>
      <c r="I6" s="94" t="s">
        <v>34</v>
      </c>
      <c r="J6" s="94" t="s">
        <v>34</v>
      </c>
      <c r="K6" s="94" t="s">
        <v>90</v>
      </c>
      <c r="L6" s="94" t="s">
        <v>34</v>
      </c>
      <c r="M6" s="94" t="s">
        <v>90</v>
      </c>
      <c r="N6" s="94" t="s">
        <v>90</v>
      </c>
      <c r="O6" s="94" t="s">
        <v>90</v>
      </c>
      <c r="P6" s="94" t="s">
        <v>144</v>
      </c>
      <c r="Q6" s="94" t="s">
        <v>35</v>
      </c>
      <c r="R6" s="94" t="s">
        <v>34</v>
      </c>
      <c r="S6" s="94" t="s">
        <v>34</v>
      </c>
      <c r="T6" s="94" t="s">
        <v>34</v>
      </c>
      <c r="U6" s="94" t="s">
        <v>144</v>
      </c>
      <c r="V6" s="94" t="s">
        <v>35</v>
      </c>
      <c r="W6" s="94" t="s">
        <v>90</v>
      </c>
      <c r="X6" s="94" t="s">
        <v>34</v>
      </c>
      <c r="Y6" s="94" t="s">
        <v>34</v>
      </c>
      <c r="Z6" s="94" t="s">
        <v>34</v>
      </c>
      <c r="AA6" s="94" t="s">
        <v>90</v>
      </c>
      <c r="AB6" s="94" t="s">
        <v>34</v>
      </c>
      <c r="AC6" s="94" t="s">
        <v>34</v>
      </c>
      <c r="AD6" s="94" t="s">
        <v>144</v>
      </c>
      <c r="AE6" s="94" t="s">
        <v>34</v>
      </c>
      <c r="AF6" s="94" t="s">
        <v>34</v>
      </c>
      <c r="AG6" s="94" t="s">
        <v>34</v>
      </c>
      <c r="AH6" s="94" t="s">
        <v>34</v>
      </c>
      <c r="AI6" s="94" t="s">
        <v>34</v>
      </c>
      <c r="AJ6" s="94" t="s">
        <v>35</v>
      </c>
      <c r="AK6" s="94" t="s">
        <v>34</v>
      </c>
      <c r="AL6" s="94" t="s">
        <v>90</v>
      </c>
      <c r="AM6" s="94" t="s">
        <v>90</v>
      </c>
      <c r="AN6" s="94" t="s">
        <v>90</v>
      </c>
      <c r="AO6" s="94" t="s">
        <v>34</v>
      </c>
      <c r="AP6" s="94" t="s">
        <v>90</v>
      </c>
      <c r="AQ6" s="94" t="s">
        <v>34</v>
      </c>
      <c r="AR6" s="94" t="s">
        <v>34</v>
      </c>
      <c r="AS6" s="94" t="s">
        <v>34</v>
      </c>
    </row>
    <row r="7" spans="1:45">
      <c r="A7" s="128" t="s">
        <v>4</v>
      </c>
      <c r="B7" s="131" t="s">
        <v>548</v>
      </c>
      <c r="C7" s="131" t="s">
        <v>552</v>
      </c>
      <c r="D7" s="128" t="s">
        <v>555</v>
      </c>
      <c r="E7" s="131" t="s">
        <v>558</v>
      </c>
      <c r="F7" s="129" t="s">
        <v>561</v>
      </c>
      <c r="G7" s="129" t="s">
        <v>564</v>
      </c>
      <c r="H7" s="129" t="s">
        <v>567</v>
      </c>
      <c r="I7" s="129" t="s">
        <v>570</v>
      </c>
      <c r="J7" s="129" t="s">
        <v>573</v>
      </c>
      <c r="K7" s="129" t="s">
        <v>576</v>
      </c>
      <c r="L7" s="129" t="s">
        <v>579</v>
      </c>
      <c r="M7" s="129" t="s">
        <v>582</v>
      </c>
      <c r="N7" s="129" t="s">
        <v>585</v>
      </c>
      <c r="O7" s="129" t="s">
        <v>588</v>
      </c>
      <c r="P7" s="129" t="s">
        <v>591</v>
      </c>
      <c r="Q7" s="129" t="s">
        <v>594</v>
      </c>
      <c r="R7" s="129" t="s">
        <v>597</v>
      </c>
      <c r="S7" s="129" t="s">
        <v>600</v>
      </c>
      <c r="T7" s="129" t="s">
        <v>603</v>
      </c>
      <c r="U7" s="129" t="s">
        <v>606</v>
      </c>
      <c r="V7" s="129" t="s">
        <v>609</v>
      </c>
      <c r="W7" s="129" t="s">
        <v>612</v>
      </c>
      <c r="X7" s="129" t="s">
        <v>615</v>
      </c>
      <c r="Y7" s="129" t="s">
        <v>618</v>
      </c>
      <c r="Z7" s="129" t="s">
        <v>621</v>
      </c>
      <c r="AA7" s="129" t="s">
        <v>624</v>
      </c>
      <c r="AB7" s="129" t="s">
        <v>627</v>
      </c>
      <c r="AC7" s="129" t="s">
        <v>630</v>
      </c>
      <c r="AD7" s="129" t="s">
        <v>633</v>
      </c>
      <c r="AE7" s="129" t="s">
        <v>636</v>
      </c>
      <c r="AF7" s="129" t="s">
        <v>639</v>
      </c>
      <c r="AG7" s="129" t="s">
        <v>642</v>
      </c>
      <c r="AH7" s="129" t="s">
        <v>645</v>
      </c>
      <c r="AI7" s="129" t="s">
        <v>648</v>
      </c>
      <c r="AJ7" s="129" t="s">
        <v>651</v>
      </c>
      <c r="AK7" s="129" t="s">
        <v>654</v>
      </c>
      <c r="AL7" s="129" t="s">
        <v>657</v>
      </c>
      <c r="AM7" s="129" t="s">
        <v>660</v>
      </c>
      <c r="AN7" s="129" t="s">
        <v>663</v>
      </c>
      <c r="AO7" s="129" t="s">
        <v>666</v>
      </c>
      <c r="AP7" s="129" t="s">
        <v>669</v>
      </c>
      <c r="AQ7" s="129" t="s">
        <v>672</v>
      </c>
      <c r="AR7" s="129" t="s">
        <v>677</v>
      </c>
      <c r="AS7" s="129" t="s">
        <v>675</v>
      </c>
    </row>
    <row r="8" spans="1:45">
      <c r="A8" s="6" t="s">
        <v>549</v>
      </c>
      <c r="B8" s="6" t="s">
        <v>550</v>
      </c>
      <c r="C8" s="137" t="s">
        <v>553</v>
      </c>
      <c r="D8" s="9" t="s">
        <v>556</v>
      </c>
      <c r="E8" s="9" t="s">
        <v>559</v>
      </c>
      <c r="F8" s="9" t="s">
        <v>562</v>
      </c>
      <c r="G8" s="9" t="s">
        <v>565</v>
      </c>
      <c r="H8" s="9" t="s">
        <v>568</v>
      </c>
      <c r="I8" s="9" t="s">
        <v>571</v>
      </c>
      <c r="J8" s="9" t="s">
        <v>574</v>
      </c>
      <c r="K8" s="9" t="s">
        <v>577</v>
      </c>
      <c r="L8" s="9" t="s">
        <v>580</v>
      </c>
      <c r="M8" s="9" t="s">
        <v>583</v>
      </c>
      <c r="N8" s="9" t="s">
        <v>586</v>
      </c>
      <c r="O8" s="9" t="s">
        <v>589</v>
      </c>
      <c r="P8" s="9" t="s">
        <v>592</v>
      </c>
      <c r="Q8" s="9" t="s">
        <v>595</v>
      </c>
      <c r="R8" s="9" t="s">
        <v>598</v>
      </c>
      <c r="S8" s="9" t="s">
        <v>601</v>
      </c>
      <c r="T8" s="9" t="s">
        <v>604</v>
      </c>
      <c r="U8" s="9" t="s">
        <v>607</v>
      </c>
      <c r="V8" s="9" t="s">
        <v>610</v>
      </c>
      <c r="W8" s="9" t="s">
        <v>613</v>
      </c>
      <c r="X8" s="9" t="s">
        <v>616</v>
      </c>
      <c r="Y8" s="9" t="s">
        <v>619</v>
      </c>
      <c r="Z8" s="9" t="s">
        <v>622</v>
      </c>
      <c r="AA8" s="9" t="s">
        <v>625</v>
      </c>
      <c r="AB8" s="9" t="s">
        <v>628</v>
      </c>
      <c r="AC8" s="9" t="s">
        <v>631</v>
      </c>
      <c r="AD8" s="9" t="s">
        <v>634</v>
      </c>
      <c r="AE8" s="9" t="s">
        <v>637</v>
      </c>
      <c r="AF8" s="9" t="s">
        <v>640</v>
      </c>
      <c r="AG8" s="9" t="s">
        <v>643</v>
      </c>
      <c r="AH8" s="9" t="s">
        <v>646</v>
      </c>
      <c r="AI8" s="9" t="s">
        <v>649</v>
      </c>
      <c r="AJ8" s="9" t="s">
        <v>652</v>
      </c>
      <c r="AK8" s="9" t="s">
        <v>655</v>
      </c>
      <c r="AL8" s="9" t="s">
        <v>658</v>
      </c>
      <c r="AM8" s="9" t="s">
        <v>661</v>
      </c>
      <c r="AN8" s="9" t="s">
        <v>664</v>
      </c>
      <c r="AO8" s="9" t="s">
        <v>667</v>
      </c>
      <c r="AP8" s="9" t="s">
        <v>670</v>
      </c>
      <c r="AQ8" s="9" t="s">
        <v>673</v>
      </c>
      <c r="AR8" s="9" t="s">
        <v>678</v>
      </c>
      <c r="AS8" s="9" t="s">
        <v>676</v>
      </c>
    </row>
    <row r="9" spans="1:45">
      <c r="A9" s="155" t="s">
        <v>833</v>
      </c>
      <c r="B9" s="57">
        <v>400</v>
      </c>
      <c r="C9" s="57">
        <v>1200</v>
      </c>
      <c r="D9" s="57">
        <v>1550</v>
      </c>
      <c r="E9" s="57">
        <v>1500</v>
      </c>
      <c r="F9" s="57">
        <v>500</v>
      </c>
      <c r="G9" s="57">
        <v>700</v>
      </c>
      <c r="H9" s="57">
        <v>600</v>
      </c>
      <c r="I9" s="57">
        <v>1000</v>
      </c>
      <c r="J9" s="57">
        <v>1200</v>
      </c>
      <c r="K9" s="57">
        <v>1600</v>
      </c>
      <c r="L9" s="57">
        <v>800</v>
      </c>
      <c r="M9" s="57">
        <v>1700</v>
      </c>
      <c r="N9" s="57">
        <v>1550</v>
      </c>
      <c r="O9" s="57">
        <v>1600</v>
      </c>
      <c r="P9" s="57">
        <v>1500</v>
      </c>
      <c r="Q9" s="57">
        <v>800</v>
      </c>
      <c r="R9" s="57">
        <v>1000</v>
      </c>
      <c r="S9" s="57">
        <v>2050</v>
      </c>
      <c r="T9" s="57">
        <v>1600</v>
      </c>
      <c r="U9" s="57">
        <v>1350</v>
      </c>
      <c r="V9" s="57">
        <v>1400</v>
      </c>
      <c r="W9" s="57">
        <v>400</v>
      </c>
      <c r="X9" s="57">
        <v>800</v>
      </c>
      <c r="Y9" s="57">
        <v>1800</v>
      </c>
      <c r="Z9" s="57">
        <v>800</v>
      </c>
      <c r="AA9" s="57">
        <v>1500</v>
      </c>
      <c r="AB9" s="57">
        <v>1200</v>
      </c>
      <c r="AC9" s="57">
        <v>500</v>
      </c>
      <c r="AD9" s="57">
        <v>2050</v>
      </c>
      <c r="AE9" s="57">
        <v>500</v>
      </c>
      <c r="AF9" s="57">
        <v>1580</v>
      </c>
      <c r="AG9" s="57">
        <v>500</v>
      </c>
      <c r="AH9" s="57">
        <v>2050</v>
      </c>
      <c r="AI9" s="57">
        <v>1000</v>
      </c>
      <c r="AJ9" s="57">
        <v>1060</v>
      </c>
      <c r="AK9" s="57">
        <v>500</v>
      </c>
      <c r="AL9" s="57">
        <v>800</v>
      </c>
      <c r="AM9" s="57">
        <v>1000</v>
      </c>
      <c r="AN9" s="57">
        <v>1000</v>
      </c>
      <c r="AO9" s="57">
        <v>1200</v>
      </c>
      <c r="AP9" s="57">
        <v>1700</v>
      </c>
      <c r="AQ9" s="57">
        <v>1900</v>
      </c>
      <c r="AR9" s="57">
        <v>450</v>
      </c>
      <c r="AS9" s="57">
        <v>1670</v>
      </c>
    </row>
    <row r="10" spans="1:45">
      <c r="A10" s="130" t="s">
        <v>832</v>
      </c>
      <c r="B10" s="34">
        <v>300</v>
      </c>
      <c r="C10" s="34">
        <v>900</v>
      </c>
      <c r="D10" s="34">
        <v>1160</v>
      </c>
      <c r="E10" s="34">
        <v>1120</v>
      </c>
      <c r="F10" s="34">
        <v>370</v>
      </c>
      <c r="G10" s="34">
        <v>520</v>
      </c>
      <c r="H10" s="34">
        <v>450</v>
      </c>
      <c r="I10" s="34">
        <v>750</v>
      </c>
      <c r="J10" s="34">
        <v>900</v>
      </c>
      <c r="K10" s="34">
        <v>1200</v>
      </c>
      <c r="L10" s="34">
        <v>600</v>
      </c>
      <c r="M10" s="34">
        <v>1270</v>
      </c>
      <c r="N10" s="34">
        <v>1160</v>
      </c>
      <c r="O10" s="34">
        <v>1200</v>
      </c>
      <c r="P10" s="34">
        <v>1120</v>
      </c>
      <c r="Q10" s="34">
        <v>760</v>
      </c>
      <c r="R10" s="34">
        <v>750</v>
      </c>
      <c r="S10" s="34">
        <v>1530</v>
      </c>
      <c r="T10" s="34">
        <v>1200</v>
      </c>
      <c r="U10" s="34">
        <v>1010</v>
      </c>
      <c r="V10" s="34">
        <v>1050</v>
      </c>
      <c r="W10" s="34">
        <v>300</v>
      </c>
      <c r="X10" s="34">
        <v>600</v>
      </c>
      <c r="Y10" s="34">
        <v>1350</v>
      </c>
      <c r="Z10" s="34">
        <v>600</v>
      </c>
      <c r="AA10" s="34">
        <v>1120</v>
      </c>
      <c r="AB10" s="34">
        <v>900</v>
      </c>
      <c r="AC10" s="34">
        <v>370</v>
      </c>
      <c r="AD10" s="34">
        <v>1530</v>
      </c>
      <c r="AE10" s="34">
        <v>370</v>
      </c>
      <c r="AF10" s="34">
        <v>1180</v>
      </c>
      <c r="AG10" s="34">
        <v>370</v>
      </c>
      <c r="AH10" s="34">
        <v>1530</v>
      </c>
      <c r="AI10" s="34">
        <v>750</v>
      </c>
      <c r="AJ10" s="34">
        <v>790</v>
      </c>
      <c r="AK10" s="34">
        <v>370</v>
      </c>
      <c r="AL10" s="34">
        <v>600</v>
      </c>
      <c r="AM10" s="34">
        <v>750</v>
      </c>
      <c r="AN10" s="34">
        <v>750</v>
      </c>
      <c r="AO10" s="34">
        <v>900</v>
      </c>
      <c r="AP10" s="34">
        <v>1270</v>
      </c>
      <c r="AQ10" s="34">
        <v>1420</v>
      </c>
      <c r="AR10" s="34">
        <v>450</v>
      </c>
      <c r="AS10" s="34">
        <v>1250</v>
      </c>
    </row>
    <row r="11" spans="1:45">
      <c r="A11" s="156" t="s">
        <v>831</v>
      </c>
      <c r="B11" s="101">
        <v>420</v>
      </c>
      <c r="C11" s="101">
        <v>1260</v>
      </c>
      <c r="D11" s="101">
        <v>1620</v>
      </c>
      <c r="E11" s="101">
        <v>1570</v>
      </c>
      <c r="F11" s="101">
        <v>520</v>
      </c>
      <c r="G11" s="101">
        <v>730</v>
      </c>
      <c r="H11" s="101">
        <v>630</v>
      </c>
      <c r="I11" s="101">
        <v>1050</v>
      </c>
      <c r="J11" s="101">
        <v>1260</v>
      </c>
      <c r="K11" s="101">
        <v>1680</v>
      </c>
      <c r="L11" s="101">
        <v>840</v>
      </c>
      <c r="M11" s="101">
        <v>1780</v>
      </c>
      <c r="N11" s="101">
        <v>1620</v>
      </c>
      <c r="O11" s="101">
        <v>1680</v>
      </c>
      <c r="P11" s="101">
        <v>1570</v>
      </c>
      <c r="Q11" s="101">
        <v>900</v>
      </c>
      <c r="R11" s="101">
        <v>1050</v>
      </c>
      <c r="S11" s="101">
        <v>2150</v>
      </c>
      <c r="T11" s="101">
        <v>1680</v>
      </c>
      <c r="U11" s="101">
        <v>1410</v>
      </c>
      <c r="V11" s="101">
        <v>1470</v>
      </c>
      <c r="W11" s="101">
        <v>420</v>
      </c>
      <c r="X11" s="101">
        <v>840</v>
      </c>
      <c r="Y11" s="101">
        <v>1890</v>
      </c>
      <c r="Z11" s="101">
        <v>840</v>
      </c>
      <c r="AA11" s="101">
        <v>1570</v>
      </c>
      <c r="AB11" s="101">
        <v>1260</v>
      </c>
      <c r="AC11" s="101">
        <v>520</v>
      </c>
      <c r="AD11" s="101">
        <v>2150</v>
      </c>
      <c r="AE11" s="101">
        <v>520</v>
      </c>
      <c r="AF11" s="101">
        <v>1650</v>
      </c>
      <c r="AG11" s="101">
        <v>520</v>
      </c>
      <c r="AH11" s="101">
        <v>2150</v>
      </c>
      <c r="AI11" s="101">
        <v>1050</v>
      </c>
      <c r="AJ11" s="101">
        <v>1110</v>
      </c>
      <c r="AK11" s="101">
        <v>520</v>
      </c>
      <c r="AL11" s="101">
        <v>840</v>
      </c>
      <c r="AM11" s="101">
        <v>1050</v>
      </c>
      <c r="AN11" s="101">
        <v>1050</v>
      </c>
      <c r="AO11" s="101">
        <v>1260</v>
      </c>
      <c r="AP11" s="101">
        <v>1780</v>
      </c>
      <c r="AQ11" s="101">
        <v>1990</v>
      </c>
      <c r="AR11" s="101">
        <v>450</v>
      </c>
      <c r="AS11" s="101">
        <v>1750</v>
      </c>
    </row>
    <row r="12" spans="1:45">
      <c r="A12" s="140" t="s">
        <v>212</v>
      </c>
    </row>
    <row r="13" spans="1:45">
      <c r="A13" s="139" t="s">
        <v>709</v>
      </c>
      <c r="B13" s="146">
        <v>1398058</v>
      </c>
      <c r="C13" s="146">
        <v>503460</v>
      </c>
      <c r="D13" s="146">
        <f>33.26*1000000</f>
        <v>33259999.999999996</v>
      </c>
      <c r="E13" s="146">
        <f>45.25*1000000</f>
        <v>45250000</v>
      </c>
      <c r="F13" s="146">
        <v>3113040</v>
      </c>
      <c r="G13" s="146">
        <v>16055200</v>
      </c>
      <c r="H13" s="146">
        <f>1.91*1000000</f>
        <v>1910000</v>
      </c>
      <c r="I13" s="146">
        <f>1.66*1000000</f>
        <v>1660000</v>
      </c>
      <c r="J13" s="146">
        <f>35.57*1000000</f>
        <v>35570000</v>
      </c>
      <c r="K13" s="146">
        <v>50000000</v>
      </c>
      <c r="L13" s="146">
        <f>1.23*1000000</f>
        <v>1230000</v>
      </c>
      <c r="M13" s="146">
        <f>4.06*1000000</f>
        <v>4059999.9999999995</v>
      </c>
      <c r="N13" s="146">
        <v>200000000</v>
      </c>
      <c r="O13" s="146">
        <v>210000000</v>
      </c>
      <c r="P13" s="146">
        <v>450000</v>
      </c>
      <c r="Q13" s="146">
        <f>11.51*1000000</f>
        <v>11510000</v>
      </c>
      <c r="R13" s="146">
        <v>4000000</v>
      </c>
      <c r="S13" s="146">
        <v>2273616</v>
      </c>
      <c r="T13" s="146">
        <f>16.13*1000000</f>
        <v>16129999.999999998</v>
      </c>
      <c r="U13" s="146">
        <v>543142.85714285716</v>
      </c>
      <c r="V13" s="146">
        <f>48.47*1000000</f>
        <v>48470000</v>
      </c>
      <c r="W13" s="146">
        <v>2040786.9267534486</v>
      </c>
      <c r="X13" s="146">
        <f>3.72*1000000</f>
        <v>3720000</v>
      </c>
      <c r="Y13" s="146">
        <v>1756981.5360000001</v>
      </c>
      <c r="Z13" s="146">
        <f>9.66*1000000</f>
        <v>9660000</v>
      </c>
      <c r="AA13" s="146">
        <f>4.15*1000000</f>
        <v>4150000.0000000005</v>
      </c>
      <c r="AB13" s="146">
        <f>0.78*1000000</f>
        <v>780000</v>
      </c>
      <c r="AC13" s="146">
        <v>1159679.9999999998</v>
      </c>
      <c r="AD13" s="146">
        <v>194750</v>
      </c>
      <c r="AE13" s="146">
        <v>1367480</v>
      </c>
      <c r="AF13" s="146">
        <f>58.67*1000000</f>
        <v>58670000</v>
      </c>
      <c r="AG13" s="146">
        <v>3589760.0000000014</v>
      </c>
      <c r="AH13" s="146">
        <v>17000000</v>
      </c>
      <c r="AI13" s="146">
        <f>98.78*1000000</f>
        <v>98780000</v>
      </c>
      <c r="AJ13" s="146">
        <f>21.43*1000000</f>
        <v>21430000</v>
      </c>
      <c r="AK13" s="146">
        <v>5000000</v>
      </c>
      <c r="AL13" s="146">
        <v>15428571.43</v>
      </c>
      <c r="AM13" s="146">
        <f>4.68*1000000</f>
        <v>4680000</v>
      </c>
      <c r="AN13" s="146">
        <f>3.65*1000000</f>
        <v>3650000</v>
      </c>
      <c r="AO13" s="146">
        <f>21.04*1000000</f>
        <v>21040000</v>
      </c>
      <c r="AP13" s="146">
        <f>44.92*1000000</f>
        <v>44920000</v>
      </c>
      <c r="AQ13" s="146">
        <v>31000000</v>
      </c>
      <c r="AR13" s="146" t="s">
        <v>8</v>
      </c>
      <c r="AS13" s="146">
        <v>120000000</v>
      </c>
    </row>
    <row r="14" spans="1:45">
      <c r="A14" s="138" t="s">
        <v>710</v>
      </c>
      <c r="B14" s="147">
        <v>3339806</v>
      </c>
      <c r="C14" s="147">
        <v>458079</v>
      </c>
      <c r="D14" s="147">
        <f>32.43*1000000</f>
        <v>32430000</v>
      </c>
      <c r="E14" s="147">
        <f>44.92*1000000</f>
        <v>44920000</v>
      </c>
      <c r="F14" s="147">
        <v>5461610.1379053304</v>
      </c>
      <c r="G14" s="147">
        <v>12000000</v>
      </c>
      <c r="H14" s="147">
        <f>3.25*1000000</f>
        <v>3250000</v>
      </c>
      <c r="I14" s="147">
        <f>1.74*1000000</f>
        <v>1740000</v>
      </c>
      <c r="J14" s="147">
        <v>15000000</v>
      </c>
      <c r="K14" s="147">
        <v>12000000</v>
      </c>
      <c r="L14" s="147">
        <f>1.78*1000000</f>
        <v>1780000</v>
      </c>
      <c r="M14" s="147">
        <f>27.6*1000000</f>
        <v>27600000</v>
      </c>
      <c r="N14" s="147">
        <v>210000000</v>
      </c>
      <c r="O14" s="147">
        <v>430000000</v>
      </c>
      <c r="P14" s="147">
        <v>86152.534784405565</v>
      </c>
      <c r="Q14" s="147">
        <f>23.59*1000000</f>
        <v>23590000</v>
      </c>
      <c r="R14" s="147">
        <v>28828470</v>
      </c>
      <c r="S14" s="147">
        <v>277411.20000000001</v>
      </c>
      <c r="T14" s="147">
        <f>20.65*1000000</f>
        <v>20650000</v>
      </c>
      <c r="U14" s="147">
        <v>374060.5166666666</v>
      </c>
      <c r="V14" s="147">
        <f>92.4*1000000</f>
        <v>92400000</v>
      </c>
      <c r="W14" s="147">
        <v>1689026.3104721196</v>
      </c>
      <c r="X14" s="147">
        <f>6.1*1000000</f>
        <v>6100000</v>
      </c>
      <c r="Y14" s="147">
        <v>166356.80000000002</v>
      </c>
      <c r="Z14" s="147">
        <f>20.09*1000000</f>
        <v>20090000</v>
      </c>
      <c r="AA14" s="147">
        <f>3.28*1000000</f>
        <v>3280000</v>
      </c>
      <c r="AB14" s="147">
        <f>0.57*1000000</f>
        <v>570000</v>
      </c>
      <c r="AC14" s="147">
        <v>3079799.9999999991</v>
      </c>
      <c r="AD14" s="147">
        <v>102480</v>
      </c>
      <c r="AE14" s="147">
        <v>3396600</v>
      </c>
      <c r="AF14" s="147">
        <f>64.28*1000000</f>
        <v>64280000</v>
      </c>
      <c r="AG14" s="147">
        <v>5853999.9999999972</v>
      </c>
      <c r="AH14" s="147">
        <v>24000000</v>
      </c>
      <c r="AI14" s="147">
        <v>94000000</v>
      </c>
      <c r="AJ14" s="147">
        <f>30.43*1000000</f>
        <v>30430000</v>
      </c>
      <c r="AK14" s="147">
        <v>20640880</v>
      </c>
      <c r="AL14" s="147">
        <v>18000000</v>
      </c>
      <c r="AM14" s="147">
        <f>1.6*1000000</f>
        <v>1600000</v>
      </c>
      <c r="AN14" s="147">
        <f>3.13*1000000</f>
        <v>3130000</v>
      </c>
      <c r="AO14" s="147">
        <f>76.97*1000000</f>
        <v>76970000</v>
      </c>
      <c r="AP14" s="147">
        <f>50.5*1000000</f>
        <v>50500000</v>
      </c>
      <c r="AQ14" s="147">
        <v>14300000</v>
      </c>
      <c r="AR14" s="147" t="s">
        <v>8</v>
      </c>
      <c r="AS14" s="147">
        <v>250000000</v>
      </c>
    </row>
    <row r="15" spans="1:45">
      <c r="A15" s="138" t="s">
        <v>711</v>
      </c>
      <c r="B15" s="147">
        <v>3728155</v>
      </c>
      <c r="C15" s="147">
        <v>834392.07</v>
      </c>
      <c r="D15" s="147">
        <f>29.55*1000000</f>
        <v>29550000</v>
      </c>
      <c r="E15" s="147">
        <f>28.63*1000000</f>
        <v>28630000</v>
      </c>
      <c r="F15" s="147">
        <v>427061.89103883627</v>
      </c>
      <c r="G15" s="147">
        <v>7437000</v>
      </c>
      <c r="H15" s="147">
        <f>15.41*1000000</f>
        <v>15410000</v>
      </c>
      <c r="I15" s="147">
        <f>2.74*1000000</f>
        <v>2740000</v>
      </c>
      <c r="J15" s="147">
        <v>9000000</v>
      </c>
      <c r="K15" s="147">
        <v>8000000</v>
      </c>
      <c r="L15" s="147">
        <f>3.48*1000000</f>
        <v>3480000</v>
      </c>
      <c r="M15" s="147">
        <f>5.1*100000</f>
        <v>509999.99999999994</v>
      </c>
      <c r="N15" s="147">
        <v>64720000</v>
      </c>
      <c r="O15" s="147">
        <v>250000000</v>
      </c>
      <c r="P15" s="147">
        <v>172671.84035476716</v>
      </c>
      <c r="Q15" s="147">
        <f>23.27*1000000</f>
        <v>23270000</v>
      </c>
      <c r="R15" s="147">
        <v>26000000</v>
      </c>
      <c r="S15" s="147">
        <v>2628120</v>
      </c>
      <c r="T15" s="147">
        <f>21.98*1000000</f>
        <v>21980000</v>
      </c>
      <c r="U15" s="147">
        <v>466855.79904610495</v>
      </c>
      <c r="V15" s="147">
        <f>48.6*1000000</f>
        <v>48600000</v>
      </c>
      <c r="W15" s="147">
        <v>2462589.5473091123</v>
      </c>
      <c r="X15" s="147">
        <f>2.3*1000000</f>
        <v>2300000</v>
      </c>
      <c r="Y15" s="147">
        <v>57669.192000000003</v>
      </c>
      <c r="Z15" s="147">
        <f>1.97*1000000</f>
        <v>1970000</v>
      </c>
      <c r="AA15" s="147">
        <f>2.85*1000000</f>
        <v>2850000</v>
      </c>
      <c r="AB15" s="147">
        <f>0.75*1000000</f>
        <v>750000</v>
      </c>
      <c r="AC15" s="147">
        <v>217319.99999999997</v>
      </c>
      <c r="AD15" s="147">
        <v>319600</v>
      </c>
      <c r="AE15" s="147">
        <v>1815210</v>
      </c>
      <c r="AF15" s="147">
        <f>46.66*1000000</f>
        <v>46660000</v>
      </c>
      <c r="AG15" s="147">
        <v>2205280.0000000005</v>
      </c>
      <c r="AH15" s="147">
        <v>10000000</v>
      </c>
      <c r="AI15" s="147">
        <v>40000000</v>
      </c>
      <c r="AJ15" s="147">
        <f>14.08*1000000</f>
        <v>14080000</v>
      </c>
      <c r="AK15" s="147">
        <v>11490500</v>
      </c>
      <c r="AL15" s="147">
        <v>1714285.7139999999</v>
      </c>
      <c r="AM15" s="147">
        <f>11.81*1000000</f>
        <v>11810000</v>
      </c>
      <c r="AN15" s="147">
        <f>2.62*1000000</f>
        <v>2620000</v>
      </c>
      <c r="AO15" s="147">
        <f>106.8*1000000</f>
        <v>106800000</v>
      </c>
      <c r="AP15" s="147">
        <f>8.65*1000000</f>
        <v>8650000</v>
      </c>
      <c r="AQ15" s="147">
        <v>10500000</v>
      </c>
      <c r="AR15" s="147" t="s">
        <v>8</v>
      </c>
      <c r="AS15" s="147">
        <v>60000000</v>
      </c>
    </row>
    <row r="16" spans="1:45" s="4" customFormat="1" ht="85">
      <c r="A16" s="36" t="s">
        <v>2</v>
      </c>
      <c r="B16" s="148" t="s">
        <v>683</v>
      </c>
      <c r="C16" s="148" t="s">
        <v>8</v>
      </c>
      <c r="D16" s="148" t="s">
        <v>102</v>
      </c>
      <c r="E16" s="149" t="s">
        <v>102</v>
      </c>
      <c r="F16" s="149" t="s">
        <v>8</v>
      </c>
      <c r="G16" s="150" t="s">
        <v>744</v>
      </c>
      <c r="H16" s="150" t="s">
        <v>102</v>
      </c>
      <c r="I16" s="150" t="s">
        <v>102</v>
      </c>
      <c r="J16" s="150" t="s">
        <v>744</v>
      </c>
      <c r="K16" s="150" t="s">
        <v>741</v>
      </c>
      <c r="L16" s="150" t="s">
        <v>102</v>
      </c>
      <c r="M16" s="150" t="s">
        <v>102</v>
      </c>
      <c r="N16" s="150" t="s">
        <v>741</v>
      </c>
      <c r="O16" s="150" t="s">
        <v>741</v>
      </c>
      <c r="P16" s="150" t="s">
        <v>8</v>
      </c>
      <c r="Q16" s="150" t="s">
        <v>754</v>
      </c>
      <c r="R16" s="150" t="s">
        <v>741</v>
      </c>
      <c r="S16" s="150"/>
      <c r="T16" s="150" t="s">
        <v>102</v>
      </c>
      <c r="U16" s="150"/>
      <c r="V16" s="150" t="s">
        <v>102</v>
      </c>
      <c r="W16" s="150" t="s">
        <v>774</v>
      </c>
      <c r="X16" s="150" t="s">
        <v>102</v>
      </c>
      <c r="Y16" s="150"/>
      <c r="Z16" s="150" t="s">
        <v>102</v>
      </c>
      <c r="AA16" s="150" t="s">
        <v>102</v>
      </c>
      <c r="AB16" s="150" t="s">
        <v>102</v>
      </c>
      <c r="AC16" s="150"/>
      <c r="AD16" s="150"/>
      <c r="AE16" s="150"/>
      <c r="AF16" s="150" t="s">
        <v>102</v>
      </c>
      <c r="AG16" s="150"/>
      <c r="AH16" s="150" t="s">
        <v>741</v>
      </c>
      <c r="AI16" s="150" t="s">
        <v>796</v>
      </c>
      <c r="AJ16" s="150" t="s">
        <v>102</v>
      </c>
      <c r="AK16" s="150"/>
      <c r="AL16" s="150" t="s">
        <v>801</v>
      </c>
      <c r="AM16" s="150" t="s">
        <v>102</v>
      </c>
      <c r="AN16" s="150" t="s">
        <v>102</v>
      </c>
      <c r="AO16" s="150" t="s">
        <v>102</v>
      </c>
      <c r="AP16" s="150" t="s">
        <v>102</v>
      </c>
      <c r="AQ16" s="150" t="s">
        <v>741</v>
      </c>
      <c r="AR16" s="157" t="s">
        <v>8</v>
      </c>
      <c r="AS16" s="150" t="s">
        <v>741</v>
      </c>
    </row>
    <row r="18" spans="1:45" s="123" customFormat="1" ht="68">
      <c r="A18" s="159" t="s">
        <v>138</v>
      </c>
      <c r="B18" s="160"/>
      <c r="C18" s="161" t="s">
        <v>838</v>
      </c>
      <c r="D18" s="161"/>
      <c r="E18" s="162"/>
      <c r="F18" s="162" t="s">
        <v>839</v>
      </c>
      <c r="G18" s="166" t="s">
        <v>836</v>
      </c>
      <c r="H18" s="162"/>
      <c r="I18" s="163" t="s">
        <v>853</v>
      </c>
      <c r="J18" s="162"/>
      <c r="K18" s="162"/>
      <c r="L18" s="162"/>
      <c r="M18" s="162"/>
      <c r="N18" s="162"/>
      <c r="O18" s="162"/>
      <c r="P18" s="163" t="s">
        <v>838</v>
      </c>
      <c r="Q18" s="163" t="s">
        <v>757</v>
      </c>
      <c r="R18" s="163"/>
      <c r="S18" s="163" t="s">
        <v>840</v>
      </c>
      <c r="T18" s="163"/>
      <c r="U18" s="163" t="s">
        <v>841</v>
      </c>
      <c r="V18" s="163"/>
      <c r="W18" s="163" t="s">
        <v>775</v>
      </c>
      <c r="X18" s="163"/>
      <c r="Y18" s="163" t="s">
        <v>842</v>
      </c>
      <c r="Z18" s="163"/>
      <c r="AA18" s="163"/>
      <c r="AB18" s="163"/>
      <c r="AC18" s="163" t="s">
        <v>847</v>
      </c>
      <c r="AD18" s="163" t="s">
        <v>844</v>
      </c>
      <c r="AE18" s="163" t="s">
        <v>845</v>
      </c>
      <c r="AF18" s="163"/>
      <c r="AG18" s="163" t="s">
        <v>843</v>
      </c>
      <c r="AH18" s="163"/>
      <c r="AI18" s="163"/>
      <c r="AJ18" s="163" t="s">
        <v>848</v>
      </c>
      <c r="AK18" s="163" t="s">
        <v>837</v>
      </c>
      <c r="AL18" s="164"/>
      <c r="AM18" s="164"/>
      <c r="AN18" s="164"/>
      <c r="AO18" s="163" t="s">
        <v>849</v>
      </c>
      <c r="AP18" s="164"/>
      <c r="AQ18" s="163" t="s">
        <v>937</v>
      </c>
      <c r="AR18" s="165" t="s">
        <v>8</v>
      </c>
      <c r="AS18" s="164"/>
    </row>
    <row r="19" spans="1:45">
      <c r="B19" t="s">
        <v>25</v>
      </c>
      <c r="H19" s="145"/>
      <c r="O19" s="145"/>
    </row>
    <row r="20" spans="1:45">
      <c r="O20" s="145"/>
    </row>
    <row r="21" spans="1:45">
      <c r="C21" s="112"/>
      <c r="G21" s="112"/>
      <c r="I21" s="112"/>
      <c r="S21" s="112"/>
      <c r="V21" s="112"/>
      <c r="AJ21" s="112"/>
      <c r="AK21" s="112"/>
      <c r="AL21" s="112"/>
      <c r="AO21" s="112"/>
      <c r="AR21" s="112"/>
    </row>
    <row r="31" spans="1:45">
      <c r="B31" s="158"/>
    </row>
    <row r="32" spans="1:45">
      <c r="B32" s="158"/>
    </row>
    <row r="33" spans="2:2">
      <c r="B33" s="158"/>
    </row>
    <row r="34" spans="2:2">
      <c r="B34" s="158"/>
    </row>
    <row r="35" spans="2:2">
      <c r="B35" s="158"/>
    </row>
    <row r="36" spans="2:2">
      <c r="B36" s="158"/>
    </row>
    <row r="37" spans="2:2">
      <c r="B37" s="158"/>
    </row>
    <row r="38" spans="2:2">
      <c r="B38" s="158"/>
    </row>
    <row r="39" spans="2:2">
      <c r="B39" s="158"/>
    </row>
    <row r="40" spans="2:2">
      <c r="B40" s="158"/>
    </row>
    <row r="41" spans="2:2">
      <c r="B41" s="158"/>
    </row>
    <row r="42" spans="2:2">
      <c r="B42" s="158"/>
    </row>
    <row r="43" spans="2:2">
      <c r="B43" s="158"/>
    </row>
    <row r="44" spans="2:2">
      <c r="B44" s="158"/>
    </row>
    <row r="45" spans="2:2">
      <c r="B45" s="158"/>
    </row>
    <row r="46" spans="2:2">
      <c r="B46" s="158"/>
    </row>
    <row r="47" spans="2:2">
      <c r="B47" s="158"/>
    </row>
    <row r="48" spans="2:2">
      <c r="B48" s="158"/>
    </row>
    <row r="49" spans="2:2">
      <c r="B49" s="158"/>
    </row>
    <row r="50" spans="2:2">
      <c r="B50" s="158"/>
    </row>
    <row r="51" spans="2:2">
      <c r="B51" s="158"/>
    </row>
    <row r="52" spans="2:2">
      <c r="B52" s="158"/>
    </row>
    <row r="53" spans="2:2">
      <c r="B53" s="158"/>
    </row>
    <row r="54" spans="2:2">
      <c r="B54" s="158"/>
    </row>
    <row r="55" spans="2:2">
      <c r="B55" s="158"/>
    </row>
    <row r="56" spans="2:2">
      <c r="B56" s="158"/>
    </row>
    <row r="57" spans="2:2">
      <c r="B57" s="158"/>
    </row>
    <row r="58" spans="2:2">
      <c r="B58" s="158"/>
    </row>
    <row r="59" spans="2:2">
      <c r="B59" s="158"/>
    </row>
    <row r="60" spans="2:2">
      <c r="B60" s="158"/>
    </row>
    <row r="61" spans="2:2">
      <c r="B61" s="158"/>
    </row>
    <row r="62" spans="2:2">
      <c r="B62" s="158"/>
    </row>
    <row r="63" spans="2:2">
      <c r="B63" s="158"/>
    </row>
    <row r="64" spans="2:2">
      <c r="B64" s="158"/>
    </row>
    <row r="65" spans="2:2">
      <c r="B65" s="158"/>
    </row>
    <row r="66" spans="2:2">
      <c r="B66" s="158"/>
    </row>
    <row r="67" spans="2:2">
      <c r="B67" s="158"/>
    </row>
    <row r="68" spans="2:2">
      <c r="B68" s="158"/>
    </row>
    <row r="69" spans="2:2">
      <c r="B69" s="158"/>
    </row>
    <row r="70" spans="2:2">
      <c r="B70" s="158"/>
    </row>
    <row r="71" spans="2:2">
      <c r="B71" s="158"/>
    </row>
    <row r="72" spans="2:2">
      <c r="B72" s="158"/>
    </row>
    <row r="73" spans="2:2">
      <c r="B73" s="158"/>
    </row>
    <row r="74" spans="2:2">
      <c r="B74" s="1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4"/>
  <sheetViews>
    <sheetView workbookViewId="0">
      <selection activeCell="B5" sqref="B5"/>
    </sheetView>
  </sheetViews>
  <sheetFormatPr baseColWidth="10" defaultColWidth="11.1640625" defaultRowHeight="16"/>
  <cols>
    <col min="1" max="1" width="16.83203125" style="4" bestFit="1" customWidth="1"/>
    <col min="2" max="2" width="165.5" customWidth="1"/>
  </cols>
  <sheetData>
    <row r="1" spans="1:2">
      <c r="A1" s="29" t="s">
        <v>29</v>
      </c>
      <c r="B1" s="113" t="s">
        <v>30</v>
      </c>
    </row>
    <row r="2" spans="1:2" ht="33" customHeight="1">
      <c r="A2" s="176" t="s">
        <v>824</v>
      </c>
      <c r="B2" s="135" t="s">
        <v>888</v>
      </c>
    </row>
    <row r="3" spans="1:2" ht="17">
      <c r="A3" s="176" t="s">
        <v>887</v>
      </c>
      <c r="B3" s="135" t="s">
        <v>901</v>
      </c>
    </row>
    <row r="4" spans="1:2" ht="51">
      <c r="A4" s="176" t="s">
        <v>892</v>
      </c>
      <c r="B4" s="135" t="s">
        <v>905</v>
      </c>
    </row>
    <row r="5" spans="1:2" ht="51">
      <c r="A5" s="176" t="s">
        <v>900</v>
      </c>
      <c r="B5" s="135" t="s">
        <v>911</v>
      </c>
    </row>
    <row r="6" spans="1:2">
      <c r="A6" s="176"/>
      <c r="B6" s="135"/>
    </row>
    <row r="7" spans="1:2" ht="34">
      <c r="A7" s="176" t="s">
        <v>896</v>
      </c>
      <c r="B7" s="135" t="s">
        <v>904</v>
      </c>
    </row>
    <row r="8" spans="1:2">
      <c r="A8" s="176"/>
      <c r="B8" s="135"/>
    </row>
    <row r="9" spans="1:2" ht="34">
      <c r="A9" s="177" t="s">
        <v>704</v>
      </c>
      <c r="B9" s="135" t="s">
        <v>906</v>
      </c>
    </row>
    <row r="10" spans="1:2" ht="34">
      <c r="A10" s="177" t="s">
        <v>705</v>
      </c>
      <c r="B10" s="135" t="s">
        <v>707</v>
      </c>
    </row>
    <row r="11" spans="1:2" ht="51">
      <c r="A11" s="177" t="s">
        <v>706</v>
      </c>
      <c r="B11" s="135" t="s">
        <v>902</v>
      </c>
    </row>
    <row r="12" spans="1:2" ht="33" customHeight="1">
      <c r="A12" s="177" t="s">
        <v>725</v>
      </c>
      <c r="B12" s="135" t="s">
        <v>903</v>
      </c>
    </row>
    <row r="13" spans="1:2">
      <c r="B13" s="135"/>
    </row>
    <row r="14" spans="1:2">
      <c r="A14" s="4" t="s">
        <v>758</v>
      </c>
      <c r="B14" s="178" t="s">
        <v>910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RES</vt:lpstr>
      <vt:lpstr>IND</vt:lpstr>
      <vt:lpstr>COM</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2020-03-05T12:18:47Z</dcterms:created>
  <dcterms:modified xsi:type="dcterms:W3CDTF">2023-03-29T11:39:52Z</dcterms:modified>
</cp:coreProperties>
</file>