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drawings/drawing9.xml" ContentType="application/vnd.openxmlformats-officedocument.drawing+xml"/>
  <Override PartName="/xl/comments1.xml" ContentType="application/vnd.openxmlformats-officedocument.spreadsheetml.comments+xml"/>
  <Override PartName="/xl/charts/chart11.xml" ContentType="application/vnd.openxmlformats-officedocument.drawingml.chart+xml"/>
  <Override PartName="/xl/drawings/drawing10.xml" ContentType="application/vnd.openxmlformats-officedocument.drawing+xml"/>
  <Override PartName="/xl/comments2.xml" ContentType="application/vnd.openxmlformats-officedocument.spreadsheetml.comments+xml"/>
  <Override PartName="/xl/charts/chart12.xml" ContentType="application/vnd.openxmlformats-officedocument.drawingml.chart+xml"/>
  <Override PartName="/xl/drawings/drawing11.xml" ContentType="application/vnd.openxmlformats-officedocument.drawing+xml"/>
  <Override PartName="/xl/charts/chart13.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defaultThemeVersion="124226"/>
  <mc:AlternateContent xmlns:mc="http://schemas.openxmlformats.org/markup-compatibility/2006">
    <mc:Choice Requires="x15">
      <x15ac:absPath xmlns:x15ac="http://schemas.microsoft.com/office/spreadsheetml/2010/11/ac" url="R:\sandbox\microblog\fed-workforce\"/>
    </mc:Choice>
  </mc:AlternateContent>
  <xr:revisionPtr revIDLastSave="0" documentId="13_ncr:1_{ECECF798-156F-4509-9E20-40E0A1A90598}" xr6:coauthVersionLast="47" xr6:coauthVersionMax="47" xr10:uidLastSave="{00000000-0000-0000-0000-000000000000}"/>
  <bookViews>
    <workbookView xWindow="2660" yWindow="720" windowWidth="19340" windowHeight="20880" tabRatio="828" xr2:uid="{00000000-000D-0000-FFFF-FFFF00000000}"/>
  </bookViews>
  <sheets>
    <sheet name="Cover" sheetId="1" r:id="rId1"/>
    <sheet name="TOC" sheetId="2" r:id="rId2"/>
    <sheet name="RevExp" sheetId="3" r:id="rId3"/>
    <sheet name="ByAcct" sheetId="4" r:id="rId4"/>
    <sheet name="1.1" sheetId="5" r:id="rId5"/>
    <sheet name="1.2" sheetId="6" r:id="rId6"/>
    <sheet name="1.3" sheetId="7" r:id="rId7"/>
    <sheet name="1.4" sheetId="8" r:id="rId8"/>
    <sheet name="1.5" sheetId="9" r:id="rId9"/>
    <sheet name="1.6" sheetId="10" r:id="rId10"/>
    <sheet name="1.6p" sheetId="51" state="hidden" r:id="rId11"/>
    <sheet name="1.7" sheetId="11" r:id="rId12"/>
    <sheet name="1.8-1.9" sheetId="12" r:id="rId13"/>
    <sheet name="1.10" sheetId="13" r:id="rId14"/>
    <sheet name="2.1" sheetId="14" r:id="rId15"/>
    <sheet name="2.2" sheetId="15" r:id="rId16"/>
    <sheet name="2.3" sheetId="54" r:id="rId17"/>
    <sheet name="3.1" sheetId="16" r:id="rId18"/>
    <sheet name="4.1" sheetId="17" r:id="rId19"/>
    <sheet name="4.1_v1" sheetId="52" state="hidden" r:id="rId20"/>
    <sheet name="4.1k" sheetId="53" state="hidden" r:id="rId21"/>
    <sheet name="4.2" sheetId="18" r:id="rId22"/>
    <sheet name="4.3" sheetId="19" r:id="rId23"/>
    <sheet name="5.1" sheetId="21" r:id="rId24"/>
    <sheet name="5.2" sheetId="22" r:id="rId25"/>
    <sheet name="5.3-5.4" sheetId="23" r:id="rId26"/>
    <sheet name="5.5" sheetId="24" r:id="rId27"/>
    <sheet name="5.6" sheetId="25" r:id="rId28"/>
    <sheet name="5.7" sheetId="32" r:id="rId29"/>
    <sheet name="6.1" sheetId="44" r:id="rId30"/>
    <sheet name="6.1p" sheetId="36" state="hidden" r:id="rId31"/>
    <sheet name="6.2" sheetId="45" r:id="rId32"/>
    <sheet name="6.2p" sheetId="35" state="hidden" r:id="rId33"/>
    <sheet name="6.3" sheetId="46" r:id="rId34"/>
    <sheet name="6.3p" sheetId="49" state="hidden" r:id="rId35"/>
    <sheet name="6.4" sheetId="47" r:id="rId36"/>
    <sheet name="6.4p" sheetId="50" state="hidden" r:id="rId37"/>
    <sheet name="7.1" sheetId="30" r:id="rId38"/>
    <sheet name="Directory" sheetId="31" r:id="rId39"/>
  </sheets>
  <definedNames>
    <definedName name="_1___123Graph_ACHART_2" hidden="1">#REF!</definedName>
    <definedName name="_1__123Graph_ACHART_1" hidden="1">#REF!</definedName>
    <definedName name="_10__123Graph_ACHART_2" localSheetId="11" hidden="1">#REF!</definedName>
    <definedName name="_11__123Graph_ACHART_2" localSheetId="12" hidden="1">#REF!</definedName>
    <definedName name="_11__123Graph_BCHART_2" hidden="1">#REF!</definedName>
    <definedName name="_12__123Graph_ACHART_2" localSheetId="14" hidden="1">#REF!</definedName>
    <definedName name="_13__123Graph_ACHART_2" localSheetId="18" hidden="1">#REF!</definedName>
    <definedName name="_13__123Graph_ACHART_2" localSheetId="19" hidden="1">#REF!</definedName>
    <definedName name="_13__123Graph_ACHART_2" localSheetId="20" hidden="1">#REF!</definedName>
    <definedName name="_14__123Graph_ACHART_2" localSheetId="9" hidden="1">#REF!</definedName>
    <definedName name="_14__123Graph_ACHART_2" localSheetId="10" hidden="1">#REF!</definedName>
    <definedName name="_15__123Graph_ACHART_2" hidden="1">#REF!</definedName>
    <definedName name="_16__123Graph_BCHART_2" localSheetId="8" hidden="1">#REF!</definedName>
    <definedName name="_16__123Graph_XCHART_1" hidden="1">#REF!</definedName>
    <definedName name="_17__123Graph_BCHART_2" localSheetId="11" hidden="1">#REF!</definedName>
    <definedName name="_18__123Graph_BCHART_2" localSheetId="12" hidden="1">#REF!</definedName>
    <definedName name="_19__123Graph_BCHART_2" localSheetId="14" hidden="1">#REF!</definedName>
    <definedName name="_2___123Graph_BCHART_2" hidden="1">#REF!</definedName>
    <definedName name="_20__123Graph_BCHART_2" localSheetId="18" hidden="1">#REF!</definedName>
    <definedName name="_20__123Graph_BCHART_2" localSheetId="19" hidden="1">#REF!</definedName>
    <definedName name="_20__123Graph_BCHART_2" localSheetId="20" hidden="1">#REF!</definedName>
    <definedName name="_21__123Graph_BCHART_2" localSheetId="9" hidden="1">#REF!</definedName>
    <definedName name="_21__123Graph_BCHART_2" localSheetId="10" hidden="1">#REF!</definedName>
    <definedName name="_22__123Graph_BCHART_2" hidden="1">#REF!</definedName>
    <definedName name="_23__123Graph_XCHART_1" localSheetId="8" hidden="1">#REF!</definedName>
    <definedName name="_24__123Graph_XCHART_1" localSheetId="11" hidden="1">#REF!</definedName>
    <definedName name="_25__123Graph_XCHART_1" localSheetId="12" hidden="1">#REF!</definedName>
    <definedName name="_26__123Graph_XCHART_1" localSheetId="18" hidden="1">#REF!</definedName>
    <definedName name="_26__123Graph_XCHART_1" localSheetId="19" hidden="1">#REF!</definedName>
    <definedName name="_26__123Graph_XCHART_1" localSheetId="20" hidden="1">#REF!</definedName>
    <definedName name="_27__123Graph_XCHART_1" localSheetId="9" hidden="1">#REF!</definedName>
    <definedName name="_27__123Graph_XCHART_1" localSheetId="10" hidden="1">#REF!</definedName>
    <definedName name="_28__123Graph_XCHART_1" hidden="1">#REF!</definedName>
    <definedName name="_3___123Graph_XCHART_1" hidden="1">#REF!</definedName>
    <definedName name="_4__123Graph_ACHART_1" localSheetId="14" hidden="1">#REF!</definedName>
    <definedName name="_5__123Graph_ACHART_1" localSheetId="21" hidden="1">#REF!</definedName>
    <definedName name="_6__123Graph_ACHART_1" localSheetId="22" hidden="1">#REF!</definedName>
    <definedName name="_6__123Graph_ACHART_2" hidden="1">#REF!</definedName>
    <definedName name="_7__123Graph_ACHART_1" localSheetId="25" hidden="1">#REF!</definedName>
    <definedName name="_8__123Graph_ACHART_1" hidden="1">#REF!</definedName>
    <definedName name="_9__123Graph_ACHART_2" localSheetId="8" hidden="1">#REF!</definedName>
    <definedName name="_xlnm._FilterDatabase" localSheetId="17" hidden="1">'3.1'!$A$5:$E$5</definedName>
    <definedName name="chart???" localSheetId="8" hidden="1">#REF!</definedName>
    <definedName name="chart???" localSheetId="9" hidden="1">#REF!</definedName>
    <definedName name="chart???" localSheetId="10" hidden="1">#REF!</definedName>
    <definedName name="chart???" localSheetId="11" hidden="1">#REF!</definedName>
    <definedName name="chart???" localSheetId="12" hidden="1">#REF!</definedName>
    <definedName name="chart???" localSheetId="14" hidden="1">#REF!</definedName>
    <definedName name="chart???" localSheetId="18" hidden="1">#REF!</definedName>
    <definedName name="chart???" localSheetId="19" hidden="1">#REF!</definedName>
    <definedName name="chart???" localSheetId="20" hidden="1">#REF!</definedName>
    <definedName name="chart???" hidden="1">#REF!</definedName>
    <definedName name="collection_chart" localSheetId="8" hidden="1">#REF!</definedName>
    <definedName name="collection_chart" localSheetId="9" hidden="1">#REF!</definedName>
    <definedName name="collection_chart" localSheetId="10" hidden="1">#REF!</definedName>
    <definedName name="collection_chart" localSheetId="11" hidden="1">#REF!</definedName>
    <definedName name="collection_chart" localSheetId="12" hidden="1">#REF!</definedName>
    <definedName name="collection_chart" localSheetId="14" hidden="1">#REF!</definedName>
    <definedName name="collection_chart" localSheetId="18" hidden="1">#REF!</definedName>
    <definedName name="collection_chart" localSheetId="19" hidden="1">#REF!</definedName>
    <definedName name="collection_chart" localSheetId="20" hidden="1">#REF!</definedName>
    <definedName name="collection_chart" hidden="1">#REF!</definedName>
    <definedName name="collections_chart" localSheetId="8" hidden="1">#REF!</definedName>
    <definedName name="collections_chart" localSheetId="9" hidden="1">#REF!</definedName>
    <definedName name="collections_chart" localSheetId="10" hidden="1">#REF!</definedName>
    <definedName name="collections_chart" localSheetId="11" hidden="1">#REF!</definedName>
    <definedName name="collections_chart" localSheetId="12" hidden="1">#REF!</definedName>
    <definedName name="collections_chart" localSheetId="14" hidden="1">#REF!</definedName>
    <definedName name="collections_chart" localSheetId="18" hidden="1">#REF!</definedName>
    <definedName name="collections_chart" localSheetId="19" hidden="1">#REF!</definedName>
    <definedName name="collections_chart" localSheetId="20" hidden="1">#REF!</definedName>
    <definedName name="collections_chart" hidden="1">#REF!</definedName>
    <definedName name="fivesix" localSheetId="27" hidden="1">#REF!</definedName>
    <definedName name="OLE_LINK1" localSheetId="17">'3.1'!$A$5</definedName>
    <definedName name="_xlnm.Print_Area" localSheetId="4">'1.1'!$A$1:$E$28</definedName>
    <definedName name="_xlnm.Print_Area" localSheetId="13">'1.10'!$A$1:$N$52</definedName>
    <definedName name="_xlnm.Print_Area" localSheetId="5">'1.2'!$A$1:$K$40</definedName>
    <definedName name="_xlnm.Print_Area" localSheetId="6">'1.3'!$A$1:$H$33</definedName>
    <definedName name="_xlnm.Print_Area" localSheetId="7">'1.4'!$A$1:$J$33</definedName>
    <definedName name="_xlnm.Print_Area" localSheetId="8">'1.5'!$A$1:$N$174</definedName>
    <definedName name="_xlnm.Print_Area" localSheetId="9">'1.6'!$A$1:$M$172</definedName>
    <definedName name="_xlnm.Print_Area" localSheetId="10">'1.6p'!$A$1:$L$173</definedName>
    <definedName name="_xlnm.Print_Area" localSheetId="11">'1.7'!$A$1:$H$169</definedName>
    <definedName name="_xlnm.Print_Area" localSheetId="12">'1.8-1.9'!$A$1:$N$43</definedName>
    <definedName name="_xlnm.Print_Area" localSheetId="14">'2.1'!$A$1:$L$23</definedName>
    <definedName name="_xlnm.Print_Area" localSheetId="15">'2.2'!$A$1:$J$25</definedName>
    <definedName name="_xlnm.Print_Area" localSheetId="16">'2.3'!$A$1:$J$24</definedName>
    <definedName name="_xlnm.Print_Area" localSheetId="17">'3.1'!$A$1:$G$56</definedName>
    <definedName name="_xlnm.Print_Area" localSheetId="18">'4.1'!$A$1:$P$66</definedName>
    <definedName name="_xlnm.Print_Area" localSheetId="19">'4.1_v1'!$A$1:$N$58</definedName>
    <definedName name="_xlnm.Print_Area" localSheetId="20">'4.1k'!$A$1:$P$55</definedName>
    <definedName name="_xlnm.Print_Area" localSheetId="21">'4.2'!$A$1:$H$43</definedName>
    <definedName name="_xlnm.Print_Area" localSheetId="22">'4.3'!$A$1:$N$62</definedName>
    <definedName name="_xlnm.Print_Area" localSheetId="23">'5.1'!$A$1:$H$28</definedName>
    <definedName name="_xlnm.Print_Area" localSheetId="24">'5.2'!$A$1:$I$60</definedName>
    <definedName name="_xlnm.Print_Area" localSheetId="25">'5.3-5.4'!$A$1:$G$47</definedName>
    <definedName name="_xlnm.Print_Area" localSheetId="26">'5.5'!$A$1:$G$159</definedName>
    <definedName name="_xlnm.Print_Area" localSheetId="27">'5.6'!$A$1:$P$105</definedName>
    <definedName name="_xlnm.Print_Area" localSheetId="28">'5.7'!$A$1:$K$37</definedName>
    <definedName name="_xlnm.Print_Area" localSheetId="29">'6.1'!$A$1:$H$41</definedName>
    <definedName name="_xlnm.Print_Area" localSheetId="30">'6.1p'!$A$1:$H$30</definedName>
    <definedName name="_xlnm.Print_Area" localSheetId="31">'6.2'!$A$1:$H$166</definedName>
    <definedName name="_xlnm.Print_Area" localSheetId="32">'6.2p'!$A$1:$H$205</definedName>
    <definedName name="_xlnm.Print_Area" localSheetId="33">'6.3'!$A$1:$H$165</definedName>
    <definedName name="_xlnm.Print_Area" localSheetId="34">'6.3p'!#REF!</definedName>
    <definedName name="_xlnm.Print_Area" localSheetId="35">'6.4'!$A$1:$L$171</definedName>
    <definedName name="_xlnm.Print_Area" localSheetId="36">'6.4p'!#REF!</definedName>
    <definedName name="_xlnm.Print_Area" localSheetId="37">'7.1'!$A$1:$F$27</definedName>
    <definedName name="_xlnm.Print_Area" localSheetId="3">ByAcct!$A$1:$T$53</definedName>
    <definedName name="_xlnm.Print_Area" localSheetId="0">Cover!$A$1:$H$20</definedName>
    <definedName name="_xlnm.Print_Area" localSheetId="38">Directory!$A$1:$C$18</definedName>
    <definedName name="_xlnm.Print_Area" localSheetId="2">RevExp!$A$1:$W$49</definedName>
    <definedName name="_xlnm.Print_Area" localSheetId="1">TOC!$A$1:$E$50</definedName>
    <definedName name="_xlnm.Print_Area">#REF!</definedName>
    <definedName name="_xlnm.Print_Titles" localSheetId="17">'3.1'!$5:$5</definedName>
    <definedName name="_xlnm.Print_Titles">#N/A</definedName>
    <definedName name="Z_E6BBE5A7_0B25_4EE8_BA45_5EA5DBAF3AD4_.wvu.FilterData" localSheetId="17" hidden="1">'3.1'!$A$5:$E$5</definedName>
    <definedName name="Z_E6BBE5A7_0B25_4EE8_BA45_5EA5DBAF3AD4_.wvu.PrintArea" localSheetId="4" hidden="1">'1.1'!$A$1:$F$50</definedName>
    <definedName name="Z_E6BBE5A7_0B25_4EE8_BA45_5EA5DBAF3AD4_.wvu.PrintArea" localSheetId="13" hidden="1">'1.10'!$A$1:$L$52</definedName>
    <definedName name="Z_E6BBE5A7_0B25_4EE8_BA45_5EA5DBAF3AD4_.wvu.PrintArea" localSheetId="5" hidden="1">'1.2'!$A$1:$K$41</definedName>
    <definedName name="Z_E6BBE5A7_0B25_4EE8_BA45_5EA5DBAF3AD4_.wvu.PrintArea" localSheetId="6" hidden="1">'1.3'!$A$1:$G$32</definedName>
    <definedName name="Z_E6BBE5A7_0B25_4EE8_BA45_5EA5DBAF3AD4_.wvu.PrintArea" localSheetId="7" hidden="1">'1.4'!#REF!</definedName>
    <definedName name="Z_E6BBE5A7_0B25_4EE8_BA45_5EA5DBAF3AD4_.wvu.PrintArea" localSheetId="8" hidden="1">'1.5'!$A$1:$N$173</definedName>
    <definedName name="Z_E6BBE5A7_0B25_4EE8_BA45_5EA5DBAF3AD4_.wvu.PrintArea" localSheetId="9" hidden="1">'1.6'!$A$1:$M$171</definedName>
    <definedName name="Z_E6BBE5A7_0B25_4EE8_BA45_5EA5DBAF3AD4_.wvu.PrintArea" localSheetId="10" hidden="1">'1.6p'!$A$1:$L$172</definedName>
    <definedName name="Z_E6BBE5A7_0B25_4EE8_BA45_5EA5DBAF3AD4_.wvu.PrintArea" localSheetId="11" hidden="1">'1.7'!$A$1:$H$168</definedName>
    <definedName name="Z_E6BBE5A7_0B25_4EE8_BA45_5EA5DBAF3AD4_.wvu.PrintArea" localSheetId="12" hidden="1">'1.8-1.9'!$A$1:$M$42</definedName>
    <definedName name="Z_E6BBE5A7_0B25_4EE8_BA45_5EA5DBAF3AD4_.wvu.PrintArea" localSheetId="14" hidden="1">'2.1'!$A$1:$D$40</definedName>
    <definedName name="Z_E6BBE5A7_0B25_4EE8_BA45_5EA5DBAF3AD4_.wvu.PrintArea" localSheetId="15" hidden="1">'2.2'!$A$1:$I$26</definedName>
    <definedName name="Z_E6BBE5A7_0B25_4EE8_BA45_5EA5DBAF3AD4_.wvu.PrintArea" localSheetId="16" hidden="1">'2.3'!$A$1:$I$25</definedName>
    <definedName name="Z_E6BBE5A7_0B25_4EE8_BA45_5EA5DBAF3AD4_.wvu.PrintArea" localSheetId="17" hidden="1">'3.1'!$A$1:$F$59</definedName>
    <definedName name="Z_E6BBE5A7_0B25_4EE8_BA45_5EA5DBAF3AD4_.wvu.PrintArea" localSheetId="18" hidden="1">'4.1'!$A$1:$P$58</definedName>
    <definedName name="Z_E6BBE5A7_0B25_4EE8_BA45_5EA5DBAF3AD4_.wvu.PrintArea" localSheetId="19" hidden="1">'4.1_v1'!$A$1:$N$50</definedName>
    <definedName name="Z_E6BBE5A7_0B25_4EE8_BA45_5EA5DBAF3AD4_.wvu.PrintArea" localSheetId="20" hidden="1">'4.1k'!$A$1:$P$47</definedName>
    <definedName name="Z_E6BBE5A7_0B25_4EE8_BA45_5EA5DBAF3AD4_.wvu.PrintArea" localSheetId="21" hidden="1">'4.2'!$A$1:$G$43</definedName>
    <definedName name="Z_E6BBE5A7_0B25_4EE8_BA45_5EA5DBAF3AD4_.wvu.PrintArea" localSheetId="22" hidden="1">'4.3'!$A$1:$N$62</definedName>
    <definedName name="Z_E6BBE5A7_0B25_4EE8_BA45_5EA5DBAF3AD4_.wvu.PrintArea" localSheetId="25" hidden="1">'5.3-5.4'!$A$1:$F$43</definedName>
    <definedName name="Z_E6BBE5A7_0B25_4EE8_BA45_5EA5DBAF3AD4_.wvu.PrintArea" localSheetId="26" hidden="1">'5.5'!$A$1:$G$157</definedName>
    <definedName name="Z_E6BBE5A7_0B25_4EE8_BA45_5EA5DBAF3AD4_.wvu.PrintArea" localSheetId="27" hidden="1">'5.6'!$A$1:$P$105</definedName>
    <definedName name="Z_E6BBE5A7_0B25_4EE8_BA45_5EA5DBAF3AD4_.wvu.PrintArea" localSheetId="37" hidden="1">'7.1'!$A$1:$D$26</definedName>
    <definedName name="Z_E6BBE5A7_0B25_4EE8_BA45_5EA5DBAF3AD4_.wvu.PrintArea" localSheetId="3" hidden="1">ByAcct!$A$1:$T$48</definedName>
    <definedName name="Z_E6BBE5A7_0B25_4EE8_BA45_5EA5DBAF3AD4_.wvu.PrintArea" localSheetId="0" hidden="1">Cover!$A$1:$H$20</definedName>
    <definedName name="Z_E6BBE5A7_0B25_4EE8_BA45_5EA5DBAF3AD4_.wvu.PrintArea" localSheetId="38" hidden="1">Directory!$A$1:$B$18</definedName>
    <definedName name="Z_E6BBE5A7_0B25_4EE8_BA45_5EA5DBAF3AD4_.wvu.PrintArea" localSheetId="2" hidden="1">RevExp!$A$1:$W$49</definedName>
    <definedName name="Z_E6BBE5A7_0B25_4EE8_BA45_5EA5DBAF3AD4_.wvu.PrintArea" localSheetId="1" hidden="1">TOC!$A$1:$E$51</definedName>
    <definedName name="Z_E6BBE5A7_0B25_4EE8_BA45_5EA5DBAF3AD4_.wvu.PrintTitles" localSheetId="17" hidden="1">'3.1'!$5:$5</definedName>
  </definedNames>
  <calcPr calcId="191029"/>
  <customWorkbookViews>
    <customWorkbookView name="vgh89228 - Personal View" guid="{E6BBE5A7-0B25-4EE8-BA45-5EA5DBAF3AD4}" mergeInterval="0" personalView="1" maximized="1" xWindow="1" yWindow="1" windowWidth="1280" windowHeight="720" tabRatio="735" activeSheetId="7"/>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44" l="1"/>
  <c r="D37" i="44"/>
  <c r="E37" i="44"/>
  <c r="F37" i="44"/>
  <c r="G37" i="44"/>
  <c r="B37" i="44"/>
  <c r="H26" i="44"/>
  <c r="H15" i="44"/>
  <c r="H37" i="44" s="1"/>
  <c r="L38" i="3" l="1"/>
  <c r="L40" i="3" s="1"/>
  <c r="L16" i="3"/>
  <c r="L17" i="3"/>
  <c r="L11" i="3"/>
  <c r="L13" i="3" s="1"/>
  <c r="N13" i="3" s="1"/>
  <c r="L12" i="3"/>
  <c r="L8" i="3"/>
  <c r="N12" i="3"/>
  <c r="N7" i="3"/>
  <c r="N6" i="3"/>
  <c r="N2" i="3"/>
  <c r="B22" i="2"/>
  <c r="P16" i="3" l="1"/>
  <c r="P12" i="3"/>
  <c r="P11" i="3"/>
  <c r="P17" i="3"/>
  <c r="L18" i="3"/>
  <c r="N11" i="3"/>
  <c r="N3" i="4"/>
  <c r="L57" i="4"/>
  <c r="L58" i="4"/>
  <c r="N41" i="4"/>
  <c r="N39" i="4"/>
  <c r="N37" i="4"/>
  <c r="N36" i="4"/>
  <c r="N35" i="4"/>
  <c r="N34" i="4"/>
  <c r="N33" i="4"/>
  <c r="N32" i="4"/>
  <c r="N31" i="4"/>
  <c r="N30" i="4"/>
  <c r="N29" i="4"/>
  <c r="N28" i="4"/>
  <c r="N27" i="4"/>
  <c r="N26" i="4"/>
  <c r="N25" i="4"/>
  <c r="N24" i="4"/>
  <c r="N23" i="4"/>
  <c r="N22" i="4"/>
  <c r="N21" i="4"/>
  <c r="N18" i="4"/>
  <c r="N16" i="4"/>
  <c r="N15" i="4"/>
  <c r="N14" i="4"/>
  <c r="N13" i="4"/>
  <c r="N12" i="4"/>
  <c r="N11" i="4"/>
  <c r="N10" i="4"/>
  <c r="N9" i="4"/>
  <c r="N8" i="4"/>
  <c r="N7" i="4"/>
  <c r="M19" i="17"/>
  <c r="P19" i="17" s="1"/>
  <c r="C153" i="24"/>
  <c r="D153" i="24"/>
  <c r="E153" i="24"/>
  <c r="F153" i="24"/>
  <c r="G153" i="24"/>
  <c r="B153" i="24"/>
  <c r="C154" i="24"/>
  <c r="D154" i="24"/>
  <c r="E154" i="24"/>
  <c r="F154" i="24"/>
  <c r="G154" i="24"/>
  <c r="B154" i="24"/>
  <c r="B109" i="24"/>
  <c r="C109" i="24"/>
  <c r="D109" i="24"/>
  <c r="E109" i="24"/>
  <c r="F109" i="24"/>
  <c r="A42" i="23" l="1"/>
  <c r="E28" i="23"/>
  <c r="D28" i="23"/>
  <c r="F27" i="23"/>
  <c r="H15" i="54" l="1"/>
  <c r="H17" i="54" s="1"/>
  <c r="E15" i="54"/>
  <c r="E17" i="54" s="1"/>
  <c r="B15" i="54"/>
  <c r="C12" i="54" s="1"/>
  <c r="I17" i="54" l="1"/>
  <c r="I16" i="54"/>
  <c r="F17" i="54"/>
  <c r="F16" i="54"/>
  <c r="F6" i="54"/>
  <c r="C9" i="54"/>
  <c r="I11" i="54"/>
  <c r="F14" i="54"/>
  <c r="C7" i="54"/>
  <c r="I9" i="54"/>
  <c r="F12" i="54"/>
  <c r="F7" i="54"/>
  <c r="C10" i="54"/>
  <c r="I12" i="54"/>
  <c r="I7" i="54"/>
  <c r="F10" i="54"/>
  <c r="C13" i="54"/>
  <c r="C8" i="54"/>
  <c r="I10" i="54"/>
  <c r="F13" i="54"/>
  <c r="F8" i="54"/>
  <c r="C11" i="54"/>
  <c r="I13" i="54"/>
  <c r="C6" i="54"/>
  <c r="I8" i="54"/>
  <c r="F11" i="54"/>
  <c r="C14" i="54"/>
  <c r="I6" i="54"/>
  <c r="F9" i="54"/>
  <c r="I14" i="54"/>
  <c r="C15" i="54" l="1"/>
  <c r="I15" i="54"/>
  <c r="F15" i="54"/>
  <c r="M18" i="17" l="1"/>
  <c r="P18" i="17" s="1"/>
  <c r="I65" i="4" l="1"/>
  <c r="I66" i="4" s="1"/>
  <c r="I9" i="4"/>
  <c r="I28" i="4" l="1"/>
  <c r="I55" i="4" s="1"/>
  <c r="G16" i="3"/>
  <c r="G17" i="3"/>
  <c r="G13" i="3"/>
  <c r="G8" i="3"/>
  <c r="I41" i="4" l="1"/>
  <c r="I57" i="4" s="1"/>
  <c r="G18" i="3"/>
  <c r="H8" i="3" l="1"/>
  <c r="I8" i="3"/>
  <c r="J8" i="3"/>
  <c r="N45" i="19" l="1"/>
  <c r="N46" i="19"/>
  <c r="N47" i="19"/>
  <c r="N48" i="19"/>
  <c r="N49" i="19"/>
  <c r="N50" i="19"/>
  <c r="N51" i="19"/>
  <c r="N52" i="19"/>
  <c r="G113" i="24" l="1"/>
  <c r="F113" i="24"/>
  <c r="E113" i="24"/>
  <c r="D113" i="24"/>
  <c r="C113" i="24"/>
  <c r="B113" i="24"/>
  <c r="G82" i="24"/>
  <c r="F82" i="24"/>
  <c r="E82" i="24"/>
  <c r="D82" i="24"/>
  <c r="C82" i="24"/>
  <c r="B82" i="24"/>
  <c r="B43" i="24"/>
  <c r="C43" i="24"/>
  <c r="D43" i="24"/>
  <c r="E43" i="24"/>
  <c r="F43" i="24"/>
  <c r="G43" i="24"/>
  <c r="C35" i="44" l="1"/>
  <c r="D35" i="44"/>
  <c r="E35" i="44"/>
  <c r="F35" i="44"/>
  <c r="G35" i="44"/>
  <c r="C36" i="44"/>
  <c r="D36" i="44"/>
  <c r="E36" i="44"/>
  <c r="F36" i="44"/>
  <c r="G36" i="44"/>
  <c r="H24" i="44"/>
  <c r="H35" i="44" s="1"/>
  <c r="H25" i="44"/>
  <c r="H36" i="44" s="1"/>
  <c r="H13" i="44"/>
  <c r="H14" i="44"/>
  <c r="B25" i="15" l="1"/>
  <c r="B39" i="4"/>
  <c r="C39" i="4"/>
  <c r="D39" i="4"/>
  <c r="E39" i="4"/>
  <c r="F39" i="4"/>
  <c r="G39" i="4"/>
  <c r="H17" i="3" l="1"/>
  <c r="M7" i="8"/>
  <c r="M8" i="8"/>
  <c r="M9" i="8"/>
  <c r="M10" i="8"/>
  <c r="M11" i="8"/>
  <c r="M12" i="8"/>
  <c r="M13" i="8"/>
  <c r="M14" i="8"/>
  <c r="M15" i="8"/>
  <c r="M16" i="8"/>
  <c r="M17" i="8"/>
  <c r="M18" i="8"/>
  <c r="M19" i="8"/>
  <c r="M20" i="8"/>
  <c r="M21" i="8"/>
  <c r="M22" i="8"/>
  <c r="M23" i="8"/>
  <c r="M24" i="8"/>
  <c r="M25" i="8"/>
  <c r="M26" i="8"/>
  <c r="M27" i="8"/>
  <c r="M28" i="8"/>
  <c r="M29" i="8"/>
  <c r="M30" i="8"/>
  <c r="M6" i="8"/>
  <c r="K6" i="7"/>
  <c r="K7" i="7"/>
  <c r="K8" i="7"/>
  <c r="K9" i="7"/>
  <c r="K10" i="7"/>
  <c r="K11" i="7"/>
  <c r="K12" i="7"/>
  <c r="K13" i="7"/>
  <c r="K14" i="7"/>
  <c r="K15" i="7"/>
  <c r="K16" i="7"/>
  <c r="K17" i="7"/>
  <c r="K18" i="7"/>
  <c r="K19" i="7"/>
  <c r="K20" i="7"/>
  <c r="K21" i="7"/>
  <c r="K22" i="7"/>
  <c r="K23" i="7"/>
  <c r="K24" i="7"/>
  <c r="K25" i="7"/>
  <c r="K26" i="7"/>
  <c r="K27" i="7"/>
  <c r="K28" i="7"/>
  <c r="K29" i="7"/>
  <c r="K30" i="7"/>
  <c r="B48" i="2" l="1"/>
  <c r="B45" i="2"/>
  <c r="B44" i="2"/>
  <c r="B43" i="2"/>
  <c r="B42" i="2"/>
  <c r="B39" i="2"/>
  <c r="B38" i="2"/>
  <c r="B37" i="2"/>
  <c r="B36" i="2"/>
  <c r="B35" i="2"/>
  <c r="B34" i="2"/>
  <c r="B33" i="2"/>
  <c r="B30" i="2"/>
  <c r="B29" i="2"/>
  <c r="B28" i="2"/>
  <c r="B25" i="2"/>
  <c r="B21" i="2"/>
  <c r="B20" i="2"/>
  <c r="B17" i="2"/>
  <c r="B16" i="2"/>
  <c r="B15" i="2"/>
  <c r="B14" i="2"/>
  <c r="B13" i="2"/>
  <c r="B12" i="2"/>
  <c r="B11" i="2"/>
  <c r="B10" i="2"/>
  <c r="B9" i="2"/>
  <c r="B8" i="2"/>
  <c r="B5" i="2"/>
  <c r="B4" i="2"/>
  <c r="A72" i="47" l="1"/>
  <c r="A37" i="47"/>
  <c r="A114" i="47"/>
  <c r="A114" i="46" l="1"/>
  <c r="A114" i="45" l="1"/>
  <c r="I38" i="3" l="1"/>
  <c r="E12" i="23" l="1"/>
  <c r="D12" i="23"/>
  <c r="H36" i="4" l="1"/>
  <c r="H35" i="4"/>
  <c r="H34" i="4"/>
  <c r="H33" i="4"/>
  <c r="H32" i="4"/>
  <c r="H31" i="4"/>
  <c r="H30" i="4"/>
  <c r="H29" i="4"/>
  <c r="J12" i="3"/>
  <c r="J17" i="3" s="1"/>
  <c r="H28" i="4"/>
  <c r="H27" i="4"/>
  <c r="H26" i="4"/>
  <c r="H25" i="4"/>
  <c r="H24" i="4"/>
  <c r="H23" i="4"/>
  <c r="H22" i="4"/>
  <c r="H21" i="4"/>
  <c r="H16" i="4"/>
  <c r="H15" i="4"/>
  <c r="H14" i="4"/>
  <c r="H13" i="4"/>
  <c r="H12" i="4"/>
  <c r="H11" i="4"/>
  <c r="H10" i="4"/>
  <c r="H9" i="4"/>
  <c r="H8" i="4"/>
  <c r="H39" i="4" l="1"/>
  <c r="I17" i="3" s="1"/>
  <c r="H18" i="4"/>
  <c r="H55" i="4"/>
  <c r="N42" i="9"/>
  <c r="N41" i="9"/>
  <c r="N40" i="9"/>
  <c r="N39" i="9"/>
  <c r="N38" i="9"/>
  <c r="N37" i="9"/>
  <c r="N36" i="9"/>
  <c r="N35" i="9"/>
  <c r="N34" i="9"/>
  <c r="N33" i="9"/>
  <c r="N32" i="9"/>
  <c r="N31" i="9"/>
  <c r="N30" i="9"/>
  <c r="N29" i="9"/>
  <c r="N28" i="9"/>
  <c r="N27" i="9"/>
  <c r="N26" i="9"/>
  <c r="N25" i="9"/>
  <c r="N24" i="9"/>
  <c r="N23" i="9"/>
  <c r="N22" i="9"/>
  <c r="N21" i="9"/>
  <c r="N20" i="9"/>
  <c r="N19" i="9"/>
  <c r="N18" i="9"/>
  <c r="N17" i="9"/>
  <c r="N16" i="9"/>
  <c r="N15" i="9"/>
  <c r="N14" i="9"/>
  <c r="N13" i="9"/>
  <c r="N12" i="9"/>
  <c r="N11" i="9"/>
  <c r="N10" i="9"/>
  <c r="N9" i="9"/>
  <c r="N8"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116" i="9"/>
  <c r="N115" i="9"/>
  <c r="N114" i="9"/>
  <c r="N113" i="9"/>
  <c r="N112" i="9"/>
  <c r="N111" i="9"/>
  <c r="N110" i="9"/>
  <c r="N109" i="9"/>
  <c r="N108" i="9"/>
  <c r="N107" i="9"/>
  <c r="N106" i="9"/>
  <c r="N105" i="9"/>
  <c r="N104" i="9"/>
  <c r="N103" i="9"/>
  <c r="N102" i="9"/>
  <c r="N101" i="9"/>
  <c r="N100" i="9"/>
  <c r="N99" i="9"/>
  <c r="N98" i="9"/>
  <c r="N97" i="9"/>
  <c r="N96" i="9"/>
  <c r="N95" i="9"/>
  <c r="N94" i="9"/>
  <c r="N93" i="9"/>
  <c r="N92" i="9"/>
  <c r="I13" i="3" l="1"/>
  <c r="I40" i="3" s="1"/>
  <c r="I16" i="3"/>
  <c r="I18" i="3" s="1"/>
  <c r="H41" i="4"/>
  <c r="H57" i="4" s="1"/>
  <c r="M9" i="17"/>
  <c r="P9" i="17" s="1"/>
  <c r="M10" i="17"/>
  <c r="P10" i="17" s="1"/>
  <c r="M11" i="17"/>
  <c r="P11" i="17" s="1"/>
  <c r="M12" i="17"/>
  <c r="P12" i="17" s="1"/>
  <c r="M13" i="17"/>
  <c r="P13" i="17" s="1"/>
  <c r="M14" i="17"/>
  <c r="P14" i="17" s="1"/>
  <c r="M15" i="17"/>
  <c r="M17" i="17"/>
  <c r="P17" i="17" s="1"/>
  <c r="G109" i="24" l="1"/>
  <c r="B41" i="4" l="1"/>
  <c r="B57" i="4" s="1"/>
  <c r="C41" i="4"/>
  <c r="C57" i="4" s="1"/>
  <c r="D41" i="4"/>
  <c r="D57" i="4" s="1"/>
  <c r="E41" i="4"/>
  <c r="E57" i="4" s="1"/>
  <c r="F41" i="4"/>
  <c r="F57" i="4" s="1"/>
  <c r="F17" i="53" l="1"/>
  <c r="E17" i="53"/>
  <c r="C6" i="53"/>
  <c r="M6" i="53" s="1"/>
  <c r="C7" i="53"/>
  <c r="M7" i="53" s="1"/>
  <c r="C8" i="53"/>
  <c r="M8" i="53" s="1"/>
  <c r="P8" i="53" s="1"/>
  <c r="C9" i="53"/>
  <c r="M9" i="53" s="1"/>
  <c r="C10" i="53"/>
  <c r="M10" i="53" s="1"/>
  <c r="C11" i="53"/>
  <c r="M11" i="53" s="1"/>
  <c r="C12" i="53"/>
  <c r="C13" i="53"/>
  <c r="C14" i="53"/>
  <c r="C15" i="53"/>
  <c r="C16" i="53"/>
  <c r="O16" i="53"/>
  <c r="O17" i="53" s="1"/>
  <c r="N16" i="53"/>
  <c r="AB16" i="53" s="1"/>
  <c r="L16" i="53"/>
  <c r="L17" i="53" s="1"/>
  <c r="K16" i="53"/>
  <c r="K17" i="53" s="1"/>
  <c r="J16" i="53"/>
  <c r="J17" i="53" s="1"/>
  <c r="I16" i="53"/>
  <c r="H16" i="53"/>
  <c r="G17" i="53"/>
  <c r="B16" i="53"/>
  <c r="X15" i="53"/>
  <c r="O15" i="53"/>
  <c r="N15" i="53"/>
  <c r="AB15" i="53" s="1"/>
  <c r="J15" i="53"/>
  <c r="I15" i="53"/>
  <c r="H15" i="53"/>
  <c r="B15" i="53"/>
  <c r="AB14" i="53"/>
  <c r="X14" i="53"/>
  <c r="I14" i="53"/>
  <c r="H14" i="53"/>
  <c r="D17" i="53"/>
  <c r="AB13" i="53"/>
  <c r="B13" i="53"/>
  <c r="AB12" i="53"/>
  <c r="B12" i="53"/>
  <c r="AB11" i="53"/>
  <c r="Z11" i="53"/>
  <c r="AB10" i="53"/>
  <c r="Z10" i="53"/>
  <c r="AB9" i="53"/>
  <c r="Z9" i="53"/>
  <c r="AB8" i="53"/>
  <c r="Z8" i="53"/>
  <c r="AB7" i="53"/>
  <c r="Z7" i="53"/>
  <c r="M12" i="53" l="1"/>
  <c r="M16" i="53"/>
  <c r="M14" i="53"/>
  <c r="M13" i="53"/>
  <c r="AA13" i="53" s="1"/>
  <c r="H17" i="53"/>
  <c r="M15" i="53"/>
  <c r="P15" i="53" s="1"/>
  <c r="B17" i="53"/>
  <c r="I17" i="53"/>
  <c r="Z12" i="53"/>
  <c r="Z16" i="53"/>
  <c r="AA7" i="53"/>
  <c r="P10" i="53"/>
  <c r="AA8" i="53"/>
  <c r="P11" i="53"/>
  <c r="AA11" i="53"/>
  <c r="P12" i="53"/>
  <c r="AA12" i="53"/>
  <c r="AA9" i="53"/>
  <c r="P9" i="53"/>
  <c r="AC9" i="53" s="1"/>
  <c r="AA10" i="53"/>
  <c r="P16" i="53"/>
  <c r="N17" i="53"/>
  <c r="Z13" i="53"/>
  <c r="P7" i="53"/>
  <c r="AC7" i="53" s="1"/>
  <c r="Z14" i="53"/>
  <c r="Z15" i="53"/>
  <c r="P13" i="53" l="1"/>
  <c r="AC10" i="53"/>
  <c r="AC8" i="53"/>
  <c r="AC12" i="53"/>
  <c r="AA16" i="53"/>
  <c r="AA14" i="53"/>
  <c r="P14" i="53"/>
  <c r="AC15" i="53" s="1"/>
  <c r="M17" i="53"/>
  <c r="AC13" i="53"/>
  <c r="S15" i="53"/>
  <c r="U15" i="53"/>
  <c r="AC11" i="53"/>
  <c r="S16" i="53"/>
  <c r="AC16" i="53"/>
  <c r="U16" i="53"/>
  <c r="AA15" i="53"/>
  <c r="P17" i="53" l="1"/>
  <c r="S14" i="53"/>
  <c r="AC14" i="53"/>
  <c r="U14" i="53"/>
  <c r="K58" i="4" l="1"/>
  <c r="M16" i="52"/>
  <c r="M17" i="52" s="1"/>
  <c r="L16" i="52"/>
  <c r="L17" i="52" s="1"/>
  <c r="J16" i="52"/>
  <c r="J17" i="52" s="1"/>
  <c r="I16" i="52"/>
  <c r="I17" i="52" s="1"/>
  <c r="H16" i="52"/>
  <c r="H17" i="52" s="1"/>
  <c r="G16" i="52"/>
  <c r="G17" i="52" s="1"/>
  <c r="F16" i="52"/>
  <c r="F17" i="52" s="1"/>
  <c r="E16" i="52"/>
  <c r="E17" i="52" s="1"/>
  <c r="D16" i="52"/>
  <c r="C16" i="52"/>
  <c r="B16" i="52"/>
  <c r="B17" i="52" s="1"/>
  <c r="X15" i="52"/>
  <c r="V15" i="52"/>
  <c r="M15" i="52"/>
  <c r="L15" i="52"/>
  <c r="Z15" i="52" s="1"/>
  <c r="I15" i="52"/>
  <c r="H15" i="52"/>
  <c r="G15" i="52"/>
  <c r="F15" i="52"/>
  <c r="E15" i="52"/>
  <c r="D15" i="52"/>
  <c r="C15" i="52"/>
  <c r="B15" i="52"/>
  <c r="Z14" i="52"/>
  <c r="V14" i="52"/>
  <c r="H14" i="52"/>
  <c r="G14" i="52"/>
  <c r="D14" i="52"/>
  <c r="C14" i="52"/>
  <c r="C17" i="52" s="1"/>
  <c r="Z13" i="52"/>
  <c r="D13" i="52"/>
  <c r="C13" i="52"/>
  <c r="B13" i="52"/>
  <c r="K13" i="52" s="1"/>
  <c r="Z12" i="52"/>
  <c r="D12" i="52"/>
  <c r="C12" i="52"/>
  <c r="B12" i="52"/>
  <c r="X12" i="52" s="1"/>
  <c r="Z11" i="52"/>
  <c r="X11" i="52"/>
  <c r="D11" i="52"/>
  <c r="K11" i="52" s="1"/>
  <c r="Z10" i="52"/>
  <c r="X10" i="52"/>
  <c r="D10" i="52"/>
  <c r="K10" i="52" s="1"/>
  <c r="Z9" i="52"/>
  <c r="X9" i="52"/>
  <c r="D9" i="52"/>
  <c r="C9" i="52"/>
  <c r="K9" i="52" s="1"/>
  <c r="Z8" i="52"/>
  <c r="X8" i="52"/>
  <c r="K8" i="52"/>
  <c r="N8" i="52" s="1"/>
  <c r="Z7" i="52"/>
  <c r="X7" i="52"/>
  <c r="K7" i="52"/>
  <c r="Y7" i="52" s="1"/>
  <c r="K6" i="52"/>
  <c r="D17" i="52" l="1"/>
  <c r="X13" i="52"/>
  <c r="K15" i="52"/>
  <c r="N15" i="52"/>
  <c r="N13" i="52"/>
  <c r="N9" i="52"/>
  <c r="AA9" i="52" s="1"/>
  <c r="Y9" i="52"/>
  <c r="Y11" i="52"/>
  <c r="N10" i="52"/>
  <c r="Y10" i="52"/>
  <c r="N7" i="52"/>
  <c r="AA7" i="52" s="1"/>
  <c r="Y8" i="52"/>
  <c r="N11" i="52"/>
  <c r="AA11" i="52" s="1"/>
  <c r="K12" i="52"/>
  <c r="X14" i="52"/>
  <c r="K16" i="52"/>
  <c r="Z16" i="52"/>
  <c r="K14" i="52"/>
  <c r="X16" i="52"/>
  <c r="D17" i="12"/>
  <c r="G17" i="12"/>
  <c r="J17" i="12"/>
  <c r="L17" i="12"/>
  <c r="M17" i="12"/>
  <c r="I17" i="12"/>
  <c r="F17" i="12"/>
  <c r="C17" i="12"/>
  <c r="AA8" i="52" l="1"/>
  <c r="Y14" i="52"/>
  <c r="N14" i="52"/>
  <c r="N12" i="52"/>
  <c r="AA12" i="52" s="1"/>
  <c r="Y12" i="52"/>
  <c r="Y15" i="52"/>
  <c r="AA15" i="52"/>
  <c r="S15" i="52"/>
  <c r="Q15" i="52"/>
  <c r="N16" i="52"/>
  <c r="K17" i="52"/>
  <c r="Y16" i="52"/>
  <c r="AA10" i="52"/>
  <c r="Y13" i="52"/>
  <c r="AA13" i="52"/>
  <c r="L166" i="51"/>
  <c r="L118" i="51"/>
  <c r="K118" i="51"/>
  <c r="J118" i="51"/>
  <c r="H118" i="51"/>
  <c r="G118" i="51"/>
  <c r="F118" i="51"/>
  <c r="E118" i="51"/>
  <c r="C118" i="51"/>
  <c r="B118" i="51"/>
  <c r="L165" i="51"/>
  <c r="K165" i="51"/>
  <c r="J165" i="51"/>
  <c r="H165" i="51"/>
  <c r="G165" i="51"/>
  <c r="F165" i="51"/>
  <c r="E165" i="51"/>
  <c r="C165" i="51"/>
  <c r="B165" i="51"/>
  <c r="L46" i="51"/>
  <c r="L88" i="51" s="1"/>
  <c r="L122" i="51" s="1"/>
  <c r="K46" i="51"/>
  <c r="K88" i="51" s="1"/>
  <c r="K122" i="51" s="1"/>
  <c r="J46" i="51"/>
  <c r="J88" i="51" s="1"/>
  <c r="J122" i="51" s="1"/>
  <c r="I46" i="51"/>
  <c r="I88" i="51" s="1"/>
  <c r="I122" i="51" s="1"/>
  <c r="H46" i="51"/>
  <c r="H88" i="51" s="1"/>
  <c r="H122" i="51" s="1"/>
  <c r="G46" i="51"/>
  <c r="G88" i="51" s="1"/>
  <c r="G122" i="51" s="1"/>
  <c r="F46" i="51"/>
  <c r="F88" i="51" s="1"/>
  <c r="F122" i="51" s="1"/>
  <c r="E46" i="51"/>
  <c r="E88" i="51" s="1"/>
  <c r="E122" i="51" s="1"/>
  <c r="D46" i="51"/>
  <c r="D88" i="51" s="1"/>
  <c r="D122" i="51" s="1"/>
  <c r="C46" i="51"/>
  <c r="C88" i="51" s="1"/>
  <c r="C122" i="51" s="1"/>
  <c r="B46" i="51"/>
  <c r="B88" i="51" s="1"/>
  <c r="B122" i="51" s="1"/>
  <c r="A44" i="51"/>
  <c r="A86" i="51" s="1"/>
  <c r="A120" i="51" s="1"/>
  <c r="A45" i="51"/>
  <c r="A87" i="51" s="1"/>
  <c r="A121" i="51" s="1"/>
  <c r="S14" i="52" l="1"/>
  <c r="Q14" i="52"/>
  <c r="AA14" i="52"/>
  <c r="N17" i="52"/>
  <c r="AA16" i="52"/>
  <c r="S16" i="52"/>
  <c r="Q16" i="52"/>
  <c r="H166" i="51"/>
  <c r="H169" i="51" s="1"/>
  <c r="B166" i="51"/>
  <c r="F166" i="51"/>
  <c r="F169" i="51" s="1"/>
  <c r="J166" i="51"/>
  <c r="J169" i="51" s="1"/>
  <c r="E166" i="51"/>
  <c r="E169" i="51" s="1"/>
  <c r="G166" i="51"/>
  <c r="G169" i="51" s="1"/>
  <c r="K166" i="51"/>
  <c r="K169" i="51" s="1"/>
  <c r="C166" i="51"/>
  <c r="C169" i="51" s="1"/>
  <c r="L169" i="51"/>
  <c r="B169" i="51" l="1"/>
  <c r="E112" i="47" l="1"/>
  <c r="E106" i="46"/>
  <c r="E107" i="46"/>
  <c r="E108" i="46"/>
  <c r="E109" i="46"/>
  <c r="E110" i="46"/>
  <c r="A169" i="11" l="1"/>
  <c r="A172" i="10"/>
  <c r="H22" i="44" l="1"/>
  <c r="H21" i="44"/>
  <c r="H20" i="44"/>
  <c r="H19" i="44"/>
  <c r="H11" i="44"/>
  <c r="H10" i="44"/>
  <c r="H9" i="44"/>
  <c r="H8" i="44"/>
  <c r="C112" i="47" l="1"/>
  <c r="D112" i="47"/>
  <c r="F112" i="47"/>
  <c r="G112" i="47"/>
  <c r="H112" i="47"/>
  <c r="I112" i="47"/>
  <c r="J112" i="47"/>
  <c r="K112" i="47"/>
  <c r="B112" i="47"/>
  <c r="C157" i="47"/>
  <c r="D157" i="47"/>
  <c r="E157" i="47"/>
  <c r="F157" i="47"/>
  <c r="G157" i="47"/>
  <c r="H157" i="47"/>
  <c r="I157" i="47"/>
  <c r="J157" i="47"/>
  <c r="K157" i="47"/>
  <c r="L157" i="47"/>
  <c r="B157" i="47"/>
  <c r="F155" i="45" l="1"/>
  <c r="E155" i="45"/>
  <c r="F154" i="45"/>
  <c r="E154" i="45"/>
  <c r="F153" i="45"/>
  <c r="E153" i="45"/>
  <c r="F152" i="45"/>
  <c r="E152" i="45"/>
  <c r="B152" i="46" s="1"/>
  <c r="F151" i="45"/>
  <c r="E151" i="45"/>
  <c r="F150" i="45"/>
  <c r="E150" i="45"/>
  <c r="F149" i="45"/>
  <c r="E149" i="45"/>
  <c r="F148" i="45"/>
  <c r="E148" i="45"/>
  <c r="F147" i="45"/>
  <c r="E147" i="45"/>
  <c r="F146" i="45"/>
  <c r="E146" i="45"/>
  <c r="F145" i="45"/>
  <c r="E145" i="45"/>
  <c r="F144" i="45"/>
  <c r="E144" i="45"/>
  <c r="F143" i="45"/>
  <c r="E143" i="45"/>
  <c r="F142" i="45"/>
  <c r="E142" i="45"/>
  <c r="F141" i="45"/>
  <c r="E141" i="45"/>
  <c r="F140" i="45"/>
  <c r="E140" i="45"/>
  <c r="F139" i="45"/>
  <c r="E139" i="45"/>
  <c r="F138" i="45"/>
  <c r="E138" i="45"/>
  <c r="F137" i="45"/>
  <c r="E137" i="45"/>
  <c r="F136" i="45"/>
  <c r="E136" i="45"/>
  <c r="F135" i="45"/>
  <c r="E135" i="45"/>
  <c r="F134" i="45"/>
  <c r="E134" i="45"/>
  <c r="F133" i="45"/>
  <c r="E133" i="45"/>
  <c r="F132" i="45"/>
  <c r="E132" i="45"/>
  <c r="F131" i="45"/>
  <c r="E131" i="45"/>
  <c r="F130" i="45"/>
  <c r="E130" i="45"/>
  <c r="F129" i="45"/>
  <c r="E129" i="45"/>
  <c r="F128" i="45"/>
  <c r="E128" i="45"/>
  <c r="F127" i="45"/>
  <c r="E127" i="45"/>
  <c r="F126" i="45"/>
  <c r="E126" i="45"/>
  <c r="F125" i="45"/>
  <c r="E125" i="45"/>
  <c r="F124" i="45"/>
  <c r="E124" i="45"/>
  <c r="F123" i="45"/>
  <c r="E123" i="45"/>
  <c r="F122" i="45"/>
  <c r="E122" i="45"/>
  <c r="F121" i="45"/>
  <c r="E121" i="45"/>
  <c r="F120" i="45"/>
  <c r="E120" i="45"/>
  <c r="F119" i="45"/>
  <c r="E119" i="45"/>
  <c r="F118" i="45"/>
  <c r="E118" i="45"/>
  <c r="F110" i="45"/>
  <c r="E110" i="45"/>
  <c r="F109" i="45"/>
  <c r="E109" i="45"/>
  <c r="F108" i="45"/>
  <c r="E108" i="45"/>
  <c r="F107" i="45"/>
  <c r="E107" i="45"/>
  <c r="B107" i="46" s="1"/>
  <c r="F106" i="45"/>
  <c r="E106" i="45"/>
  <c r="F105" i="45"/>
  <c r="E105" i="45"/>
  <c r="F104" i="45"/>
  <c r="E104" i="45"/>
  <c r="F103" i="45"/>
  <c r="E103" i="45"/>
  <c r="F102" i="45"/>
  <c r="E102" i="45"/>
  <c r="F101" i="45"/>
  <c r="E101" i="45"/>
  <c r="F100" i="45"/>
  <c r="E100" i="45"/>
  <c r="F99" i="45"/>
  <c r="E99" i="45"/>
  <c r="F98" i="45"/>
  <c r="E98" i="45"/>
  <c r="F97" i="45"/>
  <c r="E97" i="45"/>
  <c r="F96" i="45"/>
  <c r="E96" i="45"/>
  <c r="F95" i="45"/>
  <c r="E95" i="45"/>
  <c r="F94" i="45"/>
  <c r="E94" i="45"/>
  <c r="F93" i="45"/>
  <c r="E93" i="45"/>
  <c r="F92" i="45"/>
  <c r="E92" i="45"/>
  <c r="F91" i="45"/>
  <c r="E91" i="45"/>
  <c r="F90" i="45"/>
  <c r="E90" i="45"/>
  <c r="F89" i="45"/>
  <c r="E89" i="45"/>
  <c r="F88" i="45"/>
  <c r="E88" i="45"/>
  <c r="F87" i="45"/>
  <c r="E87" i="45"/>
  <c r="F86" i="45"/>
  <c r="E86" i="45"/>
  <c r="F85" i="45"/>
  <c r="E85" i="45"/>
  <c r="F84" i="45"/>
  <c r="E84" i="45"/>
  <c r="F83" i="45"/>
  <c r="E83" i="45"/>
  <c r="F82" i="45"/>
  <c r="E82" i="45"/>
  <c r="F81" i="45"/>
  <c r="E81" i="45"/>
  <c r="F80" i="45"/>
  <c r="E80" i="45"/>
  <c r="F79" i="45"/>
  <c r="E79" i="45"/>
  <c r="F78" i="45"/>
  <c r="E78" i="45"/>
  <c r="F77" i="45"/>
  <c r="E77" i="45"/>
  <c r="F76" i="45"/>
  <c r="E76" i="45"/>
  <c r="F70" i="45"/>
  <c r="E70" i="45"/>
  <c r="F69" i="45"/>
  <c r="E69" i="45"/>
  <c r="F68" i="45"/>
  <c r="E68" i="45"/>
  <c r="F67" i="45"/>
  <c r="E67" i="45"/>
  <c r="F66" i="45"/>
  <c r="E66" i="45"/>
  <c r="F65" i="45"/>
  <c r="E65" i="45"/>
  <c r="F64" i="45"/>
  <c r="E64" i="45"/>
  <c r="F63" i="45"/>
  <c r="E63" i="45"/>
  <c r="F62" i="45"/>
  <c r="E62" i="45"/>
  <c r="F61" i="45"/>
  <c r="E61" i="45"/>
  <c r="F60" i="45"/>
  <c r="E60" i="45"/>
  <c r="F59" i="45"/>
  <c r="E59" i="45"/>
  <c r="F58" i="45"/>
  <c r="E58" i="45"/>
  <c r="F57" i="45"/>
  <c r="E57" i="45"/>
  <c r="F56" i="45"/>
  <c r="E56" i="45"/>
  <c r="F55" i="45"/>
  <c r="E55" i="45"/>
  <c r="F54" i="45"/>
  <c r="E54" i="45"/>
  <c r="F53" i="45"/>
  <c r="E53" i="45"/>
  <c r="F52" i="45"/>
  <c r="E52" i="45"/>
  <c r="F51" i="45"/>
  <c r="E51" i="45"/>
  <c r="F50" i="45"/>
  <c r="E50" i="45"/>
  <c r="F49" i="45"/>
  <c r="E49" i="45"/>
  <c r="F48" i="45"/>
  <c r="E48" i="45"/>
  <c r="F47" i="45"/>
  <c r="E47" i="45"/>
  <c r="F46" i="45"/>
  <c r="E46" i="45"/>
  <c r="F45" i="45"/>
  <c r="E45" i="45"/>
  <c r="F44" i="45"/>
  <c r="E44" i="45"/>
  <c r="F43" i="45"/>
  <c r="E43" i="45"/>
  <c r="F42" i="45"/>
  <c r="E42" i="45"/>
  <c r="F41" i="45"/>
  <c r="E41"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E35" i="45"/>
  <c r="E34" i="45"/>
  <c r="E33" i="45"/>
  <c r="E32" i="45"/>
  <c r="E31" i="45"/>
  <c r="E30" i="45"/>
  <c r="E29" i="45"/>
  <c r="E28" i="45"/>
  <c r="E27" i="45"/>
  <c r="E26" i="45"/>
  <c r="E25" i="45"/>
  <c r="E24" i="45"/>
  <c r="E23" i="45"/>
  <c r="E22" i="45"/>
  <c r="E21" i="45"/>
  <c r="E20" i="45"/>
  <c r="E19" i="45"/>
  <c r="E18" i="45"/>
  <c r="E17" i="45"/>
  <c r="E16" i="45"/>
  <c r="E15" i="45"/>
  <c r="E14" i="45"/>
  <c r="E13" i="45"/>
  <c r="E12" i="45"/>
  <c r="E11" i="45"/>
  <c r="E10" i="45"/>
  <c r="E9" i="45"/>
  <c r="E8" i="45"/>
  <c r="E7" i="45"/>
  <c r="E6" i="45"/>
  <c r="B155" i="46"/>
  <c r="E155" i="46"/>
  <c r="E154" i="46"/>
  <c r="E153" i="46"/>
  <c r="E152" i="46"/>
  <c r="E151" i="46"/>
  <c r="E150" i="46"/>
  <c r="E149" i="46"/>
  <c r="E148" i="46"/>
  <c r="E147" i="46"/>
  <c r="E146" i="46"/>
  <c r="E145" i="46"/>
  <c r="E144" i="46"/>
  <c r="E143" i="46"/>
  <c r="E142" i="46"/>
  <c r="E141" i="46"/>
  <c r="E140" i="46"/>
  <c r="E139" i="46"/>
  <c r="E138" i="46"/>
  <c r="E137" i="46"/>
  <c r="E136" i="46"/>
  <c r="E135" i="46"/>
  <c r="E134" i="46"/>
  <c r="E133" i="46"/>
  <c r="E132" i="46"/>
  <c r="E131" i="46"/>
  <c r="E130" i="46"/>
  <c r="E129" i="46"/>
  <c r="E128" i="46"/>
  <c r="E127" i="46"/>
  <c r="E126" i="46"/>
  <c r="E125" i="46"/>
  <c r="E124" i="46"/>
  <c r="E123" i="46"/>
  <c r="E122" i="46"/>
  <c r="E121" i="46"/>
  <c r="E120" i="46"/>
  <c r="E119" i="46"/>
  <c r="E118"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6"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7" i="46"/>
  <c r="B145" i="46" l="1"/>
  <c r="F145" i="46" s="1"/>
  <c r="B148" i="46"/>
  <c r="F148" i="46" s="1"/>
  <c r="B142" i="46"/>
  <c r="B138" i="46"/>
  <c r="B43" i="46"/>
  <c r="F43" i="46" s="1"/>
  <c r="B63" i="46"/>
  <c r="F63" i="46" s="1"/>
  <c r="B150" i="46"/>
  <c r="B84" i="46"/>
  <c r="F84" i="46" s="1"/>
  <c r="B56" i="46"/>
  <c r="F56" i="46" s="1"/>
  <c r="B60" i="46"/>
  <c r="F60" i="46" s="1"/>
  <c r="B70" i="46"/>
  <c r="B48" i="46"/>
  <c r="F48" i="46" s="1"/>
  <c r="B92" i="46"/>
  <c r="B99" i="46"/>
  <c r="B66" i="46"/>
  <c r="B46" i="46"/>
  <c r="B53" i="46"/>
  <c r="B79" i="46"/>
  <c r="B104" i="46"/>
  <c r="B61" i="46"/>
  <c r="F61" i="46" s="1"/>
  <c r="B147" i="46"/>
  <c r="B50" i="46"/>
  <c r="F50" i="46" s="1"/>
  <c r="B68" i="46"/>
  <c r="B140" i="46"/>
  <c r="B153" i="46"/>
  <c r="B28" i="46"/>
  <c r="B55" i="46"/>
  <c r="F55" i="46" s="1"/>
  <c r="B87" i="46"/>
  <c r="B35" i="46"/>
  <c r="B77" i="46"/>
  <c r="B94" i="46"/>
  <c r="B143" i="46"/>
  <c r="B41" i="46"/>
  <c r="B97" i="46"/>
  <c r="B29" i="46"/>
  <c r="B17" i="46"/>
  <c r="B31" i="46"/>
  <c r="B45" i="46"/>
  <c r="B51" i="46"/>
  <c r="F51" i="46" s="1"/>
  <c r="B58" i="46"/>
  <c r="B65" i="46"/>
  <c r="B82" i="46"/>
  <c r="B89" i="46"/>
  <c r="B102" i="46"/>
  <c r="B7" i="46"/>
  <c r="B24" i="46"/>
  <c r="B14" i="46"/>
  <c r="B27" i="46"/>
  <c r="B34" i="46"/>
  <c r="B86" i="46"/>
  <c r="B100" i="46"/>
  <c r="B8" i="46"/>
  <c r="B109" i="46"/>
  <c r="B11" i="46"/>
  <c r="B18" i="46"/>
  <c r="B25" i="46"/>
  <c r="B83" i="46"/>
  <c r="F83" i="46" s="1"/>
  <c r="B96" i="46"/>
  <c r="F96" i="46" s="1"/>
  <c r="B118" i="46"/>
  <c r="B80" i="46"/>
  <c r="B93" i="46"/>
  <c r="B125" i="46"/>
  <c r="B106" i="46"/>
  <c r="B108" i="46"/>
  <c r="B110" i="46"/>
  <c r="F107" i="46"/>
  <c r="G107" i="46" s="1"/>
  <c r="B10" i="46"/>
  <c r="F10" i="46" s="1"/>
  <c r="B15" i="46"/>
  <c r="B21" i="46"/>
  <c r="B76" i="46"/>
  <c r="B90" i="46"/>
  <c r="F90" i="46" s="1"/>
  <c r="B103" i="46"/>
  <c r="F103" i="46" s="1"/>
  <c r="B132" i="46"/>
  <c r="L112" i="47"/>
  <c r="B144" i="46"/>
  <c r="B151" i="46"/>
  <c r="B139" i="46"/>
  <c r="B154" i="46"/>
  <c r="B149" i="46"/>
  <c r="B141" i="46"/>
  <c r="B146" i="46"/>
  <c r="B120" i="46"/>
  <c r="B127" i="46"/>
  <c r="B122" i="46"/>
  <c r="B128" i="46"/>
  <c r="B135" i="46"/>
  <c r="B119" i="46"/>
  <c r="B121" i="46"/>
  <c r="B124" i="46"/>
  <c r="B126" i="46"/>
  <c r="B129" i="46"/>
  <c r="B131" i="46"/>
  <c r="B134" i="46"/>
  <c r="B136" i="46"/>
  <c r="B133" i="46"/>
  <c r="B123" i="46"/>
  <c r="B130" i="46"/>
  <c r="B137" i="46"/>
  <c r="B78" i="46"/>
  <c r="B81" i="46"/>
  <c r="B85" i="46"/>
  <c r="B88" i="46"/>
  <c r="B91" i="46"/>
  <c r="B95" i="46"/>
  <c r="B98" i="46"/>
  <c r="B101" i="46"/>
  <c r="B105" i="46"/>
  <c r="B42" i="46"/>
  <c r="B49" i="46"/>
  <c r="B52" i="46"/>
  <c r="B59" i="46"/>
  <c r="B62" i="46"/>
  <c r="B69" i="46"/>
  <c r="B44" i="46"/>
  <c r="B47" i="46"/>
  <c r="B54" i="46"/>
  <c r="B57" i="46"/>
  <c r="B64" i="46"/>
  <c r="B67" i="46"/>
  <c r="B30" i="46"/>
  <c r="B26" i="46"/>
  <c r="B20" i="46"/>
  <c r="B6" i="46"/>
  <c r="B16" i="46"/>
  <c r="B33" i="46"/>
  <c r="B23" i="46"/>
  <c r="B13" i="46"/>
  <c r="B9" i="46"/>
  <c r="B12" i="46"/>
  <c r="B19" i="46"/>
  <c r="B22" i="46"/>
  <c r="B32" i="46"/>
  <c r="F152" i="46"/>
  <c r="F155" i="46"/>
  <c r="F66" i="46" l="1"/>
  <c r="F138" i="46"/>
  <c r="F142" i="46"/>
  <c r="F70" i="46"/>
  <c r="G70" i="46" s="1"/>
  <c r="F41" i="46"/>
  <c r="G41" i="46" s="1"/>
  <c r="F29" i="46"/>
  <c r="F53" i="46"/>
  <c r="G53" i="46" s="1"/>
  <c r="F99" i="46"/>
  <c r="G99" i="46" s="1"/>
  <c r="F151" i="46"/>
  <c r="F92" i="46"/>
  <c r="G92" i="46" s="1"/>
  <c r="F147" i="46"/>
  <c r="F150" i="46"/>
  <c r="G150" i="46" s="1"/>
  <c r="F46" i="46"/>
  <c r="F68" i="46"/>
  <c r="F97" i="46"/>
  <c r="G97" i="46" s="1"/>
  <c r="F79" i="46"/>
  <c r="G79" i="46" s="1"/>
  <c r="F94" i="46"/>
  <c r="F153" i="46"/>
  <c r="G153" i="46" s="1"/>
  <c r="F124" i="46"/>
  <c r="F104" i="46"/>
  <c r="G104" i="46" s="1"/>
  <c r="F17" i="46"/>
  <c r="F125" i="46"/>
  <c r="F31" i="46"/>
  <c r="F35" i="46"/>
  <c r="F28" i="46"/>
  <c r="F24" i="46"/>
  <c r="G24" i="46" s="1"/>
  <c r="F129" i="46"/>
  <c r="F87" i="46"/>
  <c r="G87" i="46" s="1"/>
  <c r="F45" i="46"/>
  <c r="F134" i="46"/>
  <c r="F140" i="46"/>
  <c r="F77" i="46"/>
  <c r="G77" i="46" s="1"/>
  <c r="F143" i="46"/>
  <c r="F82" i="46"/>
  <c r="G82" i="46" s="1"/>
  <c r="F65" i="46"/>
  <c r="F34" i="46"/>
  <c r="F7" i="46"/>
  <c r="F76" i="46"/>
  <c r="F89" i="46"/>
  <c r="G89" i="46" s="1"/>
  <c r="F18" i="46"/>
  <c r="F58" i="46"/>
  <c r="F102" i="46"/>
  <c r="G102" i="46" s="1"/>
  <c r="G142" i="46"/>
  <c r="F14" i="46"/>
  <c r="F154" i="46"/>
  <c r="G154" i="46" s="1"/>
  <c r="F86" i="46"/>
  <c r="F52" i="46"/>
  <c r="F100" i="46"/>
  <c r="F27" i="46"/>
  <c r="G27" i="46" s="1"/>
  <c r="F11" i="46"/>
  <c r="F119" i="46"/>
  <c r="G119" i="46" s="1"/>
  <c r="F131" i="46"/>
  <c r="F8" i="46"/>
  <c r="G8" i="46" s="1"/>
  <c r="F42" i="46"/>
  <c r="F25" i="46"/>
  <c r="G25" i="46" s="1"/>
  <c r="F62" i="46"/>
  <c r="G60" i="46"/>
  <c r="F44" i="46"/>
  <c r="G44" i="46" s="1"/>
  <c r="F64" i="46"/>
  <c r="G64" i="46" s="1"/>
  <c r="G51" i="46"/>
  <c r="F47" i="46"/>
  <c r="G47" i="46" s="1"/>
  <c r="F144" i="46"/>
  <c r="F15" i="46"/>
  <c r="G15" i="46" s="1"/>
  <c r="F80" i="46"/>
  <c r="F149" i="46"/>
  <c r="G149" i="46" s="1"/>
  <c r="G138" i="46"/>
  <c r="F136" i="46"/>
  <c r="G136" i="46" s="1"/>
  <c r="F93" i="46"/>
  <c r="F120" i="46"/>
  <c r="F54" i="46"/>
  <c r="G54" i="46" s="1"/>
  <c r="F121" i="46"/>
  <c r="G121" i="46" s="1"/>
  <c r="F132" i="46"/>
  <c r="G132" i="46" s="1"/>
  <c r="F21" i="46"/>
  <c r="G50" i="46"/>
  <c r="F22" i="46"/>
  <c r="G22" i="46" s="1"/>
  <c r="F108" i="46"/>
  <c r="G108" i="46" s="1"/>
  <c r="F122" i="46"/>
  <c r="G122" i="46" s="1"/>
  <c r="F118" i="46"/>
  <c r="F59" i="46"/>
  <c r="F109" i="46"/>
  <c r="G109" i="46" s="1"/>
  <c r="F6" i="46"/>
  <c r="G6" i="46" s="1"/>
  <c r="F57" i="46"/>
  <c r="F12" i="46"/>
  <c r="G12" i="46" s="1"/>
  <c r="F110" i="46"/>
  <c r="G110" i="46" s="1"/>
  <c r="F106" i="46"/>
  <c r="G106" i="46" s="1"/>
  <c r="F139" i="46"/>
  <c r="G139" i="46" s="1"/>
  <c r="F137" i="46"/>
  <c r="G137" i="46" s="1"/>
  <c r="G145" i="46"/>
  <c r="F69" i="46"/>
  <c r="G90" i="46"/>
  <c r="F141" i="46"/>
  <c r="G141" i="46" s="1"/>
  <c r="G83" i="46"/>
  <c r="G55" i="46"/>
  <c r="G43" i="46"/>
  <c r="G61" i="46"/>
  <c r="G48" i="46"/>
  <c r="G56" i="46"/>
  <c r="G155" i="46"/>
  <c r="G152" i="46"/>
  <c r="F146" i="46"/>
  <c r="G148" i="46"/>
  <c r="F128" i="46"/>
  <c r="F130" i="46"/>
  <c r="F123" i="46"/>
  <c r="F126" i="46"/>
  <c r="F133" i="46"/>
  <c r="F135" i="46"/>
  <c r="F127" i="46"/>
  <c r="F91" i="46"/>
  <c r="G96" i="46"/>
  <c r="F98" i="46"/>
  <c r="F85" i="46"/>
  <c r="G103" i="46"/>
  <c r="F78" i="46"/>
  <c r="F105" i="46"/>
  <c r="F88" i="46"/>
  <c r="F101" i="46"/>
  <c r="G84" i="46"/>
  <c r="F95" i="46"/>
  <c r="F81" i="46"/>
  <c r="G66" i="46"/>
  <c r="F49" i="46"/>
  <c r="F67" i="46"/>
  <c r="G63" i="46"/>
  <c r="F33" i="46"/>
  <c r="G10" i="46"/>
  <c r="F20" i="46"/>
  <c r="F19" i="46"/>
  <c r="F13" i="46"/>
  <c r="F26" i="46"/>
  <c r="F9" i="46"/>
  <c r="F23" i="46"/>
  <c r="F16" i="46"/>
  <c r="G29" i="46"/>
  <c r="F32" i="46"/>
  <c r="F30" i="46"/>
  <c r="G94" i="46" l="1"/>
  <c r="G31" i="46"/>
  <c r="G35" i="46"/>
  <c r="G140" i="46"/>
  <c r="G151" i="46"/>
  <c r="G147" i="46"/>
  <c r="G46" i="46"/>
  <c r="G14" i="46"/>
  <c r="G17" i="46"/>
  <c r="G11" i="46"/>
  <c r="G125" i="46"/>
  <c r="G7" i="46"/>
  <c r="G68" i="46"/>
  <c r="G124" i="46"/>
  <c r="G45" i="46"/>
  <c r="G129" i="46"/>
  <c r="G28" i="46"/>
  <c r="G76" i="46"/>
  <c r="G134" i="46"/>
  <c r="G143" i="46"/>
  <c r="G58" i="46"/>
  <c r="G65" i="46"/>
  <c r="G52" i="46"/>
  <c r="G18" i="46"/>
  <c r="G34" i="46"/>
  <c r="G100" i="46"/>
  <c r="G42" i="46"/>
  <c r="G62" i="46"/>
  <c r="G86" i="46"/>
  <c r="G21" i="46"/>
  <c r="G131" i="46"/>
  <c r="G144" i="46"/>
  <c r="G69" i="46"/>
  <c r="G80" i="46"/>
  <c r="G59" i="46"/>
  <c r="G57" i="46"/>
  <c r="G120" i="46"/>
  <c r="G118" i="46"/>
  <c r="G93" i="46"/>
  <c r="G146" i="46"/>
  <c r="G126" i="46"/>
  <c r="G127" i="46"/>
  <c r="G123" i="46"/>
  <c r="G135" i="46"/>
  <c r="G130" i="46"/>
  <c r="G133" i="46"/>
  <c r="G128" i="46"/>
  <c r="G78" i="46"/>
  <c r="G85" i="46"/>
  <c r="G91" i="46"/>
  <c r="G105" i="46"/>
  <c r="G98" i="46"/>
  <c r="G81" i="46"/>
  <c r="G101" i="46"/>
  <c r="G95" i="46"/>
  <c r="G88" i="46"/>
  <c r="G49" i="46"/>
  <c r="G67" i="46"/>
  <c r="G23" i="46"/>
  <c r="G9" i="46"/>
  <c r="G32" i="46"/>
  <c r="G26" i="46"/>
  <c r="G30" i="46"/>
  <c r="G13" i="46"/>
  <c r="G16" i="46"/>
  <c r="G19" i="46"/>
  <c r="G20" i="46"/>
  <c r="G33" i="46"/>
  <c r="H33" i="44"/>
  <c r="G33" i="44"/>
  <c r="F33" i="44"/>
  <c r="E33" i="44"/>
  <c r="D33" i="44"/>
  <c r="C33" i="44"/>
  <c r="B22" i="44"/>
  <c r="B33" i="44" s="1"/>
  <c r="L158" i="47"/>
  <c r="K158" i="47"/>
  <c r="I158" i="47"/>
  <c r="H158" i="47"/>
  <c r="F158" i="47"/>
  <c r="E158" i="47"/>
  <c r="C158" i="47"/>
  <c r="B158" i="47"/>
  <c r="H157" i="46"/>
  <c r="D157" i="46"/>
  <c r="C157" i="46"/>
  <c r="E157" i="46"/>
  <c r="F157" i="46"/>
  <c r="H112" i="46"/>
  <c r="F112" i="46"/>
  <c r="E112" i="46"/>
  <c r="D112" i="46"/>
  <c r="C112" i="46"/>
  <c r="B112" i="46"/>
  <c r="A37" i="46"/>
  <c r="A72" i="46" s="1"/>
  <c r="G157" i="45"/>
  <c r="F157" i="45"/>
  <c r="E157" i="45"/>
  <c r="D157" i="45"/>
  <c r="C157" i="45"/>
  <c r="B157" i="45"/>
  <c r="G112" i="45"/>
  <c r="G158" i="45" s="1"/>
  <c r="F112" i="45"/>
  <c r="F158" i="45" s="1"/>
  <c r="E112" i="45"/>
  <c r="E158" i="45" s="1"/>
  <c r="D112" i="45"/>
  <c r="D158" i="45" s="1"/>
  <c r="C112" i="45"/>
  <c r="C158" i="45" s="1"/>
  <c r="B112" i="45"/>
  <c r="B158" i="45" s="1"/>
  <c r="A37" i="45"/>
  <c r="A72" i="45" s="1"/>
  <c r="H32" i="44"/>
  <c r="G32" i="44"/>
  <c r="F32" i="44"/>
  <c r="E32" i="44"/>
  <c r="D32" i="44"/>
  <c r="C32" i="44"/>
  <c r="H31" i="44"/>
  <c r="G31" i="44"/>
  <c r="F31" i="44"/>
  <c r="E31" i="44"/>
  <c r="D31" i="44"/>
  <c r="C31" i="44"/>
  <c r="H30" i="44"/>
  <c r="G30" i="44"/>
  <c r="F30" i="44"/>
  <c r="E30" i="44"/>
  <c r="D30" i="44"/>
  <c r="C30" i="44"/>
  <c r="H29" i="44"/>
  <c r="G29" i="44"/>
  <c r="F29" i="44"/>
  <c r="E29" i="44"/>
  <c r="D29" i="44"/>
  <c r="C29" i="44"/>
  <c r="B21" i="44"/>
  <c r="B32" i="44" s="1"/>
  <c r="B20" i="44"/>
  <c r="B31" i="44" s="1"/>
  <c r="B19" i="44"/>
  <c r="B30" i="44" s="1"/>
  <c r="B18" i="44"/>
  <c r="B29" i="44" s="1"/>
  <c r="B23" i="44" l="1"/>
  <c r="B34" i="44" s="1"/>
  <c r="C158" i="46"/>
  <c r="C160" i="46" s="1"/>
  <c r="H158" i="46"/>
  <c r="F158" i="46"/>
  <c r="D158" i="46"/>
  <c r="B158" i="46"/>
  <c r="E158" i="46"/>
  <c r="E160" i="46" s="1"/>
  <c r="E160" i="47"/>
  <c r="K160" i="47"/>
  <c r="B160" i="47"/>
  <c r="H160" i="47"/>
  <c r="B157" i="46"/>
  <c r="D160" i="45"/>
  <c r="C160" i="45"/>
  <c r="E160" i="45"/>
  <c r="G160" i="45"/>
  <c r="G157" i="46"/>
  <c r="C160" i="47"/>
  <c r="I160" i="47"/>
  <c r="B160" i="45"/>
  <c r="F160" i="45"/>
  <c r="F160" i="47"/>
  <c r="L160" i="47"/>
  <c r="G112" i="46"/>
  <c r="B24" i="44" l="1"/>
  <c r="B35" i="44" s="1"/>
  <c r="B25" i="44"/>
  <c r="B36" i="44" s="1"/>
  <c r="F160" i="46"/>
  <c r="B160" i="46"/>
  <c r="D160" i="46"/>
  <c r="G158" i="46"/>
  <c r="H160" i="46"/>
  <c r="D34" i="44" l="1"/>
  <c r="G160" i="46"/>
  <c r="H23" i="44"/>
  <c r="F34" i="44"/>
  <c r="E34" i="44"/>
  <c r="G34" i="44"/>
  <c r="H12" i="44"/>
  <c r="C34" i="44"/>
  <c r="H34" i="44" l="1"/>
  <c r="F156" i="24" l="1"/>
  <c r="I47" i="22" l="1"/>
  <c r="H47" i="22"/>
  <c r="G47" i="22"/>
  <c r="F47" i="22"/>
  <c r="E47" i="22"/>
  <c r="D47" i="22"/>
  <c r="C47" i="22"/>
  <c r="B47" i="22"/>
  <c r="I46" i="22"/>
  <c r="H46" i="22"/>
  <c r="G46" i="22"/>
  <c r="F46" i="22"/>
  <c r="E46" i="22"/>
  <c r="D46" i="22"/>
  <c r="C46" i="22"/>
  <c r="B46" i="22"/>
  <c r="H17" i="22"/>
  <c r="G17" i="22"/>
  <c r="F17" i="22"/>
  <c r="E17" i="22"/>
  <c r="D17" i="22"/>
  <c r="C17" i="22"/>
  <c r="B17" i="22"/>
  <c r="H16" i="22"/>
  <c r="G16" i="22"/>
  <c r="F16" i="22"/>
  <c r="E16" i="22"/>
  <c r="D16" i="22"/>
  <c r="C16" i="22"/>
  <c r="B16" i="22"/>
  <c r="G18" i="21"/>
  <c r="F18" i="21"/>
  <c r="E18" i="21"/>
  <c r="D18" i="21"/>
  <c r="C18" i="21"/>
  <c r="B18" i="21"/>
  <c r="G17" i="21" l="1"/>
  <c r="F17" i="21"/>
  <c r="E17" i="21"/>
  <c r="D17" i="21"/>
  <c r="C17" i="21"/>
  <c r="B17" i="21"/>
  <c r="O16" i="17" l="1"/>
  <c r="N16" i="17"/>
  <c r="M6" i="17"/>
  <c r="M7" i="17"/>
  <c r="M8" i="17"/>
  <c r="P8" i="17" s="1"/>
  <c r="D15" i="14"/>
  <c r="P7" i="17" l="1"/>
  <c r="M16" i="17"/>
  <c r="B38" i="3"/>
  <c r="B33" i="3"/>
  <c r="B13" i="3"/>
  <c r="B17" i="3"/>
  <c r="B16" i="3"/>
  <c r="B18" i="3" s="1"/>
  <c r="B8" i="3"/>
  <c r="C38" i="3"/>
  <c r="C33" i="3"/>
  <c r="C17" i="3"/>
  <c r="C16" i="3"/>
  <c r="C8" i="3"/>
  <c r="D38" i="3"/>
  <c r="D33" i="3"/>
  <c r="D17" i="3"/>
  <c r="D16" i="3"/>
  <c r="D8" i="3"/>
  <c r="E38" i="3"/>
  <c r="E33" i="3"/>
  <c r="E17" i="3"/>
  <c r="E16" i="3"/>
  <c r="E8" i="3"/>
  <c r="F38" i="3"/>
  <c r="F33" i="3"/>
  <c r="F17" i="3"/>
  <c r="F16" i="3"/>
  <c r="F8" i="3"/>
  <c r="H38" i="3"/>
  <c r="K8" i="3"/>
  <c r="N8" i="3" s="1"/>
  <c r="B40" i="3" l="1"/>
  <c r="P16" i="17"/>
  <c r="D18" i="3"/>
  <c r="C13" i="3"/>
  <c r="C40" i="3" s="1"/>
  <c r="D13" i="3"/>
  <c r="D40" i="3" s="1"/>
  <c r="C18" i="3"/>
  <c r="E18" i="3"/>
  <c r="F18" i="3"/>
  <c r="E13" i="3"/>
  <c r="E40" i="3" s="1"/>
  <c r="F13" i="3"/>
  <c r="F40" i="3" s="1"/>
  <c r="O15" i="17" l="1"/>
  <c r="N15" i="17"/>
  <c r="P15" i="17" s="1"/>
  <c r="J58" i="4" l="1"/>
  <c r="I43" i="13"/>
  <c r="H43" i="13"/>
  <c r="F35" i="18" l="1"/>
  <c r="M54" i="19" l="1"/>
  <c r="L54" i="19"/>
  <c r="D59" i="19"/>
  <c r="D58" i="19"/>
  <c r="D57" i="19"/>
  <c r="D56" i="19"/>
  <c r="D55" i="19"/>
  <c r="D54" i="19"/>
  <c r="D53" i="19"/>
  <c r="D52" i="19"/>
  <c r="D51" i="19"/>
  <c r="D50" i="19"/>
  <c r="M31" i="19"/>
  <c r="M56" i="19" s="1"/>
  <c r="L31" i="19"/>
  <c r="L56" i="19" s="1"/>
  <c r="N29" i="19"/>
  <c r="N28" i="19"/>
  <c r="N27" i="19"/>
  <c r="N26" i="19"/>
  <c r="N25" i="19"/>
  <c r="N24" i="19"/>
  <c r="N23" i="19"/>
  <c r="N22" i="19"/>
  <c r="N21" i="19"/>
  <c r="N20" i="19"/>
  <c r="N19" i="19"/>
  <c r="N18" i="19"/>
  <c r="N17" i="19"/>
  <c r="N16" i="19"/>
  <c r="N15" i="19"/>
  <c r="N14" i="19"/>
  <c r="N13" i="19"/>
  <c r="N12" i="19"/>
  <c r="N11" i="19"/>
  <c r="N10" i="19"/>
  <c r="N9" i="19"/>
  <c r="N8" i="19"/>
  <c r="N7" i="19"/>
  <c r="N6" i="19"/>
  <c r="N5" i="19"/>
  <c r="N54" i="19" l="1"/>
  <c r="N31" i="19"/>
  <c r="F19" i="23"/>
  <c r="F20" i="23"/>
  <c r="F22" i="23"/>
  <c r="F23" i="23"/>
  <c r="F24" i="23"/>
  <c r="F13" i="23"/>
  <c r="F12" i="23"/>
  <c r="F11" i="23"/>
  <c r="F10" i="23"/>
  <c r="F9" i="23"/>
  <c r="F8" i="23"/>
  <c r="F7" i="23"/>
  <c r="F6" i="23"/>
  <c r="O96" i="25" l="1"/>
  <c r="K44" i="25"/>
  <c r="O98" i="25" s="1"/>
  <c r="G51" i="25"/>
  <c r="O97" i="25" s="1"/>
  <c r="H160" i="11" l="1"/>
  <c r="C160" i="11"/>
  <c r="C115" i="11"/>
  <c r="M118" i="10" l="1"/>
  <c r="L118" i="10"/>
  <c r="K118" i="10"/>
  <c r="I118" i="10"/>
  <c r="H118" i="10"/>
  <c r="G118" i="10"/>
  <c r="F118" i="10"/>
  <c r="D118" i="10"/>
  <c r="C118" i="10"/>
  <c r="M165" i="10"/>
  <c r="L165" i="10"/>
  <c r="K165" i="10"/>
  <c r="I165" i="10"/>
  <c r="H165" i="10"/>
  <c r="G165" i="10"/>
  <c r="F165" i="10"/>
  <c r="D165" i="10"/>
  <c r="C165" i="10"/>
  <c r="C46" i="9" l="1"/>
  <c r="D46" i="9"/>
  <c r="D88" i="9" s="1"/>
  <c r="E46" i="9"/>
  <c r="E88" i="9" s="1"/>
  <c r="F46" i="9"/>
  <c r="F88" i="9" s="1"/>
  <c r="G46" i="9"/>
  <c r="G88" i="9" s="1"/>
  <c r="H46" i="9"/>
  <c r="H88" i="9" s="1"/>
  <c r="I46" i="9"/>
  <c r="I88" i="9" s="1"/>
  <c r="J46" i="9"/>
  <c r="J88" i="9" s="1"/>
  <c r="K46" i="9"/>
  <c r="L46" i="9"/>
  <c r="L88" i="9" s="1"/>
  <c r="M46" i="9"/>
  <c r="M88" i="9" s="1"/>
  <c r="C88" i="9"/>
  <c r="K88" i="9"/>
  <c r="D167" i="9" l="1"/>
  <c r="E167" i="9"/>
  <c r="F167" i="9"/>
  <c r="G167" i="9"/>
  <c r="H167" i="9"/>
  <c r="I167" i="9"/>
  <c r="J167" i="9"/>
  <c r="K167" i="9"/>
  <c r="L167" i="9"/>
  <c r="M167" i="9"/>
  <c r="C167" i="9"/>
  <c r="D118" i="9"/>
  <c r="E118" i="9"/>
  <c r="F118" i="9"/>
  <c r="G118" i="9"/>
  <c r="H118" i="9"/>
  <c r="I118" i="9"/>
  <c r="J118" i="9"/>
  <c r="K118" i="9"/>
  <c r="L118" i="9"/>
  <c r="M118" i="9"/>
  <c r="C118" i="9"/>
  <c r="I31" i="8" l="1"/>
  <c r="H31" i="8"/>
  <c r="G31" i="8"/>
  <c r="F31" i="8"/>
  <c r="E31" i="8"/>
  <c r="D31" i="8"/>
  <c r="M31" i="8" l="1"/>
  <c r="B43" i="13" l="1"/>
  <c r="C43" i="13"/>
  <c r="E43" i="13"/>
  <c r="F43" i="13"/>
  <c r="K43" i="13"/>
  <c r="L43" i="13"/>
  <c r="D31" i="7" l="1"/>
  <c r="G31" i="7" l="1"/>
  <c r="H31" i="6" l="1"/>
  <c r="AA32" i="3" l="1"/>
  <c r="K38" i="3" l="1"/>
  <c r="C25" i="30" l="1"/>
  <c r="N169" i="9" l="1"/>
  <c r="N165" i="9"/>
  <c r="N164" i="9"/>
  <c r="N163" i="9"/>
  <c r="N162" i="9"/>
  <c r="N161" i="9"/>
  <c r="N160" i="9"/>
  <c r="N159" i="9"/>
  <c r="N158" i="9"/>
  <c r="N157" i="9"/>
  <c r="N156" i="9"/>
  <c r="N155" i="9"/>
  <c r="N154" i="9"/>
  <c r="N153" i="9"/>
  <c r="N152" i="9"/>
  <c r="N151" i="9"/>
  <c r="N150" i="9"/>
  <c r="N149" i="9"/>
  <c r="N148" i="9"/>
  <c r="M124" i="9"/>
  <c r="L124" i="9"/>
  <c r="K124" i="9"/>
  <c r="J124" i="9"/>
  <c r="I124" i="9"/>
  <c r="H124" i="9"/>
  <c r="G124" i="9"/>
  <c r="F124" i="9"/>
  <c r="E124" i="9"/>
  <c r="D124" i="9"/>
  <c r="C124" i="9"/>
  <c r="N147" i="9"/>
  <c r="N146" i="9"/>
  <c r="N145" i="9"/>
  <c r="N144" i="9"/>
  <c r="N143" i="9"/>
  <c r="N142" i="9"/>
  <c r="N141" i="9"/>
  <c r="N140" i="9"/>
  <c r="N139" i="9"/>
  <c r="N138" i="9"/>
  <c r="N137" i="9"/>
  <c r="N136" i="9"/>
  <c r="N135" i="9"/>
  <c r="N134" i="9"/>
  <c r="N133" i="9"/>
  <c r="N132" i="9"/>
  <c r="N131" i="9"/>
  <c r="N130" i="9"/>
  <c r="N129" i="9"/>
  <c r="N128" i="9"/>
  <c r="N167" i="9" l="1"/>
  <c r="N118" i="9"/>
  <c r="N124" i="9"/>
  <c r="D168" i="9"/>
  <c r="D171" i="9" s="1"/>
  <c r="H168" i="9"/>
  <c r="H171" i="9" s="1"/>
  <c r="L168" i="9"/>
  <c r="L171" i="9" s="1"/>
  <c r="E168" i="9"/>
  <c r="E171" i="9" s="1"/>
  <c r="I168" i="9"/>
  <c r="I171" i="9" s="1"/>
  <c r="M168" i="9"/>
  <c r="M171" i="9" s="1"/>
  <c r="N46" i="9"/>
  <c r="N88" i="9" s="1"/>
  <c r="F168" i="9"/>
  <c r="F171" i="9" s="1"/>
  <c r="J168" i="9"/>
  <c r="J171" i="9" s="1"/>
  <c r="C168" i="9"/>
  <c r="C171" i="9" s="1"/>
  <c r="G168" i="9"/>
  <c r="G171" i="9" s="1"/>
  <c r="K168" i="9"/>
  <c r="K171" i="9" s="1"/>
  <c r="N168" i="9" l="1"/>
  <c r="N171" i="9" s="1"/>
  <c r="K23" i="6"/>
  <c r="K12" i="3" l="1"/>
  <c r="K17" i="3" l="1"/>
  <c r="N17" i="3" s="1"/>
  <c r="F26" i="23"/>
  <c r="F5" i="23" l="1"/>
  <c r="F14" i="23"/>
  <c r="F15" i="23"/>
  <c r="D31" i="6" l="1"/>
  <c r="H25" i="36" l="1"/>
  <c r="G25" i="36"/>
  <c r="F25" i="36"/>
  <c r="E25" i="36"/>
  <c r="D25" i="36"/>
  <c r="C25" i="36"/>
  <c r="H24" i="36"/>
  <c r="G24" i="36"/>
  <c r="F24" i="36"/>
  <c r="E24" i="36"/>
  <c r="D24" i="36"/>
  <c r="C24" i="36"/>
  <c r="H23" i="36"/>
  <c r="G23" i="36"/>
  <c r="F23" i="36"/>
  <c r="E23" i="36"/>
  <c r="D23" i="36"/>
  <c r="C23" i="36"/>
  <c r="H22" i="36"/>
  <c r="G22" i="36"/>
  <c r="F22" i="36"/>
  <c r="E22" i="36"/>
  <c r="D22" i="36"/>
  <c r="C22" i="36"/>
  <c r="B18" i="36"/>
  <c r="B25" i="36" s="1"/>
  <c r="B17" i="36"/>
  <c r="B24" i="36" s="1"/>
  <c r="B16" i="36"/>
  <c r="B23" i="36" s="1"/>
  <c r="B15" i="36"/>
  <c r="B22" i="36" s="1"/>
  <c r="B12" i="36"/>
  <c r="B19" i="36" s="1"/>
  <c r="B26" i="36" s="1"/>
  <c r="G193" i="35"/>
  <c r="F193" i="35"/>
  <c r="E193" i="35"/>
  <c r="D193" i="35"/>
  <c r="C193" i="35"/>
  <c r="B193" i="35"/>
  <c r="G136" i="35"/>
  <c r="F136" i="35"/>
  <c r="E136" i="35"/>
  <c r="D136" i="35"/>
  <c r="C136" i="35"/>
  <c r="B136" i="35"/>
  <c r="A43" i="35"/>
  <c r="A84" i="35" s="1"/>
  <c r="A125" i="35" s="1"/>
  <c r="A166" i="35" s="1"/>
  <c r="E194" i="35" l="1"/>
  <c r="F194" i="35"/>
  <c r="G194" i="35"/>
  <c r="B194" i="35"/>
  <c r="C194" i="35"/>
  <c r="D194" i="35"/>
  <c r="D196" i="35" l="1"/>
  <c r="B196" i="35"/>
  <c r="F196" i="35"/>
  <c r="C196" i="35"/>
  <c r="G196" i="35"/>
  <c r="E196" i="35"/>
  <c r="D35" i="18"/>
  <c r="H19" i="36" l="1"/>
  <c r="C208" i="35"/>
  <c r="F208" i="35"/>
  <c r="H12" i="36"/>
  <c r="B208" i="35"/>
  <c r="E208" i="35"/>
  <c r="D208" i="35"/>
  <c r="G208" i="35"/>
  <c r="F26" i="36"/>
  <c r="D26" i="36"/>
  <c r="E26" i="36"/>
  <c r="G26" i="36"/>
  <c r="D30" i="36"/>
  <c r="F30" i="36"/>
  <c r="E30" i="36"/>
  <c r="G30" i="36"/>
  <c r="C30" i="36" l="1"/>
  <c r="C26" i="36"/>
  <c r="H30" i="36"/>
  <c r="H26" i="36"/>
  <c r="E20" i="5" l="1"/>
  <c r="G35" i="18" l="1"/>
  <c r="D5" i="19" l="1"/>
  <c r="E16" i="23"/>
  <c r="D16" i="23"/>
  <c r="A41" i="24" l="1"/>
  <c r="A80" i="24" s="1"/>
  <c r="A111" i="24" s="1"/>
  <c r="A44" i="10" l="1"/>
  <c r="A86" i="10" s="1"/>
  <c r="A120" i="10" s="1"/>
  <c r="B15" i="15" l="1"/>
  <c r="C9" i="15" l="1"/>
  <c r="C13" i="15"/>
  <c r="C10" i="15"/>
  <c r="C14" i="15"/>
  <c r="C7" i="15"/>
  <c r="C11" i="15"/>
  <c r="C6" i="15"/>
  <c r="C8" i="15"/>
  <c r="C12" i="15"/>
  <c r="E13" i="14" l="1"/>
  <c r="C15" i="15" l="1"/>
  <c r="K6" i="6" l="1"/>
  <c r="K30" i="6" l="1"/>
  <c r="L58" i="19" l="1"/>
  <c r="K21" i="6" l="1"/>
  <c r="H15" i="15" l="1"/>
  <c r="H17" i="15" l="1"/>
  <c r="I7" i="15"/>
  <c r="I11" i="15"/>
  <c r="I6" i="15"/>
  <c r="I9" i="15"/>
  <c r="I10" i="15"/>
  <c r="I14" i="15"/>
  <c r="I8" i="15"/>
  <c r="I12" i="15"/>
  <c r="I13" i="15"/>
  <c r="F25" i="23"/>
  <c r="I15" i="15" l="1"/>
  <c r="I17" i="15"/>
  <c r="I16" i="15"/>
  <c r="F28" i="23" l="1"/>
  <c r="B42" i="23" s="1"/>
  <c r="J11" i="3" l="1"/>
  <c r="B16" i="32"/>
  <c r="B18" i="32" s="1"/>
  <c r="J13" i="3" l="1"/>
  <c r="J16" i="3"/>
  <c r="J18" i="3" s="1"/>
  <c r="J41" i="4"/>
  <c r="J57" i="4" s="1"/>
  <c r="A56" i="25"/>
  <c r="A42" i="19"/>
  <c r="I16" i="32" l="1"/>
  <c r="I18" i="32" s="1"/>
  <c r="H16" i="32"/>
  <c r="H18" i="32" s="1"/>
  <c r="G16" i="32"/>
  <c r="G18" i="32" s="1"/>
  <c r="D16" i="32"/>
  <c r="D18" i="32" s="1"/>
  <c r="C16" i="32"/>
  <c r="C18" i="32" s="1"/>
  <c r="J17" i="32" l="1"/>
  <c r="J12" i="32"/>
  <c r="J8" i="32"/>
  <c r="J15" i="32"/>
  <c r="J11" i="32"/>
  <c r="J9" i="32"/>
  <c r="J14" i="32"/>
  <c r="J10" i="32"/>
  <c r="J13" i="32"/>
  <c r="E13" i="32"/>
  <c r="E9" i="32"/>
  <c r="E14" i="32"/>
  <c r="E17" i="32"/>
  <c r="E12" i="32"/>
  <c r="E8" i="32"/>
  <c r="E15" i="32"/>
  <c r="E11" i="32"/>
  <c r="E10" i="32"/>
  <c r="G18" i="4"/>
  <c r="H16" i="3" l="1"/>
  <c r="H18" i="3" s="1"/>
  <c r="H13" i="3"/>
  <c r="H40" i="3" s="1"/>
  <c r="E16" i="32"/>
  <c r="E18" i="32" s="1"/>
  <c r="J16" i="32"/>
  <c r="J18" i="32" s="1"/>
  <c r="G41" i="4"/>
  <c r="G57" i="4" s="1"/>
  <c r="K13" i="6" l="1"/>
  <c r="I38" i="19" l="1"/>
  <c r="I59" i="19"/>
  <c r="I58" i="19"/>
  <c r="I57" i="19"/>
  <c r="I56" i="19"/>
  <c r="I55" i="19"/>
  <c r="I54" i="19"/>
  <c r="I53" i="19"/>
  <c r="I52" i="19"/>
  <c r="I51" i="19"/>
  <c r="I50" i="19"/>
  <c r="I49" i="19"/>
  <c r="I48" i="19"/>
  <c r="I47" i="19"/>
  <c r="I46" i="19"/>
  <c r="I45" i="19"/>
  <c r="I39" i="19"/>
  <c r="I37" i="19"/>
  <c r="I36" i="19"/>
  <c r="I35" i="19"/>
  <c r="I34" i="19"/>
  <c r="I33" i="19"/>
  <c r="I32" i="19"/>
  <c r="I31" i="19"/>
  <c r="I30" i="19"/>
  <c r="I29" i="19"/>
  <c r="I28" i="19"/>
  <c r="I27" i="19"/>
  <c r="I26" i="19"/>
  <c r="I25" i="19"/>
  <c r="I24" i="19"/>
  <c r="I23" i="19"/>
  <c r="I22" i="19"/>
  <c r="I21" i="19"/>
  <c r="I20" i="19"/>
  <c r="I19" i="19"/>
  <c r="I18" i="19"/>
  <c r="I17" i="19"/>
  <c r="I16" i="19"/>
  <c r="I15" i="19"/>
  <c r="I11" i="19"/>
  <c r="I12" i="19"/>
  <c r="I13" i="19"/>
  <c r="I14" i="19"/>
  <c r="I10" i="19"/>
  <c r="I7" i="19"/>
  <c r="I8" i="19"/>
  <c r="I9" i="19"/>
  <c r="I6" i="19"/>
  <c r="I5" i="19"/>
  <c r="D49" i="19"/>
  <c r="D47" i="19"/>
  <c r="D48" i="19"/>
  <c r="D46" i="19"/>
  <c r="D45" i="19"/>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1" i="19"/>
  <c r="D12" i="19"/>
  <c r="D13" i="19"/>
  <c r="D14" i="19"/>
  <c r="D10" i="19"/>
  <c r="D6" i="19"/>
  <c r="E35" i="18" l="1"/>
  <c r="M58" i="19" l="1"/>
  <c r="K41" i="4" l="1"/>
  <c r="K11" i="3"/>
  <c r="O13" i="4" l="1"/>
  <c r="O9" i="4"/>
  <c r="O8" i="4"/>
  <c r="K57" i="4"/>
  <c r="O58" i="4" s="1"/>
  <c r="K16" i="3"/>
  <c r="N16" i="3" s="1"/>
  <c r="AA29" i="3"/>
  <c r="K13" i="3"/>
  <c r="K40" i="3" s="1"/>
  <c r="K18" i="3" l="1"/>
  <c r="N18" i="3" s="1"/>
  <c r="E31" i="6" l="1"/>
  <c r="AA30" i="3" l="1"/>
  <c r="AB30" i="3" s="1"/>
  <c r="AA31" i="3" l="1"/>
  <c r="AB31" i="3" s="1"/>
  <c r="K7" i="6" l="1"/>
  <c r="K8" i="6"/>
  <c r="K9" i="6"/>
  <c r="K10" i="6"/>
  <c r="K11" i="6"/>
  <c r="K12" i="6"/>
  <c r="K14" i="6"/>
  <c r="K15" i="6"/>
  <c r="K16" i="6"/>
  <c r="K17" i="6"/>
  <c r="K18" i="6"/>
  <c r="K19" i="6"/>
  <c r="K20" i="6"/>
  <c r="K22" i="6"/>
  <c r="K24" i="6"/>
  <c r="K25" i="6"/>
  <c r="K26" i="6"/>
  <c r="K27" i="6"/>
  <c r="K28" i="6"/>
  <c r="K29" i="6"/>
  <c r="J31" i="6" l="1"/>
  <c r="AB29" i="3" l="1"/>
  <c r="E31" i="7" l="1"/>
  <c r="F31" i="7"/>
  <c r="K31" i="7" l="1"/>
  <c r="G156" i="24"/>
  <c r="E156" i="24" l="1"/>
  <c r="B156" i="24" l="1"/>
  <c r="C35" i="18"/>
  <c r="C156" i="24" l="1"/>
  <c r="D156" i="24"/>
  <c r="A121" i="10" l="1"/>
  <c r="A87" i="10"/>
  <c r="A45" i="10"/>
  <c r="F16" i="23"/>
  <c r="I166" i="10" l="1"/>
  <c r="I169" i="10" s="1"/>
  <c r="M166" i="10"/>
  <c r="M169" i="10" s="1"/>
  <c r="D166" i="10"/>
  <c r="D169" i="10" s="1"/>
  <c r="H166" i="10"/>
  <c r="H169" i="10" s="1"/>
  <c r="L166" i="10"/>
  <c r="L169" i="10" s="1"/>
  <c r="G166" i="10"/>
  <c r="G169" i="10" s="1"/>
  <c r="K166" i="10"/>
  <c r="K169" i="10" s="1"/>
  <c r="F166" i="10"/>
  <c r="F169" i="10" s="1"/>
  <c r="C166" i="10" l="1"/>
  <c r="C169" i="10" s="1"/>
  <c r="F31" i="6" l="1"/>
  <c r="G31" i="6"/>
  <c r="I31" i="6"/>
  <c r="K31" i="6" s="1"/>
  <c r="G160" i="11"/>
  <c r="F160" i="11"/>
  <c r="E160" i="11"/>
  <c r="D160" i="11"/>
  <c r="H115" i="11"/>
  <c r="H161" i="11" s="1"/>
  <c r="G115" i="11"/>
  <c r="G161" i="11" s="1"/>
  <c r="F115" i="11"/>
  <c r="F161" i="11" s="1"/>
  <c r="E115" i="11"/>
  <c r="E161" i="11" s="1"/>
  <c r="D115" i="11"/>
  <c r="D161" i="11" s="1"/>
  <c r="C161" i="11"/>
  <c r="C164" i="11" s="1"/>
  <c r="A118" i="11"/>
  <c r="D9" i="19"/>
  <c r="D8" i="19"/>
  <c r="D7" i="19"/>
  <c r="O100" i="25"/>
  <c r="J38" i="3"/>
  <c r="A85" i="11"/>
  <c r="A44" i="11"/>
  <c r="A45" i="9" l="1"/>
  <c r="A87" i="9"/>
  <c r="A123" i="9"/>
  <c r="H164" i="11"/>
  <c r="G164" i="11"/>
  <c r="J40" i="3"/>
  <c r="F164" i="11"/>
  <c r="N56" i="19"/>
  <c r="N58" i="19" s="1"/>
  <c r="E164" i="11"/>
  <c r="D164" i="11"/>
  <c r="AA19" i="7"/>
  <c r="AA21" i="7" l="1"/>
  <c r="AA20" i="7"/>
  <c r="AA22" i="7" l="1"/>
  <c r="E15" i="15"/>
  <c r="E17" i="15" l="1"/>
  <c r="F10" i="15"/>
  <c r="F14" i="15"/>
  <c r="F8" i="15"/>
  <c r="F13" i="15"/>
  <c r="F7" i="15"/>
  <c r="F11" i="15"/>
  <c r="F6" i="15"/>
  <c r="F12" i="15"/>
  <c r="F9" i="15"/>
  <c r="F15" i="15" l="1"/>
  <c r="F17" i="15"/>
  <c r="F1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Frank B</author>
  </authors>
  <commentList>
    <comment ref="D5" authorId="0" shapeId="0" xr:uid="{00000000-0006-0000-1200-000001000000}">
      <text>
        <r>
          <rPr>
            <b/>
            <sz val="9"/>
            <color indexed="81"/>
            <rFont val="Tahoma"/>
            <family val="2"/>
          </rPr>
          <t>Frank B:</t>
        </r>
        <r>
          <rPr>
            <sz val="9"/>
            <color indexed="81"/>
            <rFont val="Tahoma"/>
            <family val="2"/>
          </rPr>
          <t xml:space="preserve">
</t>
        </r>
        <r>
          <rPr>
            <sz val="9"/>
            <color indexed="10"/>
            <rFont val="Tahoma"/>
            <family val="2"/>
          </rPr>
          <t>"Missing" collections have been consolidated here in HMO fund (per footnote #14) …which is what the new legislation effective FY 2021 does anyway (per footnote #15)</t>
        </r>
      </text>
    </comment>
    <comment ref="N7" authorId="0" shapeId="0" xr:uid="{00000000-0006-0000-1200-000002000000}">
      <text>
        <r>
          <rPr>
            <b/>
            <sz val="9"/>
            <color indexed="81"/>
            <rFont val="Tahoma"/>
            <family val="2"/>
          </rPr>
          <t>Frank B:</t>
        </r>
        <r>
          <rPr>
            <sz val="9"/>
            <color indexed="81"/>
            <rFont val="Tahoma"/>
            <family val="2"/>
          </rPr>
          <t xml:space="preserve">
4,703,940,000</t>
        </r>
      </text>
    </comment>
    <comment ref="N8" authorId="0" shapeId="0" xr:uid="{00000000-0006-0000-1200-000003000000}">
      <text>
        <r>
          <rPr>
            <b/>
            <sz val="9"/>
            <color indexed="81"/>
            <rFont val="Tahoma"/>
            <family val="2"/>
          </rPr>
          <t>Frank B:</t>
        </r>
        <r>
          <rPr>
            <sz val="9"/>
            <color indexed="81"/>
            <rFont val="Tahoma"/>
            <family val="2"/>
          </rPr>
          <t xml:space="preserve">
4,891,193,000</t>
        </r>
      </text>
    </comment>
    <comment ref="C9" authorId="0" shapeId="0" xr:uid="{00000000-0006-0000-1200-000004000000}">
      <text>
        <r>
          <rPr>
            <b/>
            <sz val="9"/>
            <color indexed="81"/>
            <rFont val="Tahoma"/>
            <family val="2"/>
          </rPr>
          <t>Frank B:</t>
        </r>
        <r>
          <rPr>
            <sz val="9"/>
            <color indexed="81"/>
            <rFont val="Tahoma"/>
            <family val="2"/>
          </rPr>
          <t xml:space="preserve">
526,570,000</t>
        </r>
      </text>
    </comment>
    <comment ref="D9" authorId="0" shapeId="0" xr:uid="{00000000-0006-0000-1200-000005000000}">
      <text>
        <r>
          <rPr>
            <b/>
            <sz val="9"/>
            <color indexed="81"/>
            <rFont val="Tahoma"/>
            <family val="2"/>
          </rPr>
          <t>Frank B:</t>
        </r>
        <r>
          <rPr>
            <sz val="9"/>
            <color indexed="81"/>
            <rFont val="Tahoma"/>
            <family val="2"/>
          </rPr>
          <t xml:space="preserve">
Original amount = 146,680,000</t>
        </r>
      </text>
    </comment>
    <comment ref="N9" authorId="0" shapeId="0" xr:uid="{00000000-0006-0000-1200-000006000000}">
      <text>
        <r>
          <rPr>
            <b/>
            <sz val="9"/>
            <color indexed="81"/>
            <rFont val="Tahoma"/>
            <family val="2"/>
          </rPr>
          <t>Frank B:</t>
        </r>
        <r>
          <rPr>
            <sz val="9"/>
            <color indexed="81"/>
            <rFont val="Tahoma"/>
            <family val="2"/>
          </rPr>
          <t xml:space="preserve">
5,052,117,000</t>
        </r>
      </text>
    </comment>
    <comment ref="D10" authorId="0" shapeId="0" xr:uid="{00000000-0006-0000-1200-000007000000}">
      <text>
        <r>
          <rPr>
            <b/>
            <sz val="9"/>
            <color indexed="81"/>
            <rFont val="Tahoma"/>
            <family val="2"/>
          </rPr>
          <t>Frank B:</t>
        </r>
        <r>
          <rPr>
            <sz val="9"/>
            <color indexed="81"/>
            <rFont val="Tahoma"/>
            <family val="2"/>
          </rPr>
          <t xml:space="preserve">
Orginal amount = 176,786,000</t>
        </r>
      </text>
    </comment>
    <comment ref="N10" authorId="0" shapeId="0" xr:uid="{00000000-0006-0000-1200-000008000000}">
      <text>
        <r>
          <rPr>
            <b/>
            <sz val="9"/>
            <color indexed="81"/>
            <rFont val="Tahoma"/>
            <family val="2"/>
          </rPr>
          <t>Frank B:</t>
        </r>
        <r>
          <rPr>
            <sz val="9"/>
            <color indexed="81"/>
            <rFont val="Tahoma"/>
            <family val="2"/>
          </rPr>
          <t xml:space="preserve">
5,584,659,000</t>
        </r>
      </text>
    </comment>
    <comment ref="D11" authorId="0" shapeId="0" xr:uid="{00000000-0006-0000-1200-000009000000}">
      <text>
        <r>
          <rPr>
            <b/>
            <sz val="9"/>
            <color indexed="81"/>
            <rFont val="Tahoma"/>
            <family val="2"/>
          </rPr>
          <t>Frank B:</t>
        </r>
        <r>
          <rPr>
            <sz val="9"/>
            <color indexed="81"/>
            <rFont val="Tahoma"/>
            <family val="2"/>
          </rPr>
          <t xml:space="preserve">
Original amount = 174,535,000</t>
        </r>
      </text>
    </comment>
    <comment ref="N11" authorId="0" shapeId="0" xr:uid="{00000000-0006-0000-1200-00000A000000}">
      <text>
        <r>
          <rPr>
            <b/>
            <sz val="9"/>
            <color indexed="81"/>
            <rFont val="Tahoma"/>
            <family val="2"/>
          </rPr>
          <t>Frank B:</t>
        </r>
        <r>
          <rPr>
            <sz val="9"/>
            <color indexed="81"/>
            <rFont val="Tahoma"/>
            <family val="2"/>
          </rPr>
          <t xml:space="preserve">
6,001,183,000</t>
        </r>
      </text>
    </comment>
    <comment ref="B12" authorId="0" shapeId="0" xr:uid="{00000000-0006-0000-1200-00000B000000}">
      <text>
        <r>
          <rPr>
            <b/>
            <sz val="9"/>
            <color indexed="81"/>
            <rFont val="Tahoma"/>
            <family val="2"/>
          </rPr>
          <t>Frank B:</t>
        </r>
        <r>
          <rPr>
            <sz val="9"/>
            <color indexed="81"/>
            <rFont val="Tahoma"/>
            <family val="2"/>
          </rPr>
          <t xml:space="preserve">
Revised up from 3,354,561,000</t>
        </r>
      </text>
    </comment>
    <comment ref="D12" authorId="0" shapeId="0" xr:uid="{00000000-0006-0000-1200-00000C000000}">
      <text>
        <r>
          <rPr>
            <b/>
            <sz val="9"/>
            <color indexed="81"/>
            <rFont val="Tahoma"/>
            <family val="2"/>
          </rPr>
          <t>Frank B:</t>
        </r>
        <r>
          <rPr>
            <sz val="9"/>
            <color indexed="81"/>
            <rFont val="Tahoma"/>
            <family val="2"/>
          </rPr>
          <t xml:space="preserve">
Original amount = 178,770,000</t>
        </r>
      </text>
    </comment>
    <comment ref="N12" authorId="0" shapeId="0" xr:uid="{00000000-0006-0000-1200-00000D000000}">
      <text>
        <r>
          <rPr>
            <b/>
            <sz val="9"/>
            <color indexed="81"/>
            <rFont val="Tahoma"/>
            <family val="2"/>
          </rPr>
          <t>Frank B:</t>
        </r>
        <r>
          <rPr>
            <sz val="9"/>
            <color indexed="81"/>
            <rFont val="Tahoma"/>
            <family val="2"/>
          </rPr>
          <t xml:space="preserve">
6,102,204,000</t>
        </r>
      </text>
    </comment>
    <comment ref="B13" authorId="0" shapeId="0" xr:uid="{00000000-0006-0000-1200-00000E000000}">
      <text>
        <r>
          <rPr>
            <b/>
            <sz val="9"/>
            <color indexed="81"/>
            <rFont val="Tahoma"/>
            <family val="2"/>
          </rPr>
          <t>Frank B:</t>
        </r>
        <r>
          <rPr>
            <sz val="9"/>
            <color indexed="81"/>
            <rFont val="Tahoma"/>
            <family val="2"/>
          </rPr>
          <t xml:space="preserve">
Revised up from 3,458,249,000</t>
        </r>
      </text>
    </comment>
    <comment ref="D13" authorId="0" shapeId="0" xr:uid="{00000000-0006-0000-1200-00000F000000}">
      <text>
        <r>
          <rPr>
            <b/>
            <sz val="9"/>
            <color indexed="81"/>
            <rFont val="Tahoma"/>
            <family val="2"/>
          </rPr>
          <t>Frank B:</t>
        </r>
        <r>
          <rPr>
            <sz val="9"/>
            <color indexed="81"/>
            <rFont val="Tahoma"/>
            <family val="2"/>
          </rPr>
          <t xml:space="preserve">
Original amt = 186,059,000</t>
        </r>
      </text>
    </comment>
    <comment ref="N13" authorId="0" shapeId="0" xr:uid="{00000000-0006-0000-1200-000010000000}">
      <text>
        <r>
          <rPr>
            <b/>
            <sz val="9"/>
            <color indexed="81"/>
            <rFont val="Tahoma"/>
            <family val="2"/>
          </rPr>
          <t>Frank B:</t>
        </r>
        <r>
          <rPr>
            <sz val="9"/>
            <color indexed="81"/>
            <rFont val="Tahoma"/>
            <family val="2"/>
          </rPr>
          <t xml:space="preserve">
6,239,509,000</t>
        </r>
      </text>
    </comment>
    <comment ref="D14" authorId="0" shapeId="0" xr:uid="{00000000-0006-0000-1200-000011000000}">
      <text>
        <r>
          <rPr>
            <b/>
            <sz val="9"/>
            <color indexed="81"/>
            <rFont val="Tahoma"/>
            <family val="2"/>
          </rPr>
          <t>Frank B:</t>
        </r>
        <r>
          <rPr>
            <sz val="9"/>
            <color indexed="81"/>
            <rFont val="Tahoma"/>
            <family val="2"/>
          </rPr>
          <t xml:space="preserve">
191,759,000=orig amt</t>
        </r>
      </text>
    </comment>
    <comment ref="G14" authorId="0" shapeId="0" xr:uid="{00000000-0006-0000-1200-000012000000}">
      <text>
        <r>
          <rPr>
            <b/>
            <sz val="9"/>
            <color indexed="81"/>
            <rFont val="Tahoma"/>
            <family val="2"/>
          </rPr>
          <t>Frank B:</t>
        </r>
        <r>
          <rPr>
            <sz val="9"/>
            <color indexed="81"/>
            <rFont val="Tahoma"/>
            <family val="2"/>
          </rPr>
          <t xml:space="preserve">
263,031,000=orig amt
</t>
        </r>
      </text>
    </comment>
    <comment ref="H14" authorId="0" shapeId="0" xr:uid="{00000000-0006-0000-1200-000013000000}">
      <text>
        <r>
          <rPr>
            <b/>
            <sz val="9"/>
            <color indexed="81"/>
            <rFont val="Tahoma"/>
            <family val="2"/>
          </rPr>
          <t>Frank B:</t>
        </r>
        <r>
          <rPr>
            <sz val="9"/>
            <color indexed="81"/>
            <rFont val="Tahoma"/>
            <family val="2"/>
          </rPr>
          <t xml:space="preserve">
139,640,000=orig amt</t>
        </r>
      </text>
    </comment>
    <comment ref="D15" authorId="0" shapeId="0" xr:uid="{00000000-0006-0000-1200-000014000000}">
      <text>
        <r>
          <rPr>
            <b/>
            <sz val="9"/>
            <color indexed="81"/>
            <rFont val="Tahoma"/>
            <family val="2"/>
          </rPr>
          <t>Frank B:</t>
        </r>
        <r>
          <rPr>
            <sz val="9"/>
            <color indexed="81"/>
            <rFont val="Tahoma"/>
            <family val="2"/>
          </rPr>
          <t xml:space="preserve">
</t>
        </r>
        <r>
          <rPr>
            <sz val="9"/>
            <color indexed="10"/>
            <rFont val="Tahoma"/>
            <family val="2"/>
          </rPr>
          <t>202,603,000 orig sum
=188,570,036.52
+14,033,366.21</t>
        </r>
      </text>
    </comment>
    <comment ref="G15" authorId="0" shapeId="0" xr:uid="{00000000-0006-0000-1200-000015000000}">
      <text>
        <r>
          <rPr>
            <b/>
            <sz val="9"/>
            <color indexed="81"/>
            <rFont val="Tahoma"/>
            <family val="2"/>
          </rPr>
          <t>Frank B:</t>
        </r>
        <r>
          <rPr>
            <sz val="9"/>
            <color indexed="81"/>
            <rFont val="Tahoma"/>
            <family val="2"/>
          </rPr>
          <t xml:space="preserve">
</t>
        </r>
        <r>
          <rPr>
            <sz val="9"/>
            <color indexed="10"/>
            <rFont val="Tahoma"/>
            <family val="2"/>
          </rPr>
          <t>268,747,998.96
=orig amt</t>
        </r>
      </text>
    </comment>
    <comment ref="H15" authorId="0" shapeId="0" xr:uid="{00000000-0006-0000-1200-000016000000}">
      <text>
        <r>
          <rPr>
            <b/>
            <sz val="9"/>
            <color indexed="81"/>
            <rFont val="Tahoma"/>
            <family val="2"/>
          </rPr>
          <t>Frank B:</t>
        </r>
        <r>
          <rPr>
            <sz val="9"/>
            <color indexed="81"/>
            <rFont val="Tahoma"/>
            <family val="2"/>
          </rPr>
          <t xml:space="preserve">
142,864,493.59
=orig amount</t>
        </r>
      </text>
    </comment>
    <comment ref="I15" authorId="0" shapeId="0" xr:uid="{00000000-0006-0000-1200-000017000000}">
      <text>
        <r>
          <rPr>
            <b/>
            <sz val="9"/>
            <color indexed="81"/>
            <rFont val="Tahoma"/>
            <family val="2"/>
          </rPr>
          <t>Frank B:</t>
        </r>
        <r>
          <rPr>
            <sz val="9"/>
            <color indexed="81"/>
            <rFont val="Tahoma"/>
            <family val="2"/>
          </rPr>
          <t xml:space="preserve">
</t>
        </r>
        <r>
          <rPr>
            <sz val="9"/>
            <color indexed="10"/>
            <rFont val="Tahoma"/>
            <family val="2"/>
          </rPr>
          <t xml:space="preserve">Original sum 22,731,000
=11363775.22
+11366175.1
+520.6
+505.48
</t>
        </r>
      </text>
    </comment>
    <comment ref="L32" authorId="0" shapeId="0" xr:uid="{00000000-0006-0000-1200-000018000000}">
      <text>
        <r>
          <rPr>
            <b/>
            <sz val="9"/>
            <color indexed="81"/>
            <rFont val="Tahoma"/>
            <family val="2"/>
          </rPr>
          <t>Frank B:</t>
        </r>
        <r>
          <rPr>
            <sz val="9"/>
            <color indexed="81"/>
            <rFont val="Tahoma"/>
            <family val="2"/>
          </rPr>
          <t xml:space="preserve">
</t>
        </r>
        <r>
          <rPr>
            <sz val="9"/>
            <color indexed="10"/>
            <rFont val="Tahoma"/>
            <family val="2"/>
          </rPr>
          <t>These new footnotes may need review?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Frank B</author>
  </authors>
  <commentList>
    <comment ref="C5" authorId="0" shapeId="0" xr:uid="{00000000-0006-0000-1300-000001000000}">
      <text>
        <r>
          <rPr>
            <b/>
            <sz val="9"/>
            <color indexed="81"/>
            <rFont val="Tahoma"/>
            <family val="2"/>
          </rPr>
          <t>Frank B:</t>
        </r>
        <r>
          <rPr>
            <sz val="9"/>
            <color indexed="81"/>
            <rFont val="Tahoma"/>
            <family val="2"/>
          </rPr>
          <t xml:space="preserve">
</t>
        </r>
        <r>
          <rPr>
            <sz val="9"/>
            <color indexed="10"/>
            <rFont val="Tahoma"/>
            <family val="2"/>
          </rPr>
          <t>Per Kristin's suggestion, this column would consolidate transportation funds, with breakout columns eliminated to right</t>
        </r>
      </text>
    </comment>
    <comment ref="E5" authorId="0" shapeId="0" xr:uid="{00000000-0006-0000-1300-000002000000}">
      <text>
        <r>
          <rPr>
            <b/>
            <sz val="9"/>
            <color indexed="81"/>
            <rFont val="Tahoma"/>
            <family val="2"/>
          </rPr>
          <t>Frank B:</t>
        </r>
        <r>
          <rPr>
            <sz val="9"/>
            <color indexed="81"/>
            <rFont val="Tahoma"/>
            <family val="2"/>
          </rPr>
          <t xml:space="preserve">
</t>
        </r>
        <r>
          <rPr>
            <sz val="9"/>
            <color indexed="10"/>
            <rFont val="Tahoma"/>
            <family val="2"/>
          </rPr>
          <t xml:space="preserve">"Missing" deposits to the HMO fund have been added (per footnote #13) 
I am concluding that these missed amounts represented errors… </t>
        </r>
      </text>
    </comment>
    <comment ref="P7" authorId="0" shapeId="0" xr:uid="{00000000-0006-0000-1300-000003000000}">
      <text>
        <r>
          <rPr>
            <b/>
            <sz val="9"/>
            <color indexed="81"/>
            <rFont val="Tahoma"/>
            <family val="2"/>
          </rPr>
          <t>Frank B:</t>
        </r>
        <r>
          <rPr>
            <sz val="9"/>
            <color indexed="81"/>
            <rFont val="Tahoma"/>
            <family val="2"/>
          </rPr>
          <t xml:space="preserve">
4,703,940,000</t>
        </r>
      </text>
    </comment>
    <comment ref="P8" authorId="0" shapeId="0" xr:uid="{00000000-0006-0000-1300-000004000000}">
      <text>
        <r>
          <rPr>
            <b/>
            <sz val="9"/>
            <color indexed="81"/>
            <rFont val="Tahoma"/>
            <family val="2"/>
          </rPr>
          <t>Frank B:</t>
        </r>
        <r>
          <rPr>
            <sz val="9"/>
            <color indexed="81"/>
            <rFont val="Tahoma"/>
            <family val="2"/>
          </rPr>
          <t xml:space="preserve">
4,891,193,000</t>
        </r>
      </text>
    </comment>
    <comment ref="P9" authorId="0" shapeId="0" xr:uid="{00000000-0006-0000-1300-000005000000}">
      <text>
        <r>
          <rPr>
            <b/>
            <sz val="9"/>
            <color indexed="81"/>
            <rFont val="Tahoma"/>
            <family val="2"/>
          </rPr>
          <t>Frank B:</t>
        </r>
        <r>
          <rPr>
            <sz val="9"/>
            <color indexed="81"/>
            <rFont val="Tahoma"/>
            <family val="2"/>
          </rPr>
          <t xml:space="preserve">
5,052,117,000</t>
        </r>
      </text>
    </comment>
    <comment ref="P10" authorId="0" shapeId="0" xr:uid="{00000000-0006-0000-1300-000006000000}">
      <text>
        <r>
          <rPr>
            <b/>
            <sz val="9"/>
            <color indexed="81"/>
            <rFont val="Tahoma"/>
            <family val="2"/>
          </rPr>
          <t>Frank B:</t>
        </r>
        <r>
          <rPr>
            <sz val="9"/>
            <color indexed="81"/>
            <rFont val="Tahoma"/>
            <family val="2"/>
          </rPr>
          <t xml:space="preserve">
5,584,659,000</t>
        </r>
      </text>
    </comment>
    <comment ref="P11" authorId="0" shapeId="0" xr:uid="{00000000-0006-0000-1300-000007000000}">
      <text>
        <r>
          <rPr>
            <b/>
            <sz val="9"/>
            <color indexed="81"/>
            <rFont val="Tahoma"/>
            <family val="2"/>
          </rPr>
          <t>Frank B:</t>
        </r>
        <r>
          <rPr>
            <sz val="9"/>
            <color indexed="81"/>
            <rFont val="Tahoma"/>
            <family val="2"/>
          </rPr>
          <t xml:space="preserve">
6,001,183,000</t>
        </r>
      </text>
    </comment>
    <comment ref="B12" authorId="0" shapeId="0" xr:uid="{00000000-0006-0000-1300-000008000000}">
      <text>
        <r>
          <rPr>
            <b/>
            <sz val="9"/>
            <color indexed="81"/>
            <rFont val="Tahoma"/>
            <family val="2"/>
          </rPr>
          <t>Frank B:</t>
        </r>
        <r>
          <rPr>
            <sz val="9"/>
            <color indexed="81"/>
            <rFont val="Tahoma"/>
            <family val="2"/>
          </rPr>
          <t xml:space="preserve">
Revised up from 3,354,561,000</t>
        </r>
      </text>
    </comment>
    <comment ref="P12" authorId="0" shapeId="0" xr:uid="{00000000-0006-0000-1300-000009000000}">
      <text>
        <r>
          <rPr>
            <b/>
            <sz val="9"/>
            <color indexed="81"/>
            <rFont val="Tahoma"/>
            <family val="2"/>
          </rPr>
          <t>Frank B:</t>
        </r>
        <r>
          <rPr>
            <sz val="9"/>
            <color indexed="81"/>
            <rFont val="Tahoma"/>
            <family val="2"/>
          </rPr>
          <t xml:space="preserve">
6,102,204,000</t>
        </r>
      </text>
    </comment>
    <comment ref="B13" authorId="0" shapeId="0" xr:uid="{00000000-0006-0000-1300-00000A000000}">
      <text>
        <r>
          <rPr>
            <b/>
            <sz val="9"/>
            <color indexed="81"/>
            <rFont val="Tahoma"/>
            <family val="2"/>
          </rPr>
          <t>Frank B:</t>
        </r>
        <r>
          <rPr>
            <sz val="9"/>
            <color indexed="81"/>
            <rFont val="Tahoma"/>
            <family val="2"/>
          </rPr>
          <t xml:space="preserve">
Revised up from 3,458,249,000</t>
        </r>
      </text>
    </comment>
    <comment ref="P13" authorId="0" shapeId="0" xr:uid="{00000000-0006-0000-1300-00000B000000}">
      <text>
        <r>
          <rPr>
            <b/>
            <sz val="9"/>
            <color indexed="81"/>
            <rFont val="Tahoma"/>
            <family val="2"/>
          </rPr>
          <t>Frank B:</t>
        </r>
        <r>
          <rPr>
            <sz val="9"/>
            <color indexed="81"/>
            <rFont val="Tahoma"/>
            <family val="2"/>
          </rPr>
          <t xml:space="preserve">
6,239,509,000</t>
        </r>
      </text>
    </comment>
    <comment ref="H14" authorId="0" shapeId="0" xr:uid="{00000000-0006-0000-1300-00000C000000}">
      <text>
        <r>
          <rPr>
            <b/>
            <sz val="9"/>
            <color indexed="81"/>
            <rFont val="Tahoma"/>
            <family val="2"/>
          </rPr>
          <t>Frank B:</t>
        </r>
        <r>
          <rPr>
            <sz val="9"/>
            <color indexed="81"/>
            <rFont val="Tahoma"/>
            <family val="2"/>
          </rPr>
          <t xml:space="preserve">
263,031,000=orig amt
</t>
        </r>
      </text>
    </comment>
    <comment ref="I14" authorId="0" shapeId="0" xr:uid="{00000000-0006-0000-1300-00000D000000}">
      <text>
        <r>
          <rPr>
            <b/>
            <sz val="9"/>
            <color indexed="81"/>
            <rFont val="Tahoma"/>
            <family val="2"/>
          </rPr>
          <t>Frank B:</t>
        </r>
        <r>
          <rPr>
            <sz val="9"/>
            <color indexed="81"/>
            <rFont val="Tahoma"/>
            <family val="2"/>
          </rPr>
          <t xml:space="preserve">
139,640,000=orig amt</t>
        </r>
      </text>
    </comment>
    <comment ref="P14" authorId="0" shapeId="0" xr:uid="{00000000-0006-0000-1300-00000E000000}">
      <text>
        <r>
          <rPr>
            <b/>
            <sz val="9"/>
            <color indexed="81"/>
            <rFont val="Tahoma"/>
            <family val="2"/>
          </rPr>
          <t>Frank B:</t>
        </r>
        <r>
          <rPr>
            <sz val="9"/>
            <color indexed="81"/>
            <rFont val="Tahoma"/>
            <family val="2"/>
          </rPr>
          <t xml:space="preserve">
6,409,139,000</t>
        </r>
      </text>
    </comment>
    <comment ref="H15" authorId="0" shapeId="0" xr:uid="{00000000-0006-0000-1300-00000F000000}">
      <text>
        <r>
          <rPr>
            <b/>
            <sz val="9"/>
            <color indexed="81"/>
            <rFont val="Tahoma"/>
            <family val="2"/>
          </rPr>
          <t>Frank B:</t>
        </r>
        <r>
          <rPr>
            <sz val="9"/>
            <color indexed="81"/>
            <rFont val="Tahoma"/>
            <family val="2"/>
          </rPr>
          <t xml:space="preserve">
</t>
        </r>
        <r>
          <rPr>
            <sz val="9"/>
            <color indexed="10"/>
            <rFont val="Tahoma"/>
            <family val="2"/>
          </rPr>
          <t>268,747,998.96
=orig amt</t>
        </r>
      </text>
    </comment>
    <comment ref="I15" authorId="0" shapeId="0" xr:uid="{00000000-0006-0000-1300-000010000000}">
      <text>
        <r>
          <rPr>
            <b/>
            <sz val="9"/>
            <color indexed="81"/>
            <rFont val="Tahoma"/>
            <family val="2"/>
          </rPr>
          <t>Frank B:</t>
        </r>
        <r>
          <rPr>
            <sz val="9"/>
            <color indexed="81"/>
            <rFont val="Tahoma"/>
            <family val="2"/>
          </rPr>
          <t xml:space="preserve">
142,864,493.59
=orig amount</t>
        </r>
      </text>
    </comment>
    <comment ref="P15" authorId="0" shapeId="0" xr:uid="{00000000-0006-0000-1300-000011000000}">
      <text>
        <r>
          <rPr>
            <b/>
            <sz val="9"/>
            <color indexed="81"/>
            <rFont val="Tahoma"/>
            <family val="2"/>
          </rPr>
          <t>Frank B:</t>
        </r>
        <r>
          <rPr>
            <sz val="9"/>
            <color indexed="81"/>
            <rFont val="Tahoma"/>
            <family val="2"/>
          </rPr>
          <t xml:space="preserve">
6,921,512,000</t>
        </r>
      </text>
    </comment>
  </commentList>
</comment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TAR01_Data_All].[Year].&amp;[2021]}"/>
    <s v="{[TAR01_Data_All].[Year].&amp;[2022]}"/>
    <s v="{[TAR01_Data_All].[Year].&amp;[2023]}"/>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<sst xmlns="http://schemas.openxmlformats.org/spreadsheetml/2006/main" count="4324" uniqueCount="1395">
  <si>
    <t>Aggregate (All Funds)</t>
  </si>
  <si>
    <t>Notes:</t>
  </si>
  <si>
    <t>Sales and Use Tax</t>
  </si>
  <si>
    <t>Individual Income Tax</t>
  </si>
  <si>
    <t>General Fund</t>
  </si>
  <si>
    <t>Total Commonwealth Collections</t>
  </si>
  <si>
    <t>Total Department Collections</t>
  </si>
  <si>
    <t>Total from Other Agencies</t>
  </si>
  <si>
    <t>Department of Taxation General Fund Expenditures</t>
  </si>
  <si>
    <t>Budget Programs</t>
  </si>
  <si>
    <t>Revenue Administrative Services</t>
  </si>
  <si>
    <t>Research Services</t>
  </si>
  <si>
    <t>Administrative and Support Services</t>
  </si>
  <si>
    <t>Total</t>
  </si>
  <si>
    <t>Cost per $100 of collections</t>
  </si>
  <si>
    <t>Note:</t>
  </si>
  <si>
    <t>Amount</t>
  </si>
  <si>
    <t>Tax</t>
  </si>
  <si>
    <t>County</t>
  </si>
  <si>
    <t>Total Counties</t>
  </si>
  <si>
    <t>City</t>
  </si>
  <si>
    <t xml:space="preserve">Franklin </t>
  </si>
  <si>
    <t xml:space="preserve">Roanoke </t>
  </si>
  <si>
    <t>Virginia Beach</t>
  </si>
  <si>
    <t>Total Cities</t>
  </si>
  <si>
    <t>Aggregate</t>
  </si>
  <si>
    <t>Fiscal Year</t>
  </si>
  <si>
    <t>Table 2.2</t>
  </si>
  <si>
    <t>Taxable</t>
  </si>
  <si>
    <t>$0 or less</t>
  </si>
  <si>
    <t>$1 to $24,999</t>
  </si>
  <si>
    <t>$25,000 to $49,999</t>
  </si>
  <si>
    <t>$50,000 to $99,999</t>
  </si>
  <si>
    <t>$100,000 to $499,999</t>
  </si>
  <si>
    <t>$500,000 to $999,999</t>
  </si>
  <si>
    <t>$1,000,000 to $1,999,999</t>
  </si>
  <si>
    <t>$2,000,000 to $9,999,999</t>
  </si>
  <si>
    <t>$10,000,000 and Over</t>
  </si>
  <si>
    <t>Total before adjustments</t>
  </si>
  <si>
    <t xml:space="preserve">    Departmental adjustments</t>
  </si>
  <si>
    <t>Total Tax Assessment</t>
  </si>
  <si>
    <t>Table 3.1</t>
  </si>
  <si>
    <t>State and Local Retail Sales and Use Tax Net Revenue Collections</t>
  </si>
  <si>
    <t>State Sales and Use Tax</t>
  </si>
  <si>
    <t>Local</t>
  </si>
  <si>
    <t>-</t>
  </si>
  <si>
    <t>Table 4.3, continued</t>
  </si>
  <si>
    <t xml:space="preserve">Accomack </t>
  </si>
  <si>
    <t xml:space="preserve">Gloucester </t>
  </si>
  <si>
    <t xml:space="preserve">Albemarle </t>
  </si>
  <si>
    <t xml:space="preserve">Goochland </t>
  </si>
  <si>
    <t xml:space="preserve">Alleghany </t>
  </si>
  <si>
    <t xml:space="preserve">Grayson </t>
  </si>
  <si>
    <t xml:space="preserve">Amelia </t>
  </si>
  <si>
    <t xml:space="preserve">Greene </t>
  </si>
  <si>
    <t xml:space="preserve">Amherst </t>
  </si>
  <si>
    <t xml:space="preserve">Greensville </t>
  </si>
  <si>
    <t xml:space="preserve">Appomattox </t>
  </si>
  <si>
    <t xml:space="preserve">Halifax </t>
  </si>
  <si>
    <t xml:space="preserve">Arlington </t>
  </si>
  <si>
    <t xml:space="preserve">Hanover </t>
  </si>
  <si>
    <t xml:space="preserve">Augusta </t>
  </si>
  <si>
    <t xml:space="preserve">Henrico </t>
  </si>
  <si>
    <t xml:space="preserve">Bath </t>
  </si>
  <si>
    <t xml:space="preserve">Henry </t>
  </si>
  <si>
    <t xml:space="preserve">Highland </t>
  </si>
  <si>
    <t xml:space="preserve">Bland </t>
  </si>
  <si>
    <t xml:space="preserve">Isle of Wight </t>
  </si>
  <si>
    <t xml:space="preserve">Botetourt </t>
  </si>
  <si>
    <t xml:space="preserve">James City </t>
  </si>
  <si>
    <t xml:space="preserve">Brunswick </t>
  </si>
  <si>
    <t xml:space="preserve">King and Queen </t>
  </si>
  <si>
    <t xml:space="preserve">Buchanan </t>
  </si>
  <si>
    <t xml:space="preserve">King George </t>
  </si>
  <si>
    <t xml:space="preserve">Buckingham </t>
  </si>
  <si>
    <t xml:space="preserve">King William </t>
  </si>
  <si>
    <t xml:space="preserve">Campbell </t>
  </si>
  <si>
    <t xml:space="preserve">Lancaster </t>
  </si>
  <si>
    <t xml:space="preserve">Caroline </t>
  </si>
  <si>
    <t xml:space="preserve">Lee </t>
  </si>
  <si>
    <t xml:space="preserve">Carroll </t>
  </si>
  <si>
    <t xml:space="preserve">Loudoun </t>
  </si>
  <si>
    <t xml:space="preserve">Charles City </t>
  </si>
  <si>
    <t xml:space="preserve">Louisa </t>
  </si>
  <si>
    <t xml:space="preserve">Charlotte </t>
  </si>
  <si>
    <t xml:space="preserve">Lunenburg </t>
  </si>
  <si>
    <t xml:space="preserve">Chesterfield </t>
  </si>
  <si>
    <t xml:space="preserve">Madison </t>
  </si>
  <si>
    <t xml:space="preserve">Clarke </t>
  </si>
  <si>
    <t xml:space="preserve">Mathews </t>
  </si>
  <si>
    <t xml:space="preserve">Craig </t>
  </si>
  <si>
    <t xml:space="preserve">Mecklenburg </t>
  </si>
  <si>
    <t xml:space="preserve">Culpeper </t>
  </si>
  <si>
    <t xml:space="preserve">Middlesex </t>
  </si>
  <si>
    <t xml:space="preserve">Cumberland </t>
  </si>
  <si>
    <t xml:space="preserve">Montgomery </t>
  </si>
  <si>
    <t xml:space="preserve">Dickenson </t>
  </si>
  <si>
    <t xml:space="preserve">Nelson </t>
  </si>
  <si>
    <t xml:space="preserve">Dinwiddie </t>
  </si>
  <si>
    <t xml:space="preserve">New Kent </t>
  </si>
  <si>
    <t xml:space="preserve">Essex </t>
  </si>
  <si>
    <t xml:space="preserve">Northampton </t>
  </si>
  <si>
    <t xml:space="preserve">Fairfax </t>
  </si>
  <si>
    <t xml:space="preserve">Northumberland </t>
  </si>
  <si>
    <t xml:space="preserve">Fauquier </t>
  </si>
  <si>
    <t xml:space="preserve">Nottoway </t>
  </si>
  <si>
    <t xml:space="preserve">Floyd </t>
  </si>
  <si>
    <t xml:space="preserve">Orange </t>
  </si>
  <si>
    <t xml:space="preserve">Fluvanna </t>
  </si>
  <si>
    <t xml:space="preserve">Page </t>
  </si>
  <si>
    <t xml:space="preserve">Patrick </t>
  </si>
  <si>
    <t xml:space="preserve">Frederick </t>
  </si>
  <si>
    <t xml:space="preserve">Pittsylvania </t>
  </si>
  <si>
    <t xml:space="preserve">Giles </t>
  </si>
  <si>
    <t xml:space="preserve">Powhatan </t>
  </si>
  <si>
    <t xml:space="preserve">Prince Edward </t>
  </si>
  <si>
    <t xml:space="preserve">Chesapeake </t>
  </si>
  <si>
    <t xml:space="preserve">Prince George </t>
  </si>
  <si>
    <t xml:space="preserve">Colonial Heights </t>
  </si>
  <si>
    <t xml:space="preserve">Prince William </t>
  </si>
  <si>
    <t xml:space="preserve">Covington </t>
  </si>
  <si>
    <t xml:space="preserve">Pulaski </t>
  </si>
  <si>
    <t xml:space="preserve">Danville </t>
  </si>
  <si>
    <t xml:space="preserve">Rappahannock </t>
  </si>
  <si>
    <t xml:space="preserve">Emporia </t>
  </si>
  <si>
    <t xml:space="preserve">Richmond </t>
  </si>
  <si>
    <t xml:space="preserve">Falls Church </t>
  </si>
  <si>
    <t xml:space="preserve">Rockbridge </t>
  </si>
  <si>
    <t xml:space="preserve">Rockingham </t>
  </si>
  <si>
    <t xml:space="preserve">Fredericksburg </t>
  </si>
  <si>
    <t xml:space="preserve">Russell </t>
  </si>
  <si>
    <t xml:space="preserve">Galax </t>
  </si>
  <si>
    <t xml:space="preserve">Scott </t>
  </si>
  <si>
    <t xml:space="preserve">Hampton </t>
  </si>
  <si>
    <t xml:space="preserve">Shenandoah </t>
  </si>
  <si>
    <t xml:space="preserve">Harrisonburg </t>
  </si>
  <si>
    <t xml:space="preserve">Smyth </t>
  </si>
  <si>
    <t xml:space="preserve">Hopewell </t>
  </si>
  <si>
    <t xml:space="preserve">Southampton </t>
  </si>
  <si>
    <t xml:space="preserve">Lexington </t>
  </si>
  <si>
    <t xml:space="preserve">Spotsylvania </t>
  </si>
  <si>
    <t xml:space="preserve">Lynchburg </t>
  </si>
  <si>
    <t xml:space="preserve">Stafford </t>
  </si>
  <si>
    <t xml:space="preserve">Manassas </t>
  </si>
  <si>
    <t xml:space="preserve">Surry </t>
  </si>
  <si>
    <t xml:space="preserve">Manassas Park </t>
  </si>
  <si>
    <t xml:space="preserve">Sussex </t>
  </si>
  <si>
    <t xml:space="preserve">Martinsville </t>
  </si>
  <si>
    <t xml:space="preserve">Tazewell </t>
  </si>
  <si>
    <t xml:space="preserve">Newport News </t>
  </si>
  <si>
    <t xml:space="preserve">Warren </t>
  </si>
  <si>
    <t xml:space="preserve">Norfolk </t>
  </si>
  <si>
    <t xml:space="preserve">Washington </t>
  </si>
  <si>
    <t xml:space="preserve">Norton </t>
  </si>
  <si>
    <t xml:space="preserve">Westmoreland </t>
  </si>
  <si>
    <t xml:space="preserve">Petersburg </t>
  </si>
  <si>
    <t xml:space="preserve">Wise </t>
  </si>
  <si>
    <t xml:space="preserve">Poquoson </t>
  </si>
  <si>
    <t xml:space="preserve">Wythe </t>
  </si>
  <si>
    <t xml:space="preserve">Portsmouth </t>
  </si>
  <si>
    <t xml:space="preserve">York </t>
  </si>
  <si>
    <t xml:space="preserve">Radford </t>
  </si>
  <si>
    <t xml:space="preserve">Salem </t>
  </si>
  <si>
    <t xml:space="preserve">Staunton </t>
  </si>
  <si>
    <t xml:space="preserve">Suffolk </t>
  </si>
  <si>
    <t xml:space="preserve">Alexandria </t>
  </si>
  <si>
    <t xml:space="preserve">Waynesboro </t>
  </si>
  <si>
    <t xml:space="preserve">Bristol </t>
  </si>
  <si>
    <t xml:space="preserve">Williamsburg </t>
  </si>
  <si>
    <t xml:space="preserve">Buena Vista </t>
  </si>
  <si>
    <t xml:space="preserve">Winchester </t>
  </si>
  <si>
    <t xml:space="preserve">Charlottesville </t>
  </si>
  <si>
    <t>Fairfax City</t>
  </si>
  <si>
    <t>Table 4.1</t>
  </si>
  <si>
    <t>Other Taxes Net Revenue Collections - General Fund</t>
  </si>
  <si>
    <t>Recordation</t>
  </si>
  <si>
    <t>Estate</t>
  </si>
  <si>
    <t>Watercraft</t>
  </si>
  <si>
    <t>Rolling</t>
  </si>
  <si>
    <t>&amp; Deeds</t>
  </si>
  <si>
    <t>Stock Tax</t>
  </si>
  <si>
    <t>4. The soybean excise tax is imposed at a rate of one-half of one percent (0.005) of the net market value of assessed bushels.  All revenues are deposited into the Virginia Soybean Fund.</t>
  </si>
  <si>
    <t>Credit</t>
  </si>
  <si>
    <t>Year Enacted</t>
  </si>
  <si>
    <t>§§ 58.1-439.18 et seq.</t>
  </si>
  <si>
    <t>1981 (effective July 1, 1981)</t>
  </si>
  <si>
    <t>§§ 58.1-334 &amp; 58.1-432</t>
  </si>
  <si>
    <t>1985 (effective 1985)</t>
  </si>
  <si>
    <t>§§ 58.1-337 &amp; 58.1-436</t>
  </si>
  <si>
    <t>1990 (effective 1990)</t>
  </si>
  <si>
    <t>§ 58.1-438.1</t>
  </si>
  <si>
    <t>Tax Credit for Vehicle Emissions Testing Equipment and Clean-Fuel Vehicles and Certain Refueling Property</t>
  </si>
  <si>
    <t>1993 (effective 1993)</t>
  </si>
  <si>
    <t>§ 58.1-439</t>
  </si>
  <si>
    <t>1994 (effective 1995)</t>
  </si>
  <si>
    <t>§ 58.1-439.2</t>
  </si>
  <si>
    <t>1995 (effective 1996)</t>
  </si>
  <si>
    <t>§ 58.1-339.2</t>
  </si>
  <si>
    <t>1996 (effective 1997)</t>
  </si>
  <si>
    <t>§§ 58.1-339.3 &amp; 58.1-439.5</t>
  </si>
  <si>
    <t>1996 (effective 1998)</t>
  </si>
  <si>
    <t>§ 58.1-439.7</t>
  </si>
  <si>
    <t>§ 58.1-332.1</t>
  </si>
  <si>
    <t>Foreign Tax Credit</t>
  </si>
  <si>
    <t>1998 (effective 1998)</t>
  </si>
  <si>
    <t>§ 58.1-339.4</t>
  </si>
  <si>
    <t>Qualified Equity and Subordinated Debt Investments Tax Credit</t>
  </si>
  <si>
    <t>1998 (effective 1999)</t>
  </si>
  <si>
    <t>§ 58.1-439.10</t>
  </si>
  <si>
    <t>§ 58.1-512</t>
  </si>
  <si>
    <t>Land Preservation Tax Credit</t>
  </si>
  <si>
    <t>1999 (effective 2000)</t>
  </si>
  <si>
    <t>§ 58.1-339.6</t>
  </si>
  <si>
    <t>§ 58.1-339.7</t>
  </si>
  <si>
    <t>Livable Home Tax Credit</t>
  </si>
  <si>
    <t>§ 58.1-339.8</t>
  </si>
  <si>
    <t>Low-Income Taxpayer Credit</t>
  </si>
  <si>
    <t>2000 (effective 2000)</t>
  </si>
  <si>
    <t>§§ 58.1-339.10 &amp; 58.1-439.12</t>
  </si>
  <si>
    <t>§ 58.1-339.11</t>
  </si>
  <si>
    <t>2006 (effective 2006)</t>
  </si>
  <si>
    <t>§ 58.1-439.12:02</t>
  </si>
  <si>
    <t>Biodiesel and Green Diesel Fuels Producers Tax Credit</t>
  </si>
  <si>
    <t>2008 (effective 2008)</t>
  </si>
  <si>
    <t>Code Section(s)</t>
  </si>
  <si>
    <t>Credit Claimed Against</t>
  </si>
  <si>
    <t>Number of Returns</t>
  </si>
  <si>
    <t>Table 4.3</t>
  </si>
  <si>
    <t>Historic Rehabilitation Tax Credit</t>
  </si>
  <si>
    <t>Table 5.1</t>
  </si>
  <si>
    <t>Table 5.2</t>
  </si>
  <si>
    <t>Table 5.2, continued</t>
  </si>
  <si>
    <t>Directory</t>
  </si>
  <si>
    <t>Virginia Department of Taxation</t>
  </si>
  <si>
    <t>General Mailing Address</t>
  </si>
  <si>
    <t>Office of Tax Policy, Policy Development Division</t>
  </si>
  <si>
    <t>ANNUAL REPORT</t>
  </si>
  <si>
    <t>Report of the Tax Commissioner</t>
  </si>
  <si>
    <t>to the Governor of the Commonwealth of Virginia</t>
  </si>
  <si>
    <t>Apple</t>
  </si>
  <si>
    <t>Cotton</t>
  </si>
  <si>
    <t>Sheep</t>
  </si>
  <si>
    <t>% Chg</t>
  </si>
  <si>
    <t>Taxes Administered by the Department of Taxation</t>
  </si>
  <si>
    <t>Revenues</t>
  </si>
  <si>
    <t>General Fund (GF) Revenues</t>
  </si>
  <si>
    <t>Recordation and deeds of conveyance</t>
  </si>
  <si>
    <t>Suits, wills and administration</t>
  </si>
  <si>
    <t>State sales, use, and vending (GF part)</t>
  </si>
  <si>
    <t>Watercraft sales and use</t>
  </si>
  <si>
    <t>Total Department GF Revenues</t>
  </si>
  <si>
    <t>Aircraft sales and use</t>
  </si>
  <si>
    <t>Cigarette Tax</t>
  </si>
  <si>
    <t>Other Tobacco Products</t>
  </si>
  <si>
    <t>Egg excise</t>
  </si>
  <si>
    <t>Forest products</t>
  </si>
  <si>
    <t>Peanut excise</t>
  </si>
  <si>
    <t>Soybeans</t>
  </si>
  <si>
    <t>Tire tax</t>
  </si>
  <si>
    <t>Other</t>
  </si>
  <si>
    <t>Corn excise</t>
  </si>
  <si>
    <t>Small grains tax</t>
  </si>
  <si>
    <t>Litter tax</t>
  </si>
  <si>
    <t>Soft drink excise</t>
  </si>
  <si>
    <t>Table 2.1</t>
  </si>
  <si>
    <t>Corporate Income Tax Revenue</t>
  </si>
  <si>
    <t>1. Revenue represents net tax collections by fiscal year.</t>
  </si>
  <si>
    <t>Table 5.3</t>
  </si>
  <si>
    <t>Counties</t>
  </si>
  <si>
    <t>Cities</t>
  </si>
  <si>
    <t>Total equity capital value based on capital, surplus, and undivided profits</t>
  </si>
  <si>
    <t>Other additions</t>
  </si>
  <si>
    <t>a. U.S. obligations</t>
  </si>
  <si>
    <t>b. Retained earnings and surplus of subsidiaries included in gross capital</t>
  </si>
  <si>
    <t>c. Goodwill</t>
  </si>
  <si>
    <t>Capital attributable to Virginia</t>
  </si>
  <si>
    <t>Deductions of assessed value of real estate otherwise taxed in this state</t>
  </si>
  <si>
    <t>Deductions of book value of tangible personal property otherwise taxed in this state</t>
  </si>
  <si>
    <t>Net taxable capital</t>
  </si>
  <si>
    <t>Local Tax Credit (local Tax Assessment)</t>
  </si>
  <si>
    <t>State Tax Credits:</t>
  </si>
  <si>
    <t>Major Business Facility Job Tax Credit</t>
  </si>
  <si>
    <t>Total State Tax Assessment</t>
  </si>
  <si>
    <t>Table 5.4</t>
  </si>
  <si>
    <t>Bank Franchise Tax Net Revenue Collections</t>
  </si>
  <si>
    <t>Collections</t>
  </si>
  <si>
    <t>Table 1.1</t>
  </si>
  <si>
    <t>Individual Income Tax Liability</t>
  </si>
  <si>
    <t>Taxable Year</t>
  </si>
  <si>
    <t>Table 1.4</t>
  </si>
  <si>
    <t>Number and Class of Exemptions by Virginia Adjusted Gross Income Class</t>
  </si>
  <si>
    <t>Personal</t>
  </si>
  <si>
    <t>Dependent</t>
  </si>
  <si>
    <t>Age</t>
  </si>
  <si>
    <t>Blindness</t>
  </si>
  <si>
    <t>and</t>
  </si>
  <si>
    <t>Below</t>
  </si>
  <si>
    <t>to</t>
  </si>
  <si>
    <t>Total:</t>
  </si>
  <si>
    <t>Table 1.3</t>
  </si>
  <si>
    <t>Number and Class of Returns by Virginia Adjusted Gross Income Class</t>
  </si>
  <si>
    <t>Joint</t>
  </si>
  <si>
    <t>Returns</t>
  </si>
  <si>
    <t>Table 1.2</t>
  </si>
  <si>
    <t>Itemized</t>
  </si>
  <si>
    <t>Standard</t>
  </si>
  <si>
    <t>Exemptions</t>
  </si>
  <si>
    <t>Deductions</t>
  </si>
  <si>
    <t>Over</t>
  </si>
  <si>
    <t>Table 5.6</t>
  </si>
  <si>
    <t>Distribution</t>
  </si>
  <si>
    <t>Accomack</t>
  </si>
  <si>
    <t>Halifax</t>
  </si>
  <si>
    <t>Scott</t>
  </si>
  <si>
    <t>Manassas</t>
  </si>
  <si>
    <t>Albemarle</t>
  </si>
  <si>
    <t>Hanover</t>
  </si>
  <si>
    <t>Shenandoah</t>
  </si>
  <si>
    <t>Manassas Park</t>
  </si>
  <si>
    <t>Alleghany</t>
  </si>
  <si>
    <t>Henrico</t>
  </si>
  <si>
    <t>Smyth</t>
  </si>
  <si>
    <t>Martinsville</t>
  </si>
  <si>
    <t>Amelia</t>
  </si>
  <si>
    <t>Henry</t>
  </si>
  <si>
    <t>Southampton</t>
  </si>
  <si>
    <t>Newport News</t>
  </si>
  <si>
    <t>Amherst</t>
  </si>
  <si>
    <t>Highland</t>
  </si>
  <si>
    <t>Spotsylvania</t>
  </si>
  <si>
    <t>Norfolk</t>
  </si>
  <si>
    <t>Appomattox</t>
  </si>
  <si>
    <t>Isle of Wight</t>
  </si>
  <si>
    <t>Stafford</t>
  </si>
  <si>
    <t>Norton</t>
  </si>
  <si>
    <t>Arlington</t>
  </si>
  <si>
    <t>James City</t>
  </si>
  <si>
    <t>Surry</t>
  </si>
  <si>
    <t>Petersburg</t>
  </si>
  <si>
    <t>Augusta</t>
  </si>
  <si>
    <t>King and Queen</t>
  </si>
  <si>
    <t>Sussex</t>
  </si>
  <si>
    <t>Poquoson</t>
  </si>
  <si>
    <t>Bath</t>
  </si>
  <si>
    <t>King George</t>
  </si>
  <si>
    <t>Tazewell</t>
  </si>
  <si>
    <t>Portsmouth</t>
  </si>
  <si>
    <t>Bedford</t>
  </si>
  <si>
    <t>King William</t>
  </si>
  <si>
    <t>Warren</t>
  </si>
  <si>
    <t>Radford</t>
  </si>
  <si>
    <t>Bland</t>
  </si>
  <si>
    <t>Lancaster</t>
  </si>
  <si>
    <t>Washington</t>
  </si>
  <si>
    <t>Richmond</t>
  </si>
  <si>
    <t>Botetourt</t>
  </si>
  <si>
    <t>Lee</t>
  </si>
  <si>
    <t>Westmoreland</t>
  </si>
  <si>
    <t>Roanoke</t>
  </si>
  <si>
    <t>Brunswick</t>
  </si>
  <si>
    <t>Loudoun</t>
  </si>
  <si>
    <t>Wise</t>
  </si>
  <si>
    <t>Salem</t>
  </si>
  <si>
    <t>Buchanan</t>
  </si>
  <si>
    <t>Louisa</t>
  </si>
  <si>
    <t>Wythe</t>
  </si>
  <si>
    <t>Staunton</t>
  </si>
  <si>
    <t>Buckingham</t>
  </si>
  <si>
    <t>Lunenburg</t>
  </si>
  <si>
    <t>York</t>
  </si>
  <si>
    <t>Suffolk</t>
  </si>
  <si>
    <t>Campbell</t>
  </si>
  <si>
    <t>Madison</t>
  </si>
  <si>
    <t>Caroline</t>
  </si>
  <si>
    <t>Mathews</t>
  </si>
  <si>
    <t>Waynesboro</t>
  </si>
  <si>
    <t>Carroll</t>
  </si>
  <si>
    <t>Mecklenburg</t>
  </si>
  <si>
    <t>Williamsburg</t>
  </si>
  <si>
    <t>Charles City</t>
  </si>
  <si>
    <t>Middlesex</t>
  </si>
  <si>
    <t>Winchester</t>
  </si>
  <si>
    <t>Charlotte</t>
  </si>
  <si>
    <t>Montgomery</t>
  </si>
  <si>
    <t>Chesterfield</t>
  </si>
  <si>
    <t>Nelson</t>
  </si>
  <si>
    <t>Alexandria</t>
  </si>
  <si>
    <t>Clarke</t>
  </si>
  <si>
    <t>New Kent</t>
  </si>
  <si>
    <t>Craig</t>
  </si>
  <si>
    <t>Northampton</t>
  </si>
  <si>
    <t>Bristol</t>
  </si>
  <si>
    <t>Culpeper</t>
  </si>
  <si>
    <t>Northumberland</t>
  </si>
  <si>
    <t>Buena Vista</t>
  </si>
  <si>
    <t>Cumberland</t>
  </si>
  <si>
    <t>Nottoway</t>
  </si>
  <si>
    <t>Charlottesville</t>
  </si>
  <si>
    <t>Dickenson</t>
  </si>
  <si>
    <t>Orange</t>
  </si>
  <si>
    <t>Chesapeake</t>
  </si>
  <si>
    <t>Dinwiddie</t>
  </si>
  <si>
    <t>Page</t>
  </si>
  <si>
    <t>Colonial Heights</t>
  </si>
  <si>
    <t>Essex</t>
  </si>
  <si>
    <t>Patrick</t>
  </si>
  <si>
    <t>Covington</t>
  </si>
  <si>
    <t>Fairfax</t>
  </si>
  <si>
    <t>Pittsylvania</t>
  </si>
  <si>
    <t>Danville</t>
  </si>
  <si>
    <t>Fauquier</t>
  </si>
  <si>
    <t>Powhatan</t>
  </si>
  <si>
    <t>Emporia</t>
  </si>
  <si>
    <t>Floyd</t>
  </si>
  <si>
    <t>Prince Edward</t>
  </si>
  <si>
    <t>Fluvanna</t>
  </si>
  <si>
    <t>Prince George</t>
  </si>
  <si>
    <t>Falls Church</t>
  </si>
  <si>
    <t>Franklin</t>
  </si>
  <si>
    <t>Prince William</t>
  </si>
  <si>
    <t>Frederick</t>
  </si>
  <si>
    <t>Pulaski</t>
  </si>
  <si>
    <t>Fredericksburg</t>
  </si>
  <si>
    <t>Giles</t>
  </si>
  <si>
    <t>Rappahannock</t>
  </si>
  <si>
    <t>Galax</t>
  </si>
  <si>
    <t>Gloucester</t>
  </si>
  <si>
    <t>Hampton</t>
  </si>
  <si>
    <t>Goochland</t>
  </si>
  <si>
    <t>Harrisonburg</t>
  </si>
  <si>
    <t>Grayson</t>
  </si>
  <si>
    <t>Rockbridge</t>
  </si>
  <si>
    <t>Hopewell</t>
  </si>
  <si>
    <t>Greene</t>
  </si>
  <si>
    <t>Rockingham</t>
  </si>
  <si>
    <t>Lexington</t>
  </si>
  <si>
    <t>Greensville</t>
  </si>
  <si>
    <t>Russell</t>
  </si>
  <si>
    <t>Lynchburg</t>
  </si>
  <si>
    <t>Table 5.6, Continued</t>
  </si>
  <si>
    <t>Town</t>
  </si>
  <si>
    <t>Abingdon</t>
  </si>
  <si>
    <t>Lebanon</t>
  </si>
  <si>
    <t>Saint Charles</t>
  </si>
  <si>
    <t>Accomac</t>
  </si>
  <si>
    <t>Damascus</t>
  </si>
  <si>
    <t>Leesburg</t>
  </si>
  <si>
    <t>Saint Paul</t>
  </si>
  <si>
    <t>Alberta</t>
  </si>
  <si>
    <t>Dayton</t>
  </si>
  <si>
    <t>Saltville</t>
  </si>
  <si>
    <t>Altavista</t>
  </si>
  <si>
    <t>Dillwyn</t>
  </si>
  <si>
    <t>Lovettsville</t>
  </si>
  <si>
    <t>Scottsville</t>
  </si>
  <si>
    <t>Drakes Branch</t>
  </si>
  <si>
    <t>Luray</t>
  </si>
  <si>
    <t>Appalachia</t>
  </si>
  <si>
    <t>Dublin</t>
  </si>
  <si>
    <t>Marion</t>
  </si>
  <si>
    <t>Smithfield</t>
  </si>
  <si>
    <t>Dumfries</t>
  </si>
  <si>
    <t>McKenney</t>
  </si>
  <si>
    <t>South Boston</t>
  </si>
  <si>
    <t>Ashland</t>
  </si>
  <si>
    <t>Edinburg</t>
  </si>
  <si>
    <t>Melfa</t>
  </si>
  <si>
    <t>South Hill</t>
  </si>
  <si>
    <t>Berryville</t>
  </si>
  <si>
    <t>Elkton</t>
  </si>
  <si>
    <t>Middleburg</t>
  </si>
  <si>
    <t>Stanardsville</t>
  </si>
  <si>
    <t>Big Stone Gap</t>
  </si>
  <si>
    <t>Farmville</t>
  </si>
  <si>
    <t>Middletown</t>
  </si>
  <si>
    <t>Stanley</t>
  </si>
  <si>
    <t>Blacksburg</t>
  </si>
  <si>
    <t>Fincastle</t>
  </si>
  <si>
    <t>Mineral</t>
  </si>
  <si>
    <t>Blackstone</t>
  </si>
  <si>
    <t>Monterey</t>
  </si>
  <si>
    <t>Strasburg</t>
  </si>
  <si>
    <t>Bluefield</t>
  </si>
  <si>
    <t>Fries</t>
  </si>
  <si>
    <t>Montross</t>
  </si>
  <si>
    <t>Stuart</t>
  </si>
  <si>
    <t>Boones Mill</t>
  </si>
  <si>
    <t>Front Royal</t>
  </si>
  <si>
    <t>Mount Jackson</t>
  </si>
  <si>
    <t>Tappahannock</t>
  </si>
  <si>
    <t>Bowling Green</t>
  </si>
  <si>
    <t>Gate City</t>
  </si>
  <si>
    <t>Narrows</t>
  </si>
  <si>
    <t>Boyce</t>
  </si>
  <si>
    <t>Glade Spring</t>
  </si>
  <si>
    <t>New Castle</t>
  </si>
  <si>
    <t>Timberville</t>
  </si>
  <si>
    <t>Boydton</t>
  </si>
  <si>
    <t>Glasgow</t>
  </si>
  <si>
    <t>New Market</t>
  </si>
  <si>
    <t>Troutville</t>
  </si>
  <si>
    <t>Boykins</t>
  </si>
  <si>
    <t>Gordonsville</t>
  </si>
  <si>
    <t>Newsoms</t>
  </si>
  <si>
    <t>Urbanna</t>
  </si>
  <si>
    <t>Bridgewater</t>
  </si>
  <si>
    <t>Goshen</t>
  </si>
  <si>
    <t>Nickelsville</t>
  </si>
  <si>
    <t>Victoria</t>
  </si>
  <si>
    <t>Broadway</t>
  </si>
  <si>
    <t>Gretna</t>
  </si>
  <si>
    <t>Occoquan</t>
  </si>
  <si>
    <t>Vienna</t>
  </si>
  <si>
    <t>Grottoes</t>
  </si>
  <si>
    <t>Onancock</t>
  </si>
  <si>
    <t>Vinton</t>
  </si>
  <si>
    <t>Brookneal</t>
  </si>
  <si>
    <t>Grundy</t>
  </si>
  <si>
    <t>Onley</t>
  </si>
  <si>
    <t>Wachapreague</t>
  </si>
  <si>
    <t>Wakefield</t>
  </si>
  <si>
    <t>Burkeville</t>
  </si>
  <si>
    <t>Hamilton</t>
  </si>
  <si>
    <t>Painter</t>
  </si>
  <si>
    <t>Warrenton</t>
  </si>
  <si>
    <t>Cape Charles</t>
  </si>
  <si>
    <t>Haymarket</t>
  </si>
  <si>
    <t>Parksley</t>
  </si>
  <si>
    <t>Warsaw</t>
  </si>
  <si>
    <t>Cedar Bluff</t>
  </si>
  <si>
    <t>Haysi</t>
  </si>
  <si>
    <t>Pearisburg</t>
  </si>
  <si>
    <t>Charlotte Court House</t>
  </si>
  <si>
    <t>Herndon</t>
  </si>
  <si>
    <t>Pembroke</t>
  </si>
  <si>
    <t>Waverly</t>
  </si>
  <si>
    <t>Chase City</t>
  </si>
  <si>
    <t>Hillsville</t>
  </si>
  <si>
    <t>Pennington Gap</t>
  </si>
  <si>
    <t>Weber City</t>
  </si>
  <si>
    <t>Chatham</t>
  </si>
  <si>
    <t>Honaker</t>
  </si>
  <si>
    <t>Phenix</t>
  </si>
  <si>
    <t>West Point</t>
  </si>
  <si>
    <t>Chilhowie</t>
  </si>
  <si>
    <t>Hurt</t>
  </si>
  <si>
    <t>Pocahontas</t>
  </si>
  <si>
    <t>White Stone</t>
  </si>
  <si>
    <t>Chincoteague</t>
  </si>
  <si>
    <t>Independence</t>
  </si>
  <si>
    <t>Port Royal</t>
  </si>
  <si>
    <t>Windsor</t>
  </si>
  <si>
    <t>Christiansburg</t>
  </si>
  <si>
    <t>Iron Gate</t>
  </si>
  <si>
    <t>Pound</t>
  </si>
  <si>
    <t>Clarksville</t>
  </si>
  <si>
    <t>Irvington</t>
  </si>
  <si>
    <t>Woodstock</t>
  </si>
  <si>
    <t>Cleveland</t>
  </si>
  <si>
    <t>Ivor</t>
  </si>
  <si>
    <t>Purcellville</t>
  </si>
  <si>
    <t>Clifton</t>
  </si>
  <si>
    <t>Jarratt</t>
  </si>
  <si>
    <t>Quantico</t>
  </si>
  <si>
    <t>Clifton Forge</t>
  </si>
  <si>
    <t>Jonesville</t>
  </si>
  <si>
    <t>Remington</t>
  </si>
  <si>
    <t>Total Towns</t>
  </si>
  <si>
    <t>Clintwood</t>
  </si>
  <si>
    <t>Kenbridge</t>
  </si>
  <si>
    <t>Rich Creek</t>
  </si>
  <si>
    <t>Coeburn</t>
  </si>
  <si>
    <t>Keysville</t>
  </si>
  <si>
    <t>Ridgeway</t>
  </si>
  <si>
    <t>Colonial Beach</t>
  </si>
  <si>
    <t>Kilmarnock</t>
  </si>
  <si>
    <t>Rocky Mount</t>
  </si>
  <si>
    <t>Courtland</t>
  </si>
  <si>
    <t>La Crosse</t>
  </si>
  <si>
    <t>Round Hill</t>
  </si>
  <si>
    <t>Crewe</t>
  </si>
  <si>
    <t>Lawrenceville</t>
  </si>
  <si>
    <t>Rural Retreat</t>
  </si>
  <si>
    <t>Table 5.5</t>
  </si>
  <si>
    <t>Table 5.5, continued</t>
  </si>
  <si>
    <t xml:space="preserve">Halifax   </t>
  </si>
  <si>
    <t xml:space="preserve">Virginia Beach </t>
  </si>
  <si>
    <t>Table 1.5</t>
  </si>
  <si>
    <t>Virginia Adjusted Gross Income by Locality/Income Level</t>
  </si>
  <si>
    <t>$0 to $4,999</t>
  </si>
  <si>
    <t>Table 1.5, continued</t>
  </si>
  <si>
    <r>
      <t>Unassigned</t>
    </r>
    <r>
      <rPr>
        <sz val="10"/>
        <rFont val="Arial"/>
        <family val="2"/>
      </rPr>
      <t>*</t>
    </r>
  </si>
  <si>
    <t>* Returns not assigned to a locality are generally nonresident returns.  In these cases, the taxpayer did not report a locality in which the Virginia portion of income was earned.</t>
  </si>
  <si>
    <t>Table 1.6</t>
  </si>
  <si>
    <t>Filing Status</t>
  </si>
  <si>
    <t>Number</t>
  </si>
  <si>
    <t>Individual</t>
  </si>
  <si>
    <t>Table 1.6, continued</t>
  </si>
  <si>
    <t>Table 1.7</t>
  </si>
  <si>
    <t>Total Net Taxable Income, Amount Taxed at Each Tax Rate, Total Income Tax Liability by Locality</t>
  </si>
  <si>
    <t>Table 1.7, continued</t>
  </si>
  <si>
    <t>Table 1.8</t>
  </si>
  <si>
    <t>Set-Off Debt Transferred to Agencies by Taxable Year</t>
  </si>
  <si>
    <t>Type of Participants</t>
  </si>
  <si>
    <t>State Agencies</t>
  </si>
  <si>
    <t>Circuit Courts</t>
  </si>
  <si>
    <t>District Courts</t>
  </si>
  <si>
    <t>Juvenile and Domestic Courts</t>
  </si>
  <si>
    <t>Combined Courts</t>
  </si>
  <si>
    <t>IRS</t>
  </si>
  <si>
    <t>Towns</t>
  </si>
  <si>
    <t>Social Services</t>
  </si>
  <si>
    <t>TOTAL</t>
  </si>
  <si>
    <t>Table 1.9</t>
  </si>
  <si>
    <t>Refund Match Totals</t>
  </si>
  <si>
    <t>Tax Year</t>
  </si>
  <si>
    <t>Table 1.10</t>
  </si>
  <si>
    <t>Program/ Fund</t>
  </si>
  <si>
    <t xml:space="preserve">Number </t>
  </si>
  <si>
    <t>Virginia Democratic Party*</t>
  </si>
  <si>
    <t>Virginia Republican Party*</t>
  </si>
  <si>
    <t>Virginia Nongame Wildlife Program</t>
  </si>
  <si>
    <t>Virginia Housing Program</t>
  </si>
  <si>
    <t>Virginia Open Space Recreation and Conservation Fund</t>
  </si>
  <si>
    <t>Virginia Family and Children's Trust Fund (FACT)</t>
  </si>
  <si>
    <t>Virginia Elderly and Disabled Transportation Fund</t>
  </si>
  <si>
    <t>Virginia Arts Foundation</t>
  </si>
  <si>
    <t>Chesapeake Bay Restoration</t>
  </si>
  <si>
    <t>Public School Foundations</t>
  </si>
  <si>
    <t>Spay and Neuter Fund</t>
  </si>
  <si>
    <t>Virginia Federation of Humane Societies</t>
  </si>
  <si>
    <t>Cancer Centers</t>
  </si>
  <si>
    <t>Virginia Military Family Relief Fund</t>
  </si>
  <si>
    <t>Public Libraries Foundations</t>
  </si>
  <si>
    <t>Table 4.2</t>
  </si>
  <si>
    <t>Category</t>
  </si>
  <si>
    <t>11  Agriculture</t>
  </si>
  <si>
    <t>21-22  Mining and Utilities</t>
  </si>
  <si>
    <t>23  Construction</t>
  </si>
  <si>
    <t>31-33  Manufacturing</t>
  </si>
  <si>
    <t>42  Wholesale Trade</t>
  </si>
  <si>
    <t>44-45  Retail Trade</t>
  </si>
  <si>
    <t>444  Building Material and Garden Equipment and Supplies Dealers</t>
  </si>
  <si>
    <t>445  Food and Beverage Stores</t>
  </si>
  <si>
    <t>48-49  Transportation and Warehousing</t>
  </si>
  <si>
    <t>51  Information</t>
  </si>
  <si>
    <t>52  Finance and Insurance</t>
  </si>
  <si>
    <t>53  Real Estate, Rental, and Leasing</t>
  </si>
  <si>
    <t>54  Professional, Scientific, and Technical Services</t>
  </si>
  <si>
    <t>55  Management of Companies and Enterprises</t>
  </si>
  <si>
    <t>61  Educational Services</t>
  </si>
  <si>
    <t>62  Health Care and Social Assistance</t>
  </si>
  <si>
    <t>71  Arts, Entertainment, and Recreation</t>
  </si>
  <si>
    <t>72  Accommodation And Food Services</t>
  </si>
  <si>
    <t>722  Food Services and Drinking Places</t>
  </si>
  <si>
    <t>81  Other Services</t>
  </si>
  <si>
    <t>92  Public Administration</t>
  </si>
  <si>
    <t>Not Categorized</t>
  </si>
  <si>
    <t>Table 6.1</t>
  </si>
  <si>
    <t>Table of Contents</t>
  </si>
  <si>
    <t xml:space="preserve">Net Revenue Collections and Expenditures                                                                </t>
  </si>
  <si>
    <t>1.10</t>
  </si>
  <si>
    <t>Individual and Corporate Income Tax Credits</t>
  </si>
  <si>
    <t>4.2</t>
  </si>
  <si>
    <t>4.3</t>
  </si>
  <si>
    <t>Other State Taxes</t>
  </si>
  <si>
    <t>5.3</t>
  </si>
  <si>
    <t>5.4</t>
  </si>
  <si>
    <t>5.5</t>
  </si>
  <si>
    <t>5.6</t>
  </si>
  <si>
    <t>§ 58.1-439.12:05</t>
  </si>
  <si>
    <t>Green Job Creation Tax Credit</t>
  </si>
  <si>
    <t>2010 (effective 2010)</t>
  </si>
  <si>
    <t>§ 58.1-439.12:04</t>
  </si>
  <si>
    <t>Tax Credit for Participating Landlords (Community of Opportunity)</t>
  </si>
  <si>
    <t>State Forests Fund</t>
  </si>
  <si>
    <t>§ 58.1-339.12</t>
  </si>
  <si>
    <t>Farm Wineries and Vineyards Tax Credit</t>
  </si>
  <si>
    <t>2011 (effective 2011)</t>
  </si>
  <si>
    <t>§ 58.1-439.12:03</t>
  </si>
  <si>
    <t>Motion Picture Production Tax Credit (refundable)</t>
  </si>
  <si>
    <t>§ 58.1-439.12:06</t>
  </si>
  <si>
    <t>International Trade Facility Tax Credit</t>
  </si>
  <si>
    <t>§ 58.1-439.12:08</t>
  </si>
  <si>
    <t>§ 58.1-439.12:09</t>
  </si>
  <si>
    <t>Barge and Rail Usage Tax Credit</t>
  </si>
  <si>
    <t>§ 58.1-439.12:10</t>
  </si>
  <si>
    <t>Virginia Port Volume Increase Tax Credit</t>
  </si>
  <si>
    <t>Nonprofit Exemption Annual Report</t>
  </si>
  <si>
    <t>Amount ($)</t>
  </si>
  <si>
    <t>State and Local Retail Sales &amp; Use  
Tax Expenditure Resulting From Purchases 
Made by Nonprofit Organizations</t>
  </si>
  <si>
    <t>Wytheville</t>
  </si>
  <si>
    <t>Franklin City</t>
  </si>
  <si>
    <t>Richmond City</t>
  </si>
  <si>
    <t>Roanoke City</t>
  </si>
  <si>
    <t>Bloxom</t>
  </si>
  <si>
    <t>Broadnax</t>
  </si>
  <si>
    <t>Stephens City</t>
  </si>
  <si>
    <t>Non-General Fund (Non-GF) Revenues</t>
  </si>
  <si>
    <t>Total Department Non-GF Revenues</t>
  </si>
  <si>
    <t>Non-General Fund</t>
  </si>
  <si>
    <t xml:space="preserve">GF (tax) </t>
  </si>
  <si>
    <t xml:space="preserve">Non-GF (tax) </t>
  </si>
  <si>
    <t xml:space="preserve">Non-GF(other agency) </t>
  </si>
  <si>
    <t xml:space="preserve">Percent </t>
  </si>
  <si>
    <t>5.7</t>
  </si>
  <si>
    <t>Table 5.7</t>
  </si>
  <si>
    <t>Up to $24,999</t>
  </si>
  <si>
    <t>% used</t>
  </si>
  <si>
    <t xml:space="preserve">Total After Adjustments </t>
  </si>
  <si>
    <t>Insurance Premiums License Tax</t>
  </si>
  <si>
    <t xml:space="preserve">4. Tax assessed shown is before any credits claimed. </t>
  </si>
  <si>
    <t>5. If a company reports negative taxable premium income, its taxable premium income is treated as zero in this table.</t>
  </si>
  <si>
    <t>6. Some columns may not match totals due to rounding.</t>
  </si>
  <si>
    <t>Education Improvement Scholarships Tax Credit</t>
  </si>
  <si>
    <t xml:space="preserve">Amount </t>
  </si>
  <si>
    <t xml:space="preserve">Credit </t>
  </si>
  <si>
    <t>Neighborhood Assistance Act Tax Credit</t>
  </si>
  <si>
    <t>§ 58.1-439.26</t>
  </si>
  <si>
    <t>Education Improvement Scholarships Tax Credits</t>
  </si>
  <si>
    <t>2012 (effective 2013)</t>
  </si>
  <si>
    <t>Bedford County</t>
  </si>
  <si>
    <t>Fairfax County</t>
  </si>
  <si>
    <t>Franklin County</t>
  </si>
  <si>
    <t>Isle Of Wight</t>
  </si>
  <si>
    <t>King And Queen</t>
  </si>
  <si>
    <t>Richmond County</t>
  </si>
  <si>
    <t>Roanoke County</t>
  </si>
  <si>
    <t xml:space="preserve">*check if footnotes have changed </t>
  </si>
  <si>
    <t xml:space="preserve">check footnote </t>
  </si>
  <si>
    <t>Office of Customer Services</t>
  </si>
  <si>
    <t>P.O. Box 1115</t>
  </si>
  <si>
    <t>Richmond, VA  23218-1115</t>
  </si>
  <si>
    <t>2010 (effective 2011)</t>
  </si>
  <si>
    <t>Virginia Adjusted Gross Income, Exemptions, Itemized and Standard Deductions, Total Taxable Income, Total Tax Liability, and Average Tax Rates</t>
  </si>
  <si>
    <t xml:space="preserve">Addition for reserve for loan losses </t>
  </si>
  <si>
    <t>d. Other deductions (total)</t>
  </si>
  <si>
    <t>Capital before Virginia modifications</t>
  </si>
  <si>
    <t>Low Income Housing Tax Credit</t>
  </si>
  <si>
    <t>Other Taxes Net Revenue Collections - Non-General Fund</t>
  </si>
  <si>
    <t>7. The Aircraft Sales and Use Tax is imposed at a rate of 2 percent of the sales price.  All revenues from this tax are deposited in a special fund within the Commonwealth Transportation Fund for the administration of the aviation laws of the Commonwealth.</t>
  </si>
  <si>
    <t>4. The watercraft sales and use tax is imposed at a rate of 2 percent of the purchase price, up to a maximum of $2,000.</t>
  </si>
  <si>
    <t>5. The rolling stock tax on railroads, freight car companies, and certified motor vehicle carriers is $1 on each $100 of assessed value.</t>
  </si>
  <si>
    <t xml:space="preserve">1. The tax rate is 6% of the corporation's Virginia taxable income, except in the case of certain energy suppliers and telecommunication companies that are subject to a Minimum Tax. </t>
  </si>
  <si>
    <t>2. Tax assessed shown is before any credits.</t>
  </si>
  <si>
    <t>1. The Set-Off Debt program applies an overpayment amount on a taxpayer's return against accounts receivable due to an agency of the Commonwealth.</t>
  </si>
  <si>
    <t>2. Tax liability is before any tax credits but after the spouse tax adjustment.</t>
  </si>
  <si>
    <t>1.  Bedford County data includes data from the City of Bedford- which reverted to a town, effective July 1, 2013.</t>
  </si>
  <si>
    <t>Separately</t>
  </si>
  <si>
    <t xml:space="preserve">Married Filing </t>
  </si>
  <si>
    <t>1. The tax rate is 2% for taxable income of $3,000 or less; 3% for taxable income $3,001 to $5,000; 5% for taxable income $5,001 to $17,000; and 5.75% for taxable income over $17,000.</t>
  </si>
  <si>
    <t>2. Exemption and deduction amounts for nonresidents include the full amount before the Virginia allocable portion is computed.</t>
  </si>
  <si>
    <t>3. Tax liability is before any tax credits but after the spouse tax adjustment.</t>
  </si>
  <si>
    <t>4. Average tax rate is computed by dividing total tax liability by the total taxable income.</t>
  </si>
  <si>
    <t>5. All revenue generated by the Individual Income Tax is deposited to the General Fund.</t>
  </si>
  <si>
    <t xml:space="preserve">6. Exemptions claimed includes personal, age, blind and dependent exemptions. </t>
  </si>
  <si>
    <t>1. Tax liability is before any tax credits but after the spouse tax adjustment.</t>
  </si>
  <si>
    <t xml:space="preserve">Corporate Income Tax </t>
  </si>
  <si>
    <t>Net Revenue Collections After Refunds by Tax Type</t>
  </si>
  <si>
    <t xml:space="preserve">Recordation Tax and Deeds of Conveyance Revenue Collections by Locality </t>
  </si>
  <si>
    <t>Exemptions, Standard and Itemized Deductions, and Number of Returns by Filing Status/Locality</t>
  </si>
  <si>
    <t xml:space="preserve">Estate Tax </t>
  </si>
  <si>
    <t>§ 58.1-439.12:11</t>
  </si>
  <si>
    <t>Major Research and Development Expenses Tax Credit</t>
  </si>
  <si>
    <t>§ 58.1-439.12:12</t>
  </si>
  <si>
    <t>Community Foundations^</t>
  </si>
  <si>
    <t>Virginia Foundation of Community College Education^</t>
  </si>
  <si>
    <t>Breast and Cervical Cancer Prevention Treatment Fund^</t>
  </si>
  <si>
    <t>Middle Peninsula Chesapeake Bay Public Access Authority^</t>
  </si>
  <si>
    <t>Virginia Aquarium and Marine Science Center^</t>
  </si>
  <si>
    <t>Virginia Capitol Preservation Foundation^</t>
  </si>
  <si>
    <t>Office of the Secretary of Veteran Affairs and Homeland Security^</t>
  </si>
  <si>
    <t>VDA Medicare Part D Counseling Fund^</t>
  </si>
  <si>
    <r>
      <t>Tax Value Assistance to Localities</t>
    </r>
    <r>
      <rPr>
        <vertAlign val="superscript"/>
        <sz val="12"/>
        <color indexed="8"/>
        <rFont val="Arial"/>
        <family val="2"/>
      </rPr>
      <t>#</t>
    </r>
  </si>
  <si>
    <t>Council (SLEAC) and makes expenditures on behalf of SLEAC. These expenditures are not included above.</t>
  </si>
  <si>
    <t>Local Property Taxes</t>
  </si>
  <si>
    <t>Table 7.1</t>
  </si>
  <si>
    <t>Table 6.2</t>
  </si>
  <si>
    <t>FMV Land</t>
  </si>
  <si>
    <t>FMV Taxable Land</t>
  </si>
  <si>
    <t>FMV Structures</t>
  </si>
  <si>
    <t>Total FMV</t>
  </si>
  <si>
    <t>Total Taxable FMV</t>
  </si>
  <si>
    <t>Local Levy</t>
  </si>
  <si>
    <t>Reporting Year</t>
  </si>
  <si>
    <t xml:space="preserve">Bedford </t>
  </si>
  <si>
    <t>Table 6.2, continued</t>
  </si>
  <si>
    <t xml:space="preserve">Harrisonburg  </t>
  </si>
  <si>
    <t xml:space="preserve">Lexington  </t>
  </si>
  <si>
    <t xml:space="preserve">Manassas  </t>
  </si>
  <si>
    <t xml:space="preserve">Norton  </t>
  </si>
  <si>
    <t xml:space="preserve">Williamsburg  </t>
  </si>
  <si>
    <t>1. The data in this table are reported as certified by local Commissioners of the Revenue and Assessors.</t>
  </si>
  <si>
    <t>2. Levies shown do not include penalties and interest collected.</t>
  </si>
  <si>
    <r>
      <t>3. Taxable fair market value is the total fair market of real estate minus the special assessment for land preservation (</t>
    </r>
    <r>
      <rPr>
        <i/>
        <sz val="9"/>
        <rFont val="Arial"/>
        <family val="2"/>
      </rPr>
      <t>Va. Code §</t>
    </r>
    <r>
      <rPr>
        <sz val="9"/>
        <rFont val="Arial"/>
        <family val="2"/>
      </rPr>
      <t xml:space="preserve"> 58.1-3230).</t>
    </r>
  </si>
  <si>
    <t>4. The taxable fair market value is equal to the total fair market value for localities which do not have a special assessment for land preservation.</t>
  </si>
  <si>
    <t xml:space="preserve">5. Bedford County data includes data from the City of Bedford- which reverted to a town, effective July 1, 2013.  </t>
  </si>
  <si>
    <t xml:space="preserve">6. For a few counties, the data may also include the data for towns that have their own school divisions. </t>
  </si>
  <si>
    <t>Table 6.3</t>
  </si>
  <si>
    <t>Taxes Lost</t>
  </si>
  <si>
    <t>Fair Market Value</t>
  </si>
  <si>
    <t>Fair Market Value Tax Exempt Real Estate</t>
  </si>
  <si>
    <t>(Real Estate and</t>
  </si>
  <si>
    <t>Tax Exempt to</t>
  </si>
  <si>
    <t>Due to</t>
  </si>
  <si>
    <t>Real Estate</t>
  </si>
  <si>
    <t>Government</t>
  </si>
  <si>
    <t>Non-Government</t>
  </si>
  <si>
    <t>Total Tax Exempt</t>
  </si>
  <si>
    <t>Tax Exempt)</t>
  </si>
  <si>
    <t>Table 6.3, continued</t>
  </si>
  <si>
    <t xml:space="preserve">2. Bedford County data includes data from the City of Bedford- which reverted to a town, effective July 1, 2013. </t>
  </si>
  <si>
    <t xml:space="preserve">3. For a few counties, the data may also include the data for towns that have their own school divisions. </t>
  </si>
  <si>
    <t>Table 6.4</t>
  </si>
  <si>
    <t>Tangible Personal Property, Machinery and Tools, Merchants' Capital, and Public Service Corporations</t>
  </si>
  <si>
    <t>Tangible Personal Property</t>
  </si>
  <si>
    <t>Machinery and Tools</t>
  </si>
  <si>
    <t>Merchants' Capital</t>
  </si>
  <si>
    <t>Public Service Corporations</t>
  </si>
  <si>
    <t>Values</t>
  </si>
  <si>
    <t>Levies</t>
  </si>
  <si>
    <t>Table 6.4, continued</t>
  </si>
  <si>
    <t>2. Data are based on information provided by the local Commissioners of the Revenue and Assessors.</t>
  </si>
  <si>
    <t>3. Tangible personal property includes motor vehicles, watercraft, aircraft, farm animals and machinery, business property, household goods, etc.</t>
  </si>
  <si>
    <t>5. Machinery and Tools includes machinery and equipment used in a manufacturing, mining, processing or reprocessing, radio and television broadcasting, etc.</t>
  </si>
  <si>
    <t>6. Merchants' Capital includes inventory of stock on hand, daily rental property, and all tangible personal property for sale.</t>
  </si>
  <si>
    <t>7. Property of Public Service Corporations (PSC's) includes merchants' capital, real estate taxed, and tangible personal property.</t>
  </si>
  <si>
    <t xml:space="preserve">8. Bedford County data includes data from the City of Bedford- which reverted to a town, effective July 1, 2013. </t>
  </si>
  <si>
    <t>Assessed Values, Levies Assessed, and Average Tax Rates</t>
  </si>
  <si>
    <t>Tangible Personal</t>
  </si>
  <si>
    <t>Machinery</t>
  </si>
  <si>
    <t>Merchants'</t>
  </si>
  <si>
    <t>Public Service</t>
  </si>
  <si>
    <t>Year</t>
  </si>
  <si>
    <t>Property</t>
  </si>
  <si>
    <t>and Tools</t>
  </si>
  <si>
    <t>Capital</t>
  </si>
  <si>
    <t>Corporations</t>
  </si>
  <si>
    <t>Taxable Property</t>
  </si>
  <si>
    <t>Assessed Values</t>
  </si>
  <si>
    <t>Levies Assessed</t>
  </si>
  <si>
    <t>Average Tax Rates per $100 of Assessed Value</t>
  </si>
  <si>
    <t>1.Average tax rate is computed as the aggregate levy for all counties and cities divided by the aggregate assessed value for all counties and cities.</t>
  </si>
  <si>
    <t xml:space="preserve">n/b: pulled updated values from revised annual report so wldnt match FY17 annual report </t>
  </si>
  <si>
    <t>2018 - 2019</t>
  </si>
  <si>
    <t>US Treasury</t>
  </si>
  <si>
    <t>Falls Church*</t>
  </si>
  <si>
    <t>Portsmouth*</t>
  </si>
  <si>
    <t xml:space="preserve">4. Some localities exempt certain categories from taxation. For a few counties, the data may also include the data for towns that have their own school divisions. </t>
  </si>
  <si>
    <t>VIRGINIA TAX</t>
  </si>
  <si>
    <t>2. Effective beginning with Taxable Year 2017, Virginia entered into an agreement with U.S. Treasury to offset tax payments to collect nontax debts owed to the United States.</t>
  </si>
  <si>
    <t>*check FN</t>
  </si>
  <si>
    <t>Real Estate Fair Market Value (FMV), Fair Market Value (Taxable), and Local Levy by Locality - Tax Year 2019</t>
  </si>
  <si>
    <t>Comparison of Tax Exempt Value to Total Fair Market Value (FMV) of Real Estate by Locality - Tax Year 2019</t>
  </si>
  <si>
    <t>Assessed Values and Levies by Locality - Tax Year 2019</t>
  </si>
  <si>
    <t>§ 58.1-439.6:1</t>
  </si>
  <si>
    <t>Worker Training Tax Credit</t>
  </si>
  <si>
    <t xml:space="preserve">* Locality did not submit requested data for Tax Year 2019 and as such the locality's Tax Year 2018 data is being reported.  </t>
  </si>
  <si>
    <t>2019 - 2020</t>
  </si>
  <si>
    <t xml:space="preserve">Fairfax City </t>
  </si>
  <si>
    <t>Poquoson*</t>
  </si>
  <si>
    <t>Petersburg*</t>
  </si>
  <si>
    <t>Manassas Park*</t>
  </si>
  <si>
    <t>Hampton*</t>
  </si>
  <si>
    <t>Alexandria*</t>
  </si>
  <si>
    <t>James City*</t>
  </si>
  <si>
    <t>Arlington*</t>
  </si>
  <si>
    <t>Richmond*</t>
  </si>
  <si>
    <t>Taxable Year 2019</t>
  </si>
  <si>
    <t>Adjusted Gross
Income Classes</t>
  </si>
  <si>
    <t>Single 
Returns</t>
  </si>
  <si>
    <t>Total 
Number of 
Returns</t>
  </si>
  <si>
    <t xml:space="preserve">Married 
Filing Joint </t>
  </si>
  <si>
    <t xml:space="preserve">Married 
Filing Separately </t>
  </si>
  <si>
    <t>Adjusted Gross 
Income Classes</t>
  </si>
  <si>
    <t>Total Number 
of Returns</t>
  </si>
  <si>
    <t>Total Number 
of Exemptions</t>
  </si>
  <si>
    <t>Total Net 
Taxable Income</t>
  </si>
  <si>
    <t>Total Income 
Tax Liability</t>
  </si>
  <si>
    <t>Fiscal Year 
2019</t>
  </si>
  <si>
    <t>Fiscal Year 
2020</t>
  </si>
  <si>
    <t>FY 2015</t>
  </si>
  <si>
    <t>FY 2016</t>
  </si>
  <si>
    <t>FY 2017</t>
  </si>
  <si>
    <t>FY 2018</t>
  </si>
  <si>
    <t>FY 2019</t>
  </si>
  <si>
    <t>FY 2020</t>
  </si>
  <si>
    <t>FY 2021</t>
  </si>
  <si>
    <r>
      <t>Notes:</t>
    </r>
    <r>
      <rPr>
        <sz val="10"/>
        <color theme="0"/>
        <rFont val="Arial Narrow"/>
        <family val="2"/>
      </rPr>
      <t xml:space="preserve"> (check footnotes if changes needed)</t>
    </r>
  </si>
  <si>
    <t>Central VA Region</t>
  </si>
  <si>
    <t>Historic Triangle</t>
  </si>
  <si>
    <t xml:space="preserve">Northern Virginia Region </t>
  </si>
  <si>
    <t xml:space="preserve">Hampton Roads 
Region </t>
  </si>
  <si>
    <t>General 
Fund</t>
  </si>
  <si>
    <t>Subtotal 
State</t>
  </si>
  <si>
    <t>Local 
Option</t>
  </si>
  <si>
    <t>Public Education SOQ / Real Estate Property Tax Relief</t>
  </si>
  <si>
    <t>Total 
State and Local</t>
  </si>
  <si>
    <t>Fiscal 
Year</t>
  </si>
  <si>
    <t>State subtotal</t>
  </si>
  <si>
    <t>Local option</t>
  </si>
  <si>
    <t>State + Local</t>
  </si>
  <si>
    <t>`</t>
  </si>
  <si>
    <t>11. Effective FY 2010, dealers with annual taxable sales above a $1 million threshold are required to make a June payment equal to 90% of their sales and use tax liability for the previous June. For the payment due June 2021, the threshold was $10 million of annual taxable sales.</t>
  </si>
  <si>
    <t>Diff %</t>
  </si>
  <si>
    <t>Annual Report</t>
  </si>
  <si>
    <t>TAX data</t>
  </si>
  <si>
    <t>FY</t>
  </si>
  <si>
    <t>SUT totals from:</t>
  </si>
  <si>
    <t>prior Annual Report data</t>
  </si>
  <si>
    <t>FIPS</t>
  </si>
  <si>
    <t>Fiscal Year 
2021</t>
  </si>
  <si>
    <t>2019-2020</t>
  </si>
  <si>
    <t>Total Taxable Property</t>
  </si>
  <si>
    <t>Merchants' 
Capital</t>
  </si>
  <si>
    <t>Machinery 
and Tools</t>
  </si>
  <si>
    <t>Tangible 
Personal Property</t>
  </si>
  <si>
    <t>Taxable 
Real Estate</t>
  </si>
  <si>
    <t>1. A local license tax may be imposed on gross receipts under Va. Code § 58.1-3706.</t>
  </si>
  <si>
    <t>3. Taxable fair market value is the total fair market of real estate minus the special assessment for land preservation (Code of Virginia, Section 58.1-3230).</t>
  </si>
  <si>
    <t>4. Some localities exempt certain of these categories from taxation.</t>
  </si>
  <si>
    <t>Data source: 018C.0 Annual Taxable Sales Report from Virginia Tax BI platform</t>
  </si>
  <si>
    <t>Data source: Nonprofit Organization Tax Exemption Annual Report from Nonprofit Exemption Unit, Virginia Department of Taxation</t>
  </si>
  <si>
    <t>Data source: Bank Franchise Tax Unit, Virginia Department of Taxation</t>
  </si>
  <si>
    <t>Data source: Property Tax Unit, Virginia Department of Taxation</t>
  </si>
  <si>
    <t>Data source: 349.0 Communication Tax Annual Report from BI platform, Virginia Department of Taxation</t>
  </si>
  <si>
    <t>Data source: Department of Accounts</t>
  </si>
  <si>
    <t>Data source: Revenue Status Report RGL008 from Cardinal financial reporting system, Commonwealth of Virginia</t>
  </si>
  <si>
    <t>Data source: Department of Accounts and data pull from ARPRD database, Virginia Department of Taxation</t>
  </si>
  <si>
    <t>Data source: Report 138.0 from Office of Technology, Virginia Department of Taxation</t>
  </si>
  <si>
    <t>Data source: Report 138.A from Office of Technology, Virginia Department of Taxation</t>
  </si>
  <si>
    <t>Data source: Reports 138.B and 138.C from Office of Technology, Virginia Department of Taxation</t>
  </si>
  <si>
    <t>Data source: Reports 138.D from Office of Technology, Virginia Department of Taxation</t>
  </si>
  <si>
    <t>Data source: Fiscal Year Credit Report by Policy Development, Virginia Department of Taxation</t>
  </si>
  <si>
    <t>Data source: January "checkoffs" report using VA 529 Report and Report 138.E from Office of Technology, Virginia Department of Taxation</t>
  </si>
  <si>
    <t xml:space="preserve">10. Effective July 1, 2018, a new state tax of 1.0% was imposed on sales made in the Historic Triangle Region in the City of  Williamsburg and the counties of James City and York, with the exception of food purchased for human consumption. </t>
  </si>
  <si>
    <t xml:space="preserve"> 9. Effective July 1, 2013, a new state tax of 0.7% was imposed on localities in Northern Virginia region and Hampton Roads region.</t>
  </si>
  <si>
    <t xml:space="preserve"> 1. The sales and use tax on aircraft and on watercraft are reported separately in Tables 5.1 and 5.2, respectively.</t>
  </si>
  <si>
    <t xml:space="preserve"> 2. The sales and use tax on motor vehicles is administered by the Department of Motor Vehicles and is not reported here.</t>
  </si>
  <si>
    <t xml:space="preserve"> 3. Revenues of a 1% tax of the 4.3% state tax is returned to localities for education, based on each locality's school-age population.</t>
  </si>
  <si>
    <t xml:space="preserve"> 4. Revenues of a 1/2% tax of the 4.3% state tax is allocated to the Transportation Trust Fund for use by the Commonwealth Transportation Board.</t>
  </si>
  <si>
    <t xml:space="preserve"> 5. The local option tax of 1% is distributed to localities based on point of sale.  Local tax collections are net of all adjustments and costs of collection.</t>
  </si>
  <si>
    <t xml:space="preserve"> 6. Revenues of a 3/8% tax of the 4.3% state tax is allocated to the Public Education Standards of Quality/Local Real Estate Property Tax Relief Fund.</t>
  </si>
  <si>
    <t xml:space="preserve"> 7. On January 1, 2000, the state tax on unprepared food for human consumption was reduced from 3.5 % to 3.0 % and then reduced to 1.5 % on July 1, 2005.</t>
  </si>
  <si>
    <t xml:space="preserve"> 8. Effective July 1, 2013, the state tax was increased from 4% to 4.3%. Of the 0.3% increase, 0.175% goes to Highway Maintenance Operating Fund, 0.05% goes to Intercity Passenger Rail and 0.075% goes to Commonwealth Mass Transit Fund. </t>
  </si>
  <si>
    <t xml:space="preserve">12. Prior to FY 2017, the Commonwealth Accounting and Reporting System (CARS) was the data source for net revenue collections. Effective with FY 2017, the Revenue Status Report from the Cardinal financial system is the data source for net revenue collections. </t>
  </si>
  <si>
    <t>13. Effective July 1, 2019, the sales and use tax was extended to include remote sellers without a physical presence in the state. States were given the ability to do so by the U.S. Supreme Court's "Wayfair" decision of June 21, 2018</t>
  </si>
  <si>
    <t>14. For FY 2020 and prior years, the HMO fund amounts have been adjusted to include certain SUT revenue deposited in the Commonwealth Transportation Fund plus all other SUT revenue deposited in the HMO fund.</t>
  </si>
  <si>
    <r>
      <t xml:space="preserve">Highway  Maintenance Operating Fund </t>
    </r>
    <r>
      <rPr>
        <b/>
        <sz val="9"/>
        <color rgb="FFFF0000"/>
        <rFont val="Calibri"/>
        <family val="2"/>
      </rPr>
      <t>¹⁴ ¹⁵</t>
    </r>
  </si>
  <si>
    <r>
      <t>Transportation Trust Fund</t>
    </r>
    <r>
      <rPr>
        <b/>
        <sz val="9"/>
        <color rgb="FFFF0000"/>
        <rFont val="Arial"/>
        <family val="2"/>
      </rPr>
      <t xml:space="preserve"> ¹</t>
    </r>
    <r>
      <rPr>
        <b/>
        <sz val="9"/>
        <color rgb="FFFF0000"/>
        <rFont val="Calibri"/>
        <family val="2"/>
      </rPr>
      <t>⁵</t>
    </r>
  </si>
  <si>
    <r>
      <t>Intercity Passenger Rail Operating Fund</t>
    </r>
    <r>
      <rPr>
        <b/>
        <sz val="9"/>
        <color rgb="FFFF0000"/>
        <rFont val="Arial"/>
        <family val="2"/>
      </rPr>
      <t xml:space="preserve"> ¹</t>
    </r>
    <r>
      <rPr>
        <b/>
        <sz val="9"/>
        <color rgb="FFFF0000"/>
        <rFont val="Calibri"/>
        <family val="2"/>
      </rPr>
      <t>⁵</t>
    </r>
  </si>
  <si>
    <r>
      <t xml:space="preserve">Commonwealth Mass Transit Fund </t>
    </r>
    <r>
      <rPr>
        <b/>
        <sz val="9"/>
        <color rgb="FFFF0000"/>
        <rFont val="Arial"/>
        <family val="2"/>
      </rPr>
      <t>¹</t>
    </r>
    <r>
      <rPr>
        <b/>
        <sz val="9"/>
        <color rgb="FFFF0000"/>
        <rFont val="Calibri"/>
        <family val="2"/>
      </rPr>
      <t>⁵</t>
    </r>
  </si>
  <si>
    <t>3. Prior to July 1, 2010, the peanut excise tax was imposed at the rate of 15 cents per 100 pounds.  Effective July 1, 2010, the peanut excise tax was imposed at the rate of 30 cents per 100 pounds. Effective July 1, 2021, the peanut excise tax was reduced to the rate of 25 cents per 100 pounds. All revenues are deposited into the Peanut Fund.</t>
  </si>
  <si>
    <t>* See note in Table 1.5 concerning returns not assigned to a locality.</t>
  </si>
  <si>
    <t>Back</t>
  </si>
  <si>
    <t>15. Starting in FY 2021, various transportation SUT revenues  have been consolidated in the Commonwealth Transportation Fund per legislation</t>
  </si>
  <si>
    <t>1. Totals in Table 1.7 may not match totals in previous tables due to minor variations in rounding.</t>
  </si>
  <si>
    <t>5. Effective September 1, 2004, the tax on cigarettes was imposed at a rate of 20 cents per pack of 20 cigarettes. Effective July 1, 2005, the tax on cigarette was imposed at a rate of 30 cents per pack of 20 cigarettes.   Effective July 1, 2020, the tax on cigarettes was imposed at a rate of 60 cents per pack of 20 cigarettes.  All revenue from the Cigarette Tax is deposited into the Virginia Health Care Fund.</t>
  </si>
  <si>
    <t>6. Prior to July 1, 2020, other tobacco products were taxed at 10 percent of the sales price charged by the wholesale dealer.  Beginning July 1, 2020, other tobacco products are taxed at 20 percent of the sales price charged by the wholesale dealer.  Also, effective July 1, 2020 liquid nicotine products are taxed at a rate of $0.066 per milliliter.  Beginning January 1, 2021, the tax is imposed on heated tobacco products at the rate of 2.25 cents per stick.  All revenues from this tax are deposited into the Virginia Health Care Fund.</t>
  </si>
  <si>
    <t>2. The egg excise tax is imposed at the rate of 5 cents per 30-dozen case or 11 cents per 100 pounds of liquid eggs.  All revenue from this tax are deposited into the Virginia Egg Fund.</t>
  </si>
  <si>
    <t>Data source: Report 146.0 Premium License Tax Preference Credit and Report 138.F Insurance Premium License Tax from Office of Technology, Virginia Department of Taxation</t>
  </si>
  <si>
    <t xml:space="preserve"> 4. The local option tax of 1% is distributed to localities based on point of sale.  Local tax collections are net of all adjustments and costs of collection.</t>
  </si>
  <si>
    <t xml:space="preserve"> 5. Revenues of a 3/8% tax of the 4.3% state tax is allocated to the Public Education Standards of Quality/Local Real Estate Property Tax Relief Fund.</t>
  </si>
  <si>
    <t xml:space="preserve"> 6. On January 1, 2000, the state tax on unprepared food for human consumption was reduced from 3.5 % to 3.0 % and then reduced to 1.5 % on July 1, 2005.</t>
  </si>
  <si>
    <t xml:space="preserve"> 7. Effective July 1, 2013, the state tax was increased from 4% to 4.3%. Of the 0.3% increase, 0.175% goes to Highway Maintenance Operating Fund, 0.05% goes to Intercity Passenger Rail and 0.075% goes to Commonwealth Mass Transit Fund. </t>
  </si>
  <si>
    <t xml:space="preserve"> 8. A new state tax of 0.7% was imposed on localities in Northern Virginia region and Hampton Roads region effective July 1, 2013, and in the Central Virginia region effective October 1, 2020.</t>
  </si>
  <si>
    <t xml:space="preserve"> 9. Effective July 1, 2018, a new state tax of 1.0% was imposed on sales made in the Historic Triangle Region in the City of  Williamsburg and the counties of James City and York, with the exception of food purchased for human consumption. </t>
  </si>
  <si>
    <t>10. Effective FY 2010, dealers with annual taxable sales above a $1 million threshold are required to make a June payment equal to 90% of their sales and use tax liability for the previous June. For the payment due June 2021, the threshold was $10 million of annual taxable sales.</t>
  </si>
  <si>
    <t xml:space="preserve">11. Prior to FY 2017, the Commonwealth Accounting and Reporting System (CARS) was the data source for net revenue collections. Effective with FY 2017, the Revenue Status Report from the Cardinal financial system is the data source for net revenue collections. </t>
  </si>
  <si>
    <t>12. Effective July 1, 2019, the sales and use tax was extended to include remote sellers without a physical presence in the state. States were given the ability to do so by the U.S. Supreme Court's "Wayfair" decision of June 21, 2018</t>
  </si>
  <si>
    <r>
      <t>Commonwealth Transportation Fund ¹</t>
    </r>
    <r>
      <rPr>
        <b/>
        <sz val="9"/>
        <rFont val="Calibri"/>
        <family val="2"/>
      </rPr>
      <t>⁴</t>
    </r>
  </si>
  <si>
    <r>
      <t>Transportation Trust Fund ¹</t>
    </r>
    <r>
      <rPr>
        <b/>
        <sz val="9"/>
        <rFont val="Calibri"/>
        <family val="2"/>
      </rPr>
      <t>⁴</t>
    </r>
  </si>
  <si>
    <r>
      <t xml:space="preserve">Highway  Maintenance Operating Fund </t>
    </r>
    <r>
      <rPr>
        <b/>
        <sz val="9"/>
        <rFont val="Calibri"/>
        <family val="2"/>
      </rPr>
      <t>¹³ ¹⁴</t>
    </r>
  </si>
  <si>
    <r>
      <t>Intercity Passenger Rail Operating Fund ¹</t>
    </r>
    <r>
      <rPr>
        <b/>
        <sz val="9"/>
        <rFont val="Calibri"/>
        <family val="2"/>
      </rPr>
      <t>⁴</t>
    </r>
  </si>
  <si>
    <r>
      <t>Commonwealth Mass Transit Fund ¹</t>
    </r>
    <r>
      <rPr>
        <b/>
        <sz val="9"/>
        <rFont val="Calibri"/>
        <family val="2"/>
      </rPr>
      <t>⁴</t>
    </r>
  </si>
  <si>
    <r>
      <t>Additional Tax Certain Localities</t>
    </r>
    <r>
      <rPr>
        <b/>
        <sz val="9"/>
        <color rgb="FF7030A0"/>
        <rFont val="Arial"/>
        <family val="2"/>
      </rPr>
      <t>¹</t>
    </r>
    <r>
      <rPr>
        <b/>
        <sz val="9"/>
        <color rgb="FF7030A0"/>
        <rFont val="Calibri"/>
        <family val="2"/>
      </rPr>
      <t>⁵</t>
    </r>
  </si>
  <si>
    <t>14. Certain localities have statutory authority to levy an additional sales and use tax of up to one percent. Halifax County imposed this new tax effective July 1, 2020 and Henry County imposed the tax effective April 1, 2021.</t>
  </si>
  <si>
    <r>
      <t>Transportation ¹</t>
    </r>
    <r>
      <rPr>
        <b/>
        <sz val="9"/>
        <rFont val="Calibri"/>
        <family val="2"/>
      </rPr>
      <t>³</t>
    </r>
  </si>
  <si>
    <r>
      <t>Additional Tax Certain Localities</t>
    </r>
    <r>
      <rPr>
        <b/>
        <sz val="9"/>
        <color rgb="FF7030A0"/>
        <rFont val="Arial"/>
        <family val="2"/>
      </rPr>
      <t>¹</t>
    </r>
    <r>
      <rPr>
        <b/>
        <sz val="9"/>
        <color rgb="FF7030A0"/>
        <rFont val="Calibri"/>
        <family val="2"/>
      </rPr>
      <t>⁴</t>
    </r>
  </si>
  <si>
    <t xml:space="preserve">13. Prior to FY 2021, transportation funding included distributions to the Transportation Trust Fund, Highway Maintenance Operating Fund, Intercity Passenger Rail Operating Fund, and Commonwealth Mass Transit Fund. For a detailed breakdown of such distributions, see prior annual reports. Pursuant to 2020 HB 1414 and SB 890 (2020 Acts of Assembly, Chapters ___ and ___), such funding was distributed solely to the Commonwealth Transportation Fund, effective July 1, 2021. </t>
  </si>
  <si>
    <r>
      <t>Directory</t>
    </r>
    <r>
      <rPr>
        <sz val="10"/>
        <rFont val="Arial"/>
        <family val="2"/>
      </rPr>
      <t xml:space="preserve"> ……………………………………...……………………....………………….……………………………………………………………………….…………………..……………………………..    </t>
    </r>
  </si>
  <si>
    <t>2. If a return was amended or audited during the fiscal year, only the additional credit amount (or reduction) is included.</t>
  </si>
  <si>
    <t>3. The amount shown for the Coalfields Employment Enhancement Tax credit includes the amount refunded to taxpayers, as well as that deposited with the Coalfields Economic Development Authority.</t>
  </si>
  <si>
    <t>4. A refundable tax credit is one which is not limited by the amount of the taxpayer's tax liability.</t>
  </si>
  <si>
    <t xml:space="preserve"> Share of 
State Tax</t>
  </si>
  <si>
    <t>Total 
Amount</t>
  </si>
  <si>
    <t>Tax Exempt to Total FMV</t>
  </si>
  <si>
    <t>Fair Market Value 
Real Estate</t>
  </si>
  <si>
    <t>Total FMV 
(Real Estate &amp; Tax Exempt)</t>
  </si>
  <si>
    <t>Taxes Lost 
Due to Exemptions</t>
  </si>
  <si>
    <t>2019</t>
  </si>
  <si>
    <t>2021</t>
  </si>
  <si>
    <t>56  Administrative, Support, Waste Management, &amp; Remediation Services</t>
  </si>
  <si>
    <r>
      <t xml:space="preserve">Insurance Premiums License Tax: </t>
    </r>
    <r>
      <rPr>
        <sz val="12"/>
        <rFont val="Arial"/>
        <family val="2"/>
      </rPr>
      <t>Number of Returns, Taxable Premium Income, and Tax Liability</t>
    </r>
  </si>
  <si>
    <r>
      <t xml:space="preserve">Insurance Companies </t>
    </r>
    <r>
      <rPr>
        <sz val="10"/>
        <rFont val="Arial"/>
        <family val="2"/>
      </rPr>
      <t xml:space="preserve">(Form 800) </t>
    </r>
  </si>
  <si>
    <r>
      <t>Surplus Lines Brokers</t>
    </r>
    <r>
      <rPr>
        <sz val="10"/>
        <rFont val="Arial"/>
        <family val="2"/>
      </rPr>
      <t xml:space="preserve"> (Form 802) </t>
    </r>
  </si>
  <si>
    <t xml:space="preserve">Taxable Premium Income Reported for Virginia </t>
  </si>
  <si>
    <t>Taxable 
Premium Income</t>
  </si>
  <si>
    <t>Tax 
Assessed</t>
  </si>
  <si>
    <t>Percent of Total (Tax)</t>
  </si>
  <si>
    <t>Fiscal Year 
2022</t>
  </si>
  <si>
    <t>Reported Taxable Income From Virginia Sources</t>
  </si>
  <si>
    <t>Percent 
of Total</t>
  </si>
  <si>
    <t>Number of Payments</t>
  </si>
  <si>
    <t>1. The Refund Match program automatically matches an overpayment on a taxpayer's return to any outstanding tax due to the Department of Taxation, with the exception of fiduciary and estate tax accounts.</t>
  </si>
  <si>
    <t>Taxed at 2% Rate</t>
  </si>
  <si>
    <t>Taxed at 3% Rate</t>
  </si>
  <si>
    <t>Taxed at 5% Rate</t>
  </si>
  <si>
    <t>Taxed at 5.75% Rate</t>
  </si>
  <si>
    <t>51001</t>
  </si>
  <si>
    <t>51003</t>
  </si>
  <si>
    <t>51005</t>
  </si>
  <si>
    <t>51007</t>
  </si>
  <si>
    <t>51009</t>
  </si>
  <si>
    <t>51011</t>
  </si>
  <si>
    <t>51013</t>
  </si>
  <si>
    <t>51015</t>
  </si>
  <si>
    <t>51017</t>
  </si>
  <si>
    <t>51019</t>
  </si>
  <si>
    <t>51021</t>
  </si>
  <si>
    <t>51023</t>
  </si>
  <si>
    <t>51025</t>
  </si>
  <si>
    <t>51027</t>
  </si>
  <si>
    <t>51029</t>
  </si>
  <si>
    <t>51031</t>
  </si>
  <si>
    <t>51033</t>
  </si>
  <si>
    <t>51035</t>
  </si>
  <si>
    <t>51036</t>
  </si>
  <si>
    <t>51037</t>
  </si>
  <si>
    <t>51041</t>
  </si>
  <si>
    <t>51043</t>
  </si>
  <si>
    <t>51045</t>
  </si>
  <si>
    <t>51047</t>
  </si>
  <si>
    <t>51049</t>
  </si>
  <si>
    <t>51051</t>
  </si>
  <si>
    <t>51053</t>
  </si>
  <si>
    <t>51057</t>
  </si>
  <si>
    <t>51059</t>
  </si>
  <si>
    <t>51061</t>
  </si>
  <si>
    <t>51063</t>
  </si>
  <si>
    <t>51065</t>
  </si>
  <si>
    <t>51067</t>
  </si>
  <si>
    <t>51069</t>
  </si>
  <si>
    <t>51071</t>
  </si>
  <si>
    <t>51073</t>
  </si>
  <si>
    <t>51075</t>
  </si>
  <si>
    <t>51077</t>
  </si>
  <si>
    <t>51079</t>
  </si>
  <si>
    <t>51081</t>
  </si>
  <si>
    <t>51083</t>
  </si>
  <si>
    <t>51085</t>
  </si>
  <si>
    <t>51087</t>
  </si>
  <si>
    <t>51089</t>
  </si>
  <si>
    <t>51091</t>
  </si>
  <si>
    <t>51093</t>
  </si>
  <si>
    <t>51095</t>
  </si>
  <si>
    <t>51097</t>
  </si>
  <si>
    <t>51099</t>
  </si>
  <si>
    <t>51101</t>
  </si>
  <si>
    <t>51103</t>
  </si>
  <si>
    <t>51105</t>
  </si>
  <si>
    <t>51107</t>
  </si>
  <si>
    <t>51109</t>
  </si>
  <si>
    <t>51111</t>
  </si>
  <si>
    <t>51113</t>
  </si>
  <si>
    <t>51115</t>
  </si>
  <si>
    <t>51117</t>
  </si>
  <si>
    <t>51119</t>
  </si>
  <si>
    <t>51121</t>
  </si>
  <si>
    <t>51125</t>
  </si>
  <si>
    <t>51127</t>
  </si>
  <si>
    <t>51131</t>
  </si>
  <si>
    <t>51133</t>
  </si>
  <si>
    <t>51135</t>
  </si>
  <si>
    <t>51137</t>
  </si>
  <si>
    <t>51139</t>
  </si>
  <si>
    <t>51141</t>
  </si>
  <si>
    <t>51143</t>
  </si>
  <si>
    <t>51145</t>
  </si>
  <si>
    <t>51147</t>
  </si>
  <si>
    <t>51149</t>
  </si>
  <si>
    <t>51153</t>
  </si>
  <si>
    <t>51155</t>
  </si>
  <si>
    <t>51157</t>
  </si>
  <si>
    <t>51159</t>
  </si>
  <si>
    <t>51161</t>
  </si>
  <si>
    <t>51163</t>
  </si>
  <si>
    <t>51165</t>
  </si>
  <si>
    <t>51167</t>
  </si>
  <si>
    <t>51169</t>
  </si>
  <si>
    <t>51171</t>
  </si>
  <si>
    <t>51173</t>
  </si>
  <si>
    <t>51175</t>
  </si>
  <si>
    <t>51177</t>
  </si>
  <si>
    <t>51179</t>
  </si>
  <si>
    <t>51181</t>
  </si>
  <si>
    <t>51183</t>
  </si>
  <si>
    <t>51185</t>
  </si>
  <si>
    <t>51187</t>
  </si>
  <si>
    <t>51191</t>
  </si>
  <si>
    <t>51193</t>
  </si>
  <si>
    <t>51195</t>
  </si>
  <si>
    <t>51197</t>
  </si>
  <si>
    <t>51199</t>
  </si>
  <si>
    <t>51510</t>
  </si>
  <si>
    <t>51520</t>
  </si>
  <si>
    <t>51530</t>
  </si>
  <si>
    <t>51540</t>
  </si>
  <si>
    <t>51550</t>
  </si>
  <si>
    <t>51570</t>
  </si>
  <si>
    <t>51580</t>
  </si>
  <si>
    <t>51590</t>
  </si>
  <si>
    <t>51595</t>
  </si>
  <si>
    <t>51600</t>
  </si>
  <si>
    <t>51610</t>
  </si>
  <si>
    <t>51620</t>
  </si>
  <si>
    <t>51630</t>
  </si>
  <si>
    <t>51640</t>
  </si>
  <si>
    <t>51650</t>
  </si>
  <si>
    <t>51660</t>
  </si>
  <si>
    <t>51670</t>
  </si>
  <si>
    <t>51678</t>
  </si>
  <si>
    <t>51680</t>
  </si>
  <si>
    <t>51683</t>
  </si>
  <si>
    <t>51685</t>
  </si>
  <si>
    <t>51690</t>
  </si>
  <si>
    <t>51700</t>
  </si>
  <si>
    <t>51710</t>
  </si>
  <si>
    <t>51720</t>
  </si>
  <si>
    <t>51730</t>
  </si>
  <si>
    <t>51735</t>
  </si>
  <si>
    <t>51740</t>
  </si>
  <si>
    <t>51750</t>
  </si>
  <si>
    <t>51760</t>
  </si>
  <si>
    <t>51770</t>
  </si>
  <si>
    <t>51775</t>
  </si>
  <si>
    <t>51790</t>
  </si>
  <si>
    <t>51800</t>
  </si>
  <si>
    <t>51810</t>
  </si>
  <si>
    <t>51820</t>
  </si>
  <si>
    <t>51830</t>
  </si>
  <si>
    <t>51840</t>
  </si>
  <si>
    <t>00300</t>
  </si>
  <si>
    <t>Total 
Returns</t>
  </si>
  <si>
    <t>Married 
Filing Joint</t>
  </si>
  <si>
    <t>Married 
Filing Separately</t>
  </si>
  <si>
    <t>$5,000 to $9,999</t>
  </si>
  <si>
    <t>$10,000 to $14,999</t>
  </si>
  <si>
    <t>$15,000 to $19,999</t>
  </si>
  <si>
    <t>$20,000 to $24,999</t>
  </si>
  <si>
    <t>$25,000 to $29,999</t>
  </si>
  <si>
    <t>$30,000 to $39,999</t>
  </si>
  <si>
    <t>$40,000 to $49,999</t>
  </si>
  <si>
    <t>$50,000 to $74,999</t>
  </si>
  <si>
    <t>$75,000 to $99,999</t>
  </si>
  <si>
    <t>$100,000 and Over</t>
  </si>
  <si>
    <t>Total Adjusted Gross Income</t>
  </si>
  <si>
    <t>Adjusted Gross Income Classes</t>
  </si>
  <si>
    <t>Exemptions Claimed ($)</t>
  </si>
  <si>
    <t>Itemized Deductions Claimed ($)</t>
  </si>
  <si>
    <t>Standard Deductions  Claimed ($)</t>
  </si>
  <si>
    <t>Total Deductions Claimed ($)</t>
  </si>
  <si>
    <t>Total Taxable Income</t>
  </si>
  <si>
    <t>Total Tax Liability</t>
  </si>
  <si>
    <t>Average Tax Rate</t>
  </si>
  <si>
    <t xml:space="preserve">Data source: Net Revenue Collections are from Revenue Status Report RGL008 from Cardinal financial reporting system, Commonwealth of Virginia; </t>
  </si>
  <si>
    <t xml:space="preserve">Data source: Tax Department GF expenditures are from Revenue Status Report RGL006 from Cardinal financial reporting system, Commonwealth of Virginia; </t>
  </si>
  <si>
    <t>Data source: SLEAC expenditures excluded from Tax expenditures are provided by request from Revenue Accounting, Department of Taxation</t>
  </si>
  <si>
    <t>FY 2022</t>
  </si>
  <si>
    <t>Agricultural Best Management Practices Tax Credit</t>
  </si>
  <si>
    <t>Riparian Forest Buffer Protection for Waterways Tax Credit</t>
  </si>
  <si>
    <t>Research and Development Expenses Tax Credit (refundable)</t>
  </si>
  <si>
    <t>Conservation Tillage and Precision Agriculture Equipment Tax Credit</t>
  </si>
  <si>
    <t>Tax Credits:  Individual and Corporate Income Tax, Insurance Premium License Tax, and Bank Franchise Tax</t>
  </si>
  <si>
    <t>13. For FY 2020 and prior years, the HMO fund amounts have been adjusted to include all SUT revenue deposited in the HMO fund; for this reason, the HMOF numbers reported in prior years may differ.</t>
  </si>
  <si>
    <t>The Honorable Glenn Youngkin, Governor</t>
  </si>
  <si>
    <t>The Honorable Stephen E. Cummings, Secretary of Finance</t>
  </si>
  <si>
    <t>Voluntary Contributions by Taxable Year</t>
  </si>
  <si>
    <t>The Transportation SUT revenues are as compiled in Table 4.1</t>
  </si>
  <si>
    <r>
      <t xml:space="preserve">7. Total deductions represents standard and itemized deduction and does not include other deductions in </t>
    </r>
    <r>
      <rPr>
        <i/>
        <sz val="9"/>
        <color theme="1" tint="0.14999847407452621"/>
        <rFont val="Arial Narrow"/>
        <family val="2"/>
      </rPr>
      <t xml:space="preserve">Va. Code § </t>
    </r>
    <r>
      <rPr>
        <sz val="9"/>
        <color theme="1" tint="0.14999847407452621"/>
        <rFont val="Arial Narrow"/>
        <family val="2"/>
      </rPr>
      <t xml:space="preserve"> 58.1-322.03.</t>
    </r>
  </si>
  <si>
    <t>10. Effective FY 2010, dealers with annual taxable sales above a $1 million threshold were required to make a June payment equal to 90% of their sales and use tax liability for the previous June. The threshold was raised to $10 million for the payment due June 2021.  This accelerated June payment was eliminated for the payment due June 2022.</t>
  </si>
  <si>
    <t>11. Prior to FY 2017, the Commonwealth Accounting and Reporting System (CARS) was the data source for net revenue collections. Effective with FY 2017, the Revenue Status Report from the Cardinal financial system is the data source for net revenue collections. The exception is Additional Tax Certain Localities, which requires a custom report.</t>
  </si>
  <si>
    <r>
      <t xml:space="preserve">6. The administration and collection of Insurance Premiums License Tax was transferred from SCC's Bureau of Insurance to the Department of Taxation, effective for taxable years beginning on or after January, 2013. Prior to Taxable Year 2015, depending on the line(s) of insurance from which the premiums were derived, the tax rates were 2.25%, 1.00%, and 0.75% for insurance companies. After Taxable Year 2015, depending on the line(s) of insurance from which the premiums were derived, the tax rates are 2.25% and 1.00% for insurance companies. Surplus lines brokers are subject to a rate of 2.25%. The figures above represent the General Fund share after the required transfer to the Transportation Trust Fund per Chapter 896, 2007 </t>
    </r>
    <r>
      <rPr>
        <i/>
        <sz val="9"/>
        <color theme="1" tint="0.14999847407452621"/>
        <rFont val="Arial Narrow"/>
        <family val="2"/>
      </rPr>
      <t>Acts of Assembly</t>
    </r>
    <r>
      <rPr>
        <sz val="9"/>
        <color theme="1" tint="0.14999847407452621"/>
        <rFont val="Arial Narrow"/>
        <family val="2"/>
      </rPr>
      <t xml:space="preserve">. </t>
    </r>
  </si>
  <si>
    <t>Insurance Premiums</t>
  </si>
  <si>
    <t>Suits &amp;</t>
  </si>
  <si>
    <t>Wills</t>
  </si>
  <si>
    <t xml:space="preserve">Notes: </t>
  </si>
  <si>
    <t>Tire Recycling</t>
  </si>
  <si>
    <t>Egg Excise</t>
  </si>
  <si>
    <t>Peanut Excise</t>
  </si>
  <si>
    <t>Aircraft Tax</t>
  </si>
  <si>
    <r>
      <t>Other Tobacco 
Products</t>
    </r>
    <r>
      <rPr>
        <b/>
        <sz val="10"/>
        <color theme="0"/>
        <rFont val="Arial"/>
        <family val="2"/>
      </rPr>
      <t>__</t>
    </r>
  </si>
  <si>
    <t>Corn Tax</t>
  </si>
  <si>
    <t>Cotton Tax</t>
  </si>
  <si>
    <t>Small Grains</t>
  </si>
  <si>
    <t>Litter Tax</t>
  </si>
  <si>
    <t>Sheep Tax</t>
  </si>
  <si>
    <t>Apple Tax</t>
  </si>
  <si>
    <t>Soft Drink 
Excise Tax</t>
  </si>
  <si>
    <r>
      <t>Soybean Excise</t>
    </r>
    <r>
      <rPr>
        <b/>
        <sz val="10"/>
        <color theme="0"/>
        <rFont val="Arial"/>
        <family val="2"/>
      </rPr>
      <t>_</t>
    </r>
  </si>
  <si>
    <t>Falls Church *</t>
  </si>
  <si>
    <t xml:space="preserve">Manassas Park  </t>
  </si>
  <si>
    <t xml:space="preserve">Poquoson  </t>
  </si>
  <si>
    <t xml:space="preserve">Fairfax County </t>
  </si>
  <si>
    <t>2. Taxable fair market value is the total fair market of real estate minus the special assessment for land preservation (Code of Virginia, Section 58.1-3230).</t>
  </si>
  <si>
    <t>3. The taxable fair market value is equal to the total fair market value for localities which do not have a special assessment for land preservation.</t>
  </si>
  <si>
    <t>2. A local license tax may be imposed on gross receipts under the Code of Virginia, Section 58.1-3706.</t>
  </si>
  <si>
    <t xml:space="preserve">Richmond  County </t>
  </si>
  <si>
    <t>2. Prior to FY 2017, the Commonwealth Accounting and Reporting System was the data source for Corporate Income Tax revenue. Effective with FY 2017, the data source is the Revenue Status Report from the Cardinal financial system.</t>
  </si>
  <si>
    <t xml:space="preserve">Nonprofit Organization Tax Exemption Annual Report By Fiscal Year </t>
  </si>
  <si>
    <t>License Tax</t>
  </si>
  <si>
    <t>Forest Products</t>
  </si>
  <si>
    <t>*</t>
  </si>
  <si>
    <t>Amount *</t>
  </si>
  <si>
    <t>http://www.tax.virginia.gov</t>
  </si>
  <si>
    <t>This report was prepared by:</t>
  </si>
  <si>
    <t>http://www.coopercenter.org</t>
  </si>
  <si>
    <t>Other economic and demographic data is available from the University of Virginia's Weldon Cooper Center for Public Service, which can be reached by telephone at (434) 243-5232 or online at:</t>
  </si>
  <si>
    <t xml:space="preserve">3. Insurance companies are subject to tax on their gross premium income. Depending on the line(s) of insurance from which the premiums were derived, the tax rates for taxable year 2021 were 2.25% and 1.00%. Surplus lines brokers are required to pay the tax on each policy of insurance they produce during the preceding calendar year with an insurer that is not licensed to conduct business in Virginia. Surplus lines brokers are subject to a rate of 2.25%. </t>
  </si>
  <si>
    <t xml:space="preserve">1. The figures stated above are net of refunds.  </t>
  </si>
  <si>
    <t>3. The tax on suits is $5 for debts under $50,000, $15 for debts $50,000 and greater but not exceeding $100,000, and $25 for debts $100,000 and greater.  Prior to July 1, 2007, Virginia had an estate tax that was equal to the federal credit for state death taxes. With the elimination of the federal credit, the Virginia estate tax was effectively repealed.</t>
  </si>
  <si>
    <t>1. The Tire Recycling Fee is imposed at a rate of 50 cents per tire. All revenues from the fee are deposited into the Waste Tire Trust Fund.</t>
  </si>
  <si>
    <t>2. This tax is collected from consumers by their service providers and remitted to the Department of Taxation on a monthly basis.  In cases where a consumer purchases taxable communications services and no tax is collected from the consumer on the purchase by the provider, the consumer is responsible for paying a communications use tax.</t>
  </si>
  <si>
    <t xml:space="preserve">2. For insurance companies, taxable premium income means direct premium income allocated to Virginia after taking into account any adjustments. For surplus lines brokers, taxable premium income is premium income from policies for insureds whose home state is Virginia after taking into account any additional or returned premiums. </t>
  </si>
  <si>
    <t xml:space="preserve">1. The Department’s estimate of annual revenue impact of the nonprofit entity exemption is based on the amounts of exempt purchases reported to the Department by nonprofit entities on their applications for a new or renewed exemption under Va. Code § 58.1-609.11.    </t>
  </si>
  <si>
    <t>Cattle Tax</t>
  </si>
  <si>
    <t/>
  </si>
  <si>
    <t>8. The Virginia Department of Taxation began collecting the Cattle Tax Assessment in FY 2019 pursuant to 2018 Senate Bill 374 (Chapter 469, 2018 Acts of Assembly).</t>
  </si>
  <si>
    <t>9. The corn assessment is imposed at the rate of 1 cent per bushel.  All revenues from the tax are deposited into the Virginia Corn Fund.</t>
  </si>
  <si>
    <t>10. The cotton assessment is imposed at the rate of 95 cents per bale.  All revenues from the tax are deposited into the Virginia Cotton Fund.</t>
  </si>
  <si>
    <t>11. The small grains assessment is imposed at the rate of one-half of one percent (.005) of the net selling price per bushel.  All revenues from the tax are deposited into the Virginia Small Grains Fund.</t>
  </si>
  <si>
    <t>12. The forest products tax is imposed at different rates based on the type of product.  Revenues from the tax are deposited into the Reforestation of Timberlands State Fund and the Protection and Development of Forest Resources State Fund.</t>
  </si>
  <si>
    <t>13. The soft drink excise tax is imposed on wholesalers or distributors of carbonated soft drinks on a sliding scale based on gross receipts.  The tax revenues is deposited into the Litter Control and Recycling Fund.</t>
  </si>
  <si>
    <t>14. Legislation effective July 1, 2020 changed the litter tax to $20 per establishment operated by a manufacturer, wholesaler or retailer. An additional annual tax of $30 per establishment is to be paid by businesses making or distributing certain product categories (i.e., groceries, soft drinks/carbonated beverages, and beer). A penalty of $100 plus an amount equal to the tax due is imposed on all delinquent taxes.</t>
  </si>
  <si>
    <t>15. The sheep assessment is imposed at the rate of 50 cents per head.  All revenues from the tax are deposited into the Virginia Sheep Industry Promotion and Development Fund.</t>
  </si>
  <si>
    <t>16. The apple excise tax is 2.5 cents per tree run bushel of ungraded apples grown in the Commonwealth. Revenues from the tax are deposited into the Apple Fund.</t>
  </si>
  <si>
    <t>Ck shares</t>
  </si>
  <si>
    <t xml:space="preserve"> </t>
  </si>
  <si>
    <t>Ck Shares</t>
  </si>
  <si>
    <t>General Fund (TAX)</t>
  </si>
  <si>
    <t>Non-General Fund (TAX)</t>
  </si>
  <si>
    <t>General Fund (Other Agencies)</t>
  </si>
  <si>
    <t>Non-General Fund (Other Agencies)</t>
  </si>
  <si>
    <t xml:space="preserve">1. The administration and collection of Insurance Premiums License Tax was transferred from SCC's Bureau of Insurance to the Department of Taxation effective for taxable years beginning on or after January 1, 2013. </t>
  </si>
  <si>
    <t>§ 38.2-1611.1(B)</t>
  </si>
  <si>
    <t>Guaranty Fund Assessment Tax Credit</t>
  </si>
  <si>
    <t>1997 (effective 1998)</t>
  </si>
  <si>
    <t>§ 58.1-2510</t>
  </si>
  <si>
    <t>Refundable Retaliatory Costs Tax Credit</t>
  </si>
  <si>
    <t>§ 58.1-390.3(E)</t>
  </si>
  <si>
    <t>2022 (effective 2021)</t>
  </si>
  <si>
    <t>Corporate Income Tax:  Number of Returns, Taxable Income, and Tax Liability</t>
  </si>
  <si>
    <r>
      <t>Number of  Corporate Returns</t>
    </r>
    <r>
      <rPr>
        <b/>
        <sz val="10"/>
        <rFont val="Calibri"/>
        <family val="2"/>
      </rPr>
      <t>⁴</t>
    </r>
  </si>
  <si>
    <r>
      <t>Taxable Income</t>
    </r>
    <r>
      <rPr>
        <b/>
        <sz val="10"/>
        <rFont val="Calibri"/>
        <family val="2"/>
      </rPr>
      <t>³</t>
    </r>
  </si>
  <si>
    <r>
      <t xml:space="preserve">Tax 
Assessed </t>
    </r>
    <r>
      <rPr>
        <b/>
        <sz val="10"/>
        <rFont val="Calibri"/>
        <family val="2"/>
      </rPr>
      <t>¹ ²</t>
    </r>
  </si>
  <si>
    <t>3. If a corporation reports a negative taxable income, its taxable income is treated as zero in this table.</t>
  </si>
  <si>
    <t xml:space="preserve">4. Excludes pass-through entities such as S corporations, partnerships and limited liability companies generally file Form 502. Any income flows through to owners of each pass-through entity and they report all taxable income on their tax returns. </t>
  </si>
  <si>
    <t>2022</t>
  </si>
  <si>
    <t>* 2021 data includes corrections that surfaced during checks of data collection for 2022</t>
  </si>
  <si>
    <t>2021*</t>
  </si>
  <si>
    <t>**Average tax rate is computed as the aggregate levy for all counties and cities divided by the aggregate assessed value for all counties and cities.</t>
  </si>
  <si>
    <t>Fiscal Year 2023</t>
  </si>
  <si>
    <t>2020</t>
  </si>
  <si>
    <t>FY 2023</t>
  </si>
  <si>
    <t>1. Bank Franchise revenue is the total as reported in Table 5.3; it is not taken from the Revenue Status Report in the Cardinal financial system.</t>
  </si>
  <si>
    <r>
      <t>Bank Franchise (less credits)</t>
    </r>
    <r>
      <rPr>
        <sz val="12"/>
        <rFont val="Calibri"/>
        <family val="2"/>
      </rPr>
      <t>¹</t>
    </r>
  </si>
  <si>
    <t>2. One-half of the (Recordation &amp; Deeds) revenues from the additional grantor's tax imposed at a rate of 50 cents on every $500 of value are deposited into the General Fund and one-half are deposited into the treasury of the locality. Effective July 1, 2013, a regional congestion fee is imposed at the rate of $0.15 per $100 in the Northern Virginia Region.  Effective July 1, 2020, the regional congestion fee was replaced with a regional WMATA capital fee of $0.10 per $100 in any county or city that is a member of the Northern Virginia Transportation Authority  and a regional congestion relief fee of $0.10 per $100 in any county or city that is a member of Planning District 8.</t>
  </si>
  <si>
    <t>2. Levies do not include penalties and interest collected.</t>
  </si>
  <si>
    <t>Manassas Park **</t>
  </si>
  <si>
    <t>Waste Motor Oil Burning Equipment Tax Credit</t>
  </si>
  <si>
    <t>Recyclable Materials Processing Equipment Tax Credit</t>
  </si>
  <si>
    <t>2016 (effective 2016)</t>
  </si>
  <si>
    <t>Food Donation Tax Credit</t>
  </si>
  <si>
    <t>2019 (effective 2019)</t>
  </si>
  <si>
    <t>Pass-Through Entity Elective Tax Credit</t>
  </si>
  <si>
    <t xml:space="preserve">Bank, Corporate, Individual </t>
  </si>
  <si>
    <t xml:space="preserve">Corporate, Individual </t>
  </si>
  <si>
    <t xml:space="preserve">Individual </t>
  </si>
  <si>
    <t xml:space="preserve">Bank, Corporate, Individual, Insurance </t>
  </si>
  <si>
    <t xml:space="preserve">Insurance </t>
  </si>
  <si>
    <t>Data source: Data pull from Virginia Tax system using SQL code provided by Rose Curtin for Additional Tax Certain Localities</t>
  </si>
  <si>
    <t>Conservation Tillage Equipment Tax Credit ⁵</t>
  </si>
  <si>
    <t xml:space="preserve">5. Sunset in 2021. However, these credits are still being claimed because certain provisions of the credits delay when they may be claimed. </t>
  </si>
  <si>
    <t>Taxable Year 2022</t>
  </si>
  <si>
    <t>Corporate Income Tax &amp; Pass-Through Entity Tax</t>
  </si>
  <si>
    <t>Table 2.3</t>
  </si>
  <si>
    <t>Pass-Through Entity Tax:  Number of Returns, Taxable Income, and Tax Liability</t>
  </si>
  <si>
    <t>Based on returns filed for Taxable Year 2022*</t>
  </si>
  <si>
    <t>* This table is not comparable to equivalent tables in annual reports prior to FY 2006.  Returns are selected for inclusion in this table if the tax reporting period on the return began in 2022.  Reports prior to FY 2006 selected returns based on the state fiscal year in which they were received.</t>
  </si>
  <si>
    <t>Local Sales Tax Distribution - Fiscal Year 2024</t>
  </si>
  <si>
    <t>Bank Franchise Tax Assessment Tax Statement - Fiscal Year 2024</t>
  </si>
  <si>
    <t>Major Research and Development Tax Credit</t>
  </si>
  <si>
    <t>Fiscal Year 2024</t>
  </si>
  <si>
    <t>Communications Sales Tax Distributions, Fiscal Year 2024</t>
  </si>
  <si>
    <t>Based on tax returns filed for Taxable Year 2022</t>
  </si>
  <si>
    <t xml:space="preserve">7. The amount of insurance tax credits reported is for returns processed during FY 2024, regardless of taxable year. This table only lists insurance tax credits claimed that were greater than zero.   </t>
  </si>
  <si>
    <t>Insurance Tax Credits Claimed on Returns Processed during FY 2024</t>
  </si>
  <si>
    <t xml:space="preserve">Corporate, </t>
  </si>
  <si>
    <t xml:space="preserve">Bank, Corporate, Insurance </t>
  </si>
  <si>
    <t xml:space="preserve">Corporate, Individual, Insurance </t>
  </si>
  <si>
    <t>Firearm Safety Device Tax Credit</t>
  </si>
  <si>
    <t>Hardwood Initiative Tax Credit</t>
  </si>
  <si>
    <r>
      <t xml:space="preserve">Long-term Care Insurance Tax Credit </t>
    </r>
    <r>
      <rPr>
        <sz val="10"/>
        <color theme="1"/>
        <rFont val="Arial"/>
        <family val="2"/>
      </rPr>
      <t>⁸</t>
    </r>
  </si>
  <si>
    <t>Political Candidates Contribution Tax Credit ⁷</t>
  </si>
  <si>
    <t>Coalfield Employment Enhancement Tax Credit (Refundable) ⁶</t>
  </si>
  <si>
    <t xml:space="preserve">6. Repealed in 2021. However, these credits are still being claimed because certain provisions of the credits delay when they may be claimed. </t>
  </si>
  <si>
    <t xml:space="preserve">7. Repealed in 2017. However, these credits are still being claimed because certain provisions of the credits delay when they may be claimed. </t>
  </si>
  <si>
    <t xml:space="preserve">8. Repealed in 2013. However, these credits are still being claimed because certain provisions of the credits delay when they may be claimed. </t>
  </si>
  <si>
    <t>For Returns Processed During Fiscal Year 2024, Sorted by Year Enacted</t>
  </si>
  <si>
    <t>Retroactive Pass-Through Entity Elective Tax Credit</t>
  </si>
  <si>
    <t>15. Certain localities have statutory authority to levy an additional sales and use tax of up to one percent. Halifax (effective July 1, 2020) and Henry (effective April 1, 2021) counties were the first to impose this tax followed by Charlotte, Gloucester, Northampton, and Patrick counties in FY 2022; Danville City in FY 2023; and Pittsylvania County in FY 2024.</t>
  </si>
  <si>
    <t>FISCAL YEAR 2024</t>
  </si>
  <si>
    <t>James J. Alex, Tax Commissioner</t>
  </si>
  <si>
    <t>FY 2024</t>
  </si>
  <si>
    <t>Sales Tax total  GF + Non-GF</t>
  </si>
  <si>
    <t>2023</t>
  </si>
  <si>
    <t>1. The current industry classifications are based on the North American Industry Classification System (NAICS). Prior to 2005, different business classification codes were used.</t>
  </si>
  <si>
    <t xml:space="preserve">4. The taxable sales figures presented are based on Virginia sales tax revenue reported on the dealers' returns.  However, the period covered by the report reflects all deposits received during the timeframe noted on the report, regardless of the taxpayer's filing period.  Late filing of returns and audits may result in year-over-year increases in taxable sales that do not reflect growth during the period covered by the table. </t>
  </si>
  <si>
    <t>5. Not all sales are subject to the Retail Sales and Use Tax. Numerous sales are excluded or exempted.</t>
  </si>
  <si>
    <t>Tangible Personal Property, Machinery &amp; Tools, Merchants' Capital, and Public Service Corporations:  Assessed Values &amp; Levies by Locality - Tax Year 2023</t>
  </si>
  <si>
    <t>Comparison of Tax Exempt Value to Total Fair Market Value (FMV) of Real Estate by Locality - Tax Year 2023</t>
  </si>
  <si>
    <t>Real Estate Fair Market Value (FMV), Fair Market Value (Taxable), and Local Levy by Locality - Tax Year 2023</t>
  </si>
  <si>
    <t>1. Includes pass-through entities such as S corporations, partnerships and limited liability companies that file Form 502PTET.</t>
  </si>
  <si>
    <t>3. Eligible PTEs are taxed at a rate of 5.75%</t>
  </si>
  <si>
    <t>4. Tax assessed shown is before any credits.</t>
  </si>
  <si>
    <t>2. Taxable Year 2022 is the first year after legislation was passed in 2022 that PTEs can choose to make the election in the new Form 502PTET.</t>
  </si>
  <si>
    <t>§ 58.1-339.13</t>
  </si>
  <si>
    <t>§ 58.1-339.14</t>
  </si>
  <si>
    <t>2022 (effective 2022)</t>
  </si>
  <si>
    <t>2024 (effective 2024)</t>
  </si>
  <si>
    <t>Individual Income</t>
  </si>
  <si>
    <t>Rolling Stock Tax²</t>
  </si>
  <si>
    <t>State Sales &amp; Use Tax (transportation funds)³ ⁴</t>
  </si>
  <si>
    <t>Cattle Tax⁵</t>
  </si>
  <si>
    <t>2. Rolling Stock Tax includes Railroad and Car line company taxes.</t>
  </si>
  <si>
    <t>3. As reported in these tables, revenues do not include the local sales tax or interest and penalties collected.</t>
  </si>
  <si>
    <t>4. Starting in FY 2021, state transportation SUT revenues have been consolidated in the Commonwealth Transportation Fund per legislation.</t>
  </si>
  <si>
    <t>5. The Virginia Department of Taxation began collecting the Cattle Tax Assessment in FY 2019 pursuant to 2018 Senate Bill 374 (Chapter 469, 2018 Acts of Assembly).</t>
  </si>
  <si>
    <t>6. Figures may not sum to totals because of rounding.</t>
  </si>
  <si>
    <t>3. The distributions for FY 2024 were based on collections for May 2023 through April 2024.</t>
  </si>
  <si>
    <t>Virginia College Saving Plan (Virginia 529)</t>
  </si>
  <si>
    <t>1. Taxpayers may make voluntary contributions to qualifying organizations from their tax refunds or, for some organizations, tax payments.  If the contribution exceeds an expected refund, it increases the amount of the tax payment.</t>
  </si>
  <si>
    <t>2. Contributions are reported by taxable year for returns that are processed during the subsequent calendar year.  For example, contributions reported for Taxable Year 2023 are from all returns processed in calendar year 2024.  The majority of returns processed in calendar year 2024 are for TY 2023; however, some returns from previous taxable years maybe included.</t>
  </si>
  <si>
    <t xml:space="preserve">3. Effective January 1, 2014, the General Assembly enacted legislation that allowed an individual to designate their individual income tax refund, or a portion thereof, to be deposited into one or more Virginia College Savings Plan accounts.  </t>
  </si>
  <si>
    <t xml:space="preserve">* Contributions to political parties are limited to $25 ($50 for each spouse on a joint return), see Va. Code §  58.1-344.3 (B) (3).  </t>
  </si>
  <si>
    <r>
      <t xml:space="preserve"># </t>
    </r>
    <r>
      <rPr>
        <sz val="10"/>
        <color theme="1" tint="0.14999847407452621"/>
        <rFont val="Arial Narrow"/>
        <family val="2"/>
      </rPr>
      <t xml:space="preserve">These Programs or Funds were removed from the 2016 Virginia Individual Income Tax return with the exception of 'Home Energy Assistance,' which was removed from the 2017 tax return. Any amount reported for Tax years 2021, 2022, and 2023 represent contributions made on returns filed for prior years processed in 2022, 2023, and 2024 respectively. </t>
    </r>
  </si>
  <si>
    <t xml:space="preserve">^ These Programs or Funds were removed from the 2019 Virginia Individual Income Tax return. Any amount reported for Tax years 2021, 2022, and 2023 represent contributions made on returns filed for prior years processed in 2022, 2023, and 2024 respectively. </t>
  </si>
  <si>
    <t>Children of America Finding Hope</t>
  </si>
  <si>
    <t>Federation of Virginia Food Banks</t>
  </si>
  <si>
    <r>
      <t>Celebrating Special Children, Inc.</t>
    </r>
    <r>
      <rPr>
        <vertAlign val="superscript"/>
        <sz val="10"/>
        <color rgb="FF000000"/>
        <rFont val="Arial"/>
        <family val="2"/>
      </rPr>
      <t>#</t>
    </r>
  </si>
  <si>
    <r>
      <t>Community Policing Fund</t>
    </r>
    <r>
      <rPr>
        <vertAlign val="superscript"/>
        <sz val="10"/>
        <color rgb="FF000000"/>
        <rFont val="Arial"/>
        <family val="2"/>
      </rPr>
      <t>#</t>
    </r>
  </si>
  <si>
    <r>
      <t>Historic Resources Fund</t>
    </r>
    <r>
      <rPr>
        <vertAlign val="superscript"/>
        <sz val="10"/>
        <color rgb="FF000000"/>
        <rFont val="Arial"/>
        <family val="2"/>
      </rPr>
      <t>#</t>
    </r>
  </si>
  <si>
    <r>
      <t>Home Energy Assistance</t>
    </r>
    <r>
      <rPr>
        <vertAlign val="superscript"/>
        <sz val="10"/>
        <color rgb="FF000000"/>
        <rFont val="Arial"/>
        <family val="2"/>
      </rPr>
      <t>#</t>
    </r>
  </si>
  <si>
    <r>
      <t>Martin Luther King, Jr. Living History Public Policy Center Fund</t>
    </r>
    <r>
      <rPr>
        <vertAlign val="superscript"/>
        <sz val="10"/>
        <color rgb="FF000000"/>
        <rFont val="Arial"/>
        <family val="2"/>
      </rPr>
      <t>#</t>
    </r>
  </si>
  <si>
    <r>
      <t>Tuition Assistance Grant Fund</t>
    </r>
    <r>
      <rPr>
        <vertAlign val="superscript"/>
        <sz val="10"/>
        <color rgb="FF000000"/>
        <rFont val="Arial"/>
        <family val="2"/>
      </rPr>
      <t>#</t>
    </r>
  </si>
  <si>
    <r>
      <t>Uninsured Medical Catastrophe Fund</t>
    </r>
    <r>
      <rPr>
        <vertAlign val="superscript"/>
        <sz val="10"/>
        <color rgb="FF000000"/>
        <rFont val="Arial"/>
        <family val="2"/>
      </rPr>
      <t>#</t>
    </r>
  </si>
  <si>
    <r>
      <t>United States Olympic Committee</t>
    </r>
    <r>
      <rPr>
        <vertAlign val="superscript"/>
        <sz val="10"/>
        <color rgb="FF000000"/>
        <rFont val="Arial"/>
        <family val="2"/>
      </rPr>
      <t>#</t>
    </r>
  </si>
  <si>
    <r>
      <t>War Memorial &amp; National D-Day Memorial</t>
    </r>
    <r>
      <rPr>
        <vertAlign val="superscript"/>
        <sz val="10"/>
        <color rgb="FF000000"/>
        <rFont val="Arial"/>
        <family val="2"/>
      </rPr>
      <t>#</t>
    </r>
  </si>
  <si>
    <t>449  Furniture, Home Furnishings, Electronics, and Appliance Retailers</t>
  </si>
  <si>
    <t>442  Furniture and Home Furnishings Stores ³</t>
  </si>
  <si>
    <t>458  Clothing, Clothing Accessories, Shoe, and Jewelry Retailers</t>
  </si>
  <si>
    <t>448  Clothing and Clothing Accessories Stores ³</t>
  </si>
  <si>
    <t>455  General Merchandise Retailers</t>
  </si>
  <si>
    <t>452  General Merchandise Stores ³</t>
  </si>
  <si>
    <r>
      <t xml:space="preserve">* This table </t>
    </r>
    <r>
      <rPr>
        <u/>
        <sz val="9"/>
        <color theme="1" tint="0.14999847407452621"/>
        <rFont val="Arial Narrow"/>
        <family val="2"/>
      </rPr>
      <t>includes</t>
    </r>
    <r>
      <rPr>
        <sz val="9"/>
        <color theme="1" tint="0.14999847407452621"/>
        <rFont val="Arial Narrow"/>
        <family val="2"/>
      </rPr>
      <t xml:space="preserve"> sales tax on Remote Sellers (i.e.,  Tax Type 12) starting with the FY 2024 TAX Annual Report;  Previously, the table included only sales tax on traditional sellers with a physical location in Virginia, which represented nearly the entirety of sales tax collections when the table originated in the years prior to the General Assembly's expansion of sales tax to remote sellers effective in FY 2020.</t>
    </r>
  </si>
  <si>
    <t>3. NAICS 442, 448, and 452 are old codes that should disappear over time as companies begin using the new NAICS 449, 458, and 455 codes from the 2022 NAICS classifications.</t>
  </si>
  <si>
    <t>*  Number of income tax returns for this credit is not available for release because fewer than four returns claiming the credit were processed in FY 2024.</t>
  </si>
  <si>
    <t xml:space="preserve">1. Number of returns and amounts are for returns processed during FY 2024, regardless of taxable year.  For most credits, returns for multiple taxable years were processed during the fiscal year.  The total for each return may include carryovers from prior years.   </t>
  </si>
  <si>
    <r>
      <t>Net Revenue Collections</t>
    </r>
    <r>
      <rPr>
        <sz val="14"/>
        <rFont val="Aptos Narrow"/>
        <family val="2"/>
      </rPr>
      <t>¹</t>
    </r>
  </si>
  <si>
    <t>1. Collections are for the Fiscal Year from July 1 through June 30 based on data from the Cardinal financial system Revenue Status Report (RGL008) and the final General Fund report for the fiscal year by Department of Accounts (DOA).</t>
  </si>
  <si>
    <t>2. General Fund  and Non-General Fund revenue for FY 2023 were revised from the prior-year TAX Annual Report to align with the final DOA General Fund report, which includes a transfer of Non-General Fund revenue to the General Fund from the State Corporation Commission and excludes certain other Transfers (e.g., ABC profits).</t>
  </si>
  <si>
    <t>3. General Fund total revenues align to year-end totals reported by the Department of Accounts (DOA) in its final General Fund report for the fiscal year.</t>
  </si>
  <si>
    <t>5. Note that collections By Other Agencies is the net difference of total Commonwealth collections minus collections by the Department of Taxation.  Therefore, this calculation of collections By Other Agencies is an estimate affected by adjustments, primarily for Bank Franchise Tax.</t>
  </si>
  <si>
    <t>By the Commonwealth of Virginia²</t>
  </si>
  <si>
    <r>
      <t xml:space="preserve">General Fund </t>
    </r>
    <r>
      <rPr>
        <sz val="12"/>
        <rFont val="Aptos Narrow"/>
        <family val="2"/>
      </rPr>
      <t>³</t>
    </r>
  </si>
  <si>
    <t>By the Department of Taxation⁴</t>
  </si>
  <si>
    <t>By Other Agencies⁵</t>
  </si>
  <si>
    <t>4. Includes all taxes administered by the Department of Taxation.  The detailed table on the next page notes adjustments to collections, notably for the Bank Franchise Tax.</t>
  </si>
  <si>
    <t>*Note that the 2019 amounts for Counties, Cities, and Towns have been corrected to reflect Finalized Claims excluding administrative costs.</t>
  </si>
  <si>
    <t>Based on returns filed for Taxable Year 2022</t>
  </si>
  <si>
    <t>Number of  PTET Returns ¹ ²</t>
  </si>
  <si>
    <t>Tax 
Assessed ⁴</t>
  </si>
  <si>
    <t>Data source: Reports 138.G from Office of Technology, Virginia Department of Taxation</t>
  </si>
  <si>
    <t xml:space="preserve"> 6. The state tax on unprepared food for human consumption was reduced from 3.5 % to 3.0 % on January 1, 2000; reduced to 1.5 % on July 1, 2005; and eliminated effective January 1, 2023.</t>
  </si>
  <si>
    <t>12. Effective July 1, 2019, the sales and use tax was extended to include remote sellers without a physical presence in the state. States were given the ability to do so by the U.S. Supreme Court's "Wayfair" decision of June 21, 2018.</t>
  </si>
  <si>
    <t>14. Starting in FY 2021, state transportation SUT revenues have been consolidated in the Commonwealth Transportation Fund per legislation.</t>
  </si>
  <si>
    <t>Annual Taxable Sales by Industry for the Commonwealth of Virginia by Calendar Year *</t>
  </si>
  <si>
    <t>1. Communications taxes in Virginia include: 5% Communications Sales tax on telecommunications services, 75ȼ State E-911 tax for landline and Voice Over Internet Protocol (VoIP) phones, a wireless E-911 surcharge of $0.82 and a prepaid wireless E-911 charge of $0.55, and $1.20 Landline telephone and cable TV franchise right of way fees.</t>
  </si>
  <si>
    <t>1. The data in this table are as reported by local Commissioners of the Revenue and Assessors to the Virginia Department of Taxation, Property Tax Unit.</t>
  </si>
  <si>
    <t>2. Each Fiscal Year, the State's blended Retail Sales and Use Tax rate is used to calculate the tax expenditure resulting from purchases made by Non-profit organizations. From Fiscal Year 2007 to Fiscal year 2013, the blended Retail Sales and Use Tax rate used to calculate the non-profit tax exemption was 5%. From Fiscal Year 2014 to Fiscal year 2019, the blended Retail Sales and Use Tax rate used to calculate the non-profit tax exemption was 5.67%. The blended rate was: 5.69% in FY 2020; 5.737% in FY 2021; 5.783% in FY 2022; 5.787% in FY 2023; 5.781% in FY 2024.</t>
  </si>
  <si>
    <t>2. NAICS are self-assigned by taxpayers based on their primary business activity. The U.S. Census Bureau's 2017 NAICS classifications have been the primary codes used by taxpayers, however the 2022 NAICS classification are starting to be used.</t>
  </si>
  <si>
    <t>Expenditures on behalf of SLEAC were $230,535 in FY 2023 and $243,192 in FY 2024.</t>
  </si>
  <si>
    <r>
      <t>#</t>
    </r>
    <r>
      <rPr>
        <sz val="10"/>
        <color theme="1" tint="0.14999847407452621"/>
        <rFont val="Arial Narrow"/>
        <family val="2"/>
      </rPr>
      <t>The Department of Taxation is custodian of the funds appropriated to the State Land Evaluation Advisory</t>
    </r>
  </si>
  <si>
    <t xml:space="preserve">2.The primary source for these expenditures is report RGL008 (Statement of Appropriations, Allotments, and Expenditures) from </t>
  </si>
  <si>
    <t>the Cardinal financial system. The expenditures on behalf of SLEAC are provided by the Fiscal Office, Virginia Department of Taxation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</si>
</sst>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5" formatCode="&quot;$&quot;#,##0_);\(&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0"/>
    <numFmt numFmtId="165" formatCode="[$$-409]#,##0.00"/>
    <numFmt numFmtId="166" formatCode="0.0"/>
    <numFmt numFmtId="167" formatCode="&quot;$&quot;#,##0"/>
    <numFmt numFmtId="168" formatCode="&quot;$&quot;#,##0.00"/>
    <numFmt numFmtId="169" formatCode="0.0%"/>
    <numFmt numFmtId="170" formatCode="#,##0.0"/>
    <numFmt numFmtId="171" formatCode="0.0000%"/>
    <numFmt numFmtId="172" formatCode="0.000"/>
    <numFmt numFmtId="173" formatCode="&quot;$&quot;#,##0.0"/>
    <numFmt numFmtId="174" formatCode="#,##0.0_);\(#,##0.0\)"/>
    <numFmt numFmtId="175" formatCode="0.00\ %"/>
    <numFmt numFmtId="176" formatCode="General_)"/>
    <numFmt numFmtId="177" formatCode="0.000%"/>
    <numFmt numFmtId="178" formatCode="_(* #,##0_);_(* \(#,##0\);_(* &quot;-&quot;??_);_(@_)"/>
    <numFmt numFmtId="179" formatCode="#,##0;\-#,##0;0"/>
  </numFmts>
  <fonts count="225">
    <font>
      <sz val="10"/>
      <name val="Arial"/>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0"/>
      <name val="Arial"/>
      <family val="2"/>
    </font>
    <font>
      <sz val="12"/>
      <name val="Arial"/>
      <family val="2"/>
    </font>
    <font>
      <sz val="12"/>
      <name val="COUR"/>
    </font>
    <font>
      <b/>
      <sz val="12"/>
      <name val="Arial"/>
      <family val="2"/>
    </font>
    <font>
      <b/>
      <sz val="12"/>
      <name val="Arial"/>
      <family val="2"/>
    </font>
    <font>
      <sz val="12"/>
      <name val="Arial"/>
      <family val="2"/>
    </font>
    <font>
      <b/>
      <sz val="12"/>
      <color indexed="8"/>
      <name val="Arial"/>
      <family val="2"/>
    </font>
    <font>
      <sz val="12"/>
      <color indexed="8"/>
      <name val="Arial"/>
      <family val="2"/>
    </font>
    <font>
      <sz val="10"/>
      <name val="Arial"/>
      <family val="2"/>
    </font>
    <font>
      <sz val="8"/>
      <name val="Arial"/>
      <family val="2"/>
    </font>
    <font>
      <sz val="10"/>
      <name val="COUR"/>
    </font>
    <font>
      <b/>
      <u/>
      <sz val="12"/>
      <name val="Arial"/>
      <family val="2"/>
    </font>
    <font>
      <b/>
      <sz val="10"/>
      <color indexed="8"/>
      <name val="Arial"/>
      <family val="2"/>
    </font>
    <font>
      <b/>
      <sz val="10"/>
      <name val="Arial"/>
      <family val="2"/>
    </font>
    <font>
      <sz val="10"/>
      <color indexed="8"/>
      <name val="Arial"/>
      <family val="2"/>
    </font>
    <font>
      <sz val="10"/>
      <name val="Arial "/>
    </font>
    <font>
      <sz val="10"/>
      <name val="Arial "/>
      <family val="2"/>
    </font>
    <font>
      <sz val="11"/>
      <name val="Arial"/>
      <family val="2"/>
    </font>
    <font>
      <b/>
      <sz val="14"/>
      <name val="Arial"/>
      <family val="2"/>
    </font>
    <font>
      <sz val="9"/>
      <name val="Arial"/>
      <family val="2"/>
    </font>
    <font>
      <b/>
      <sz val="10"/>
      <name val="Arial"/>
      <family val="2"/>
    </font>
    <font>
      <b/>
      <sz val="9"/>
      <name val="Arial"/>
      <family val="2"/>
    </font>
    <font>
      <sz val="14"/>
      <name val="Arial"/>
      <family val="2"/>
    </font>
    <font>
      <sz val="10"/>
      <name val="Bookman Old Style"/>
      <family val="1"/>
    </font>
    <font>
      <sz val="10"/>
      <color indexed="8"/>
      <name val="Arial"/>
      <family val="2"/>
    </font>
    <font>
      <b/>
      <u/>
      <sz val="10"/>
      <name val="Arial"/>
      <family val="2"/>
    </font>
    <font>
      <b/>
      <sz val="11"/>
      <name val="Arial"/>
      <family val="2"/>
    </font>
    <font>
      <b/>
      <sz val="8"/>
      <name val="Arial"/>
      <family val="2"/>
    </font>
    <font>
      <sz val="8"/>
      <name val="Arial"/>
      <family val="2"/>
    </font>
    <font>
      <sz val="12"/>
      <name val="Times New Roman"/>
      <family val="1"/>
    </font>
    <font>
      <u/>
      <sz val="9"/>
      <name val="Arial"/>
      <family val="2"/>
    </font>
    <font>
      <b/>
      <sz val="10"/>
      <name val="COUR"/>
    </font>
    <font>
      <b/>
      <u/>
      <sz val="12"/>
      <name val="Arial"/>
      <family val="2"/>
    </font>
    <font>
      <u/>
      <sz val="11"/>
      <name val="Arial"/>
      <family val="2"/>
    </font>
    <font>
      <b/>
      <sz val="16"/>
      <name val="Arial"/>
      <family val="2"/>
    </font>
    <font>
      <sz val="16"/>
      <name val="Arial"/>
      <family val="2"/>
    </font>
    <font>
      <sz val="10"/>
      <name val="Arial"/>
      <family val="2"/>
    </font>
    <font>
      <b/>
      <sz val="14"/>
      <name val="Arial"/>
      <family val="2"/>
    </font>
    <font>
      <sz val="10"/>
      <color indexed="47"/>
      <name val="Arial"/>
      <family val="2"/>
    </font>
    <font>
      <b/>
      <sz val="10"/>
      <color indexed="12"/>
      <name val="Arial"/>
      <family val="2"/>
    </font>
    <font>
      <sz val="10"/>
      <name val="Courier"/>
      <family val="3"/>
    </font>
    <font>
      <sz val="10"/>
      <color indexed="9"/>
      <name val="Arial"/>
      <family val="2"/>
    </font>
    <font>
      <sz val="9"/>
      <color indexed="9"/>
      <name val="Arial"/>
      <family val="2"/>
    </font>
    <font>
      <sz val="9"/>
      <name val="Bookman Old Style"/>
      <family val="1"/>
    </font>
    <font>
      <b/>
      <sz val="12"/>
      <name val="Arial "/>
    </font>
    <font>
      <b/>
      <sz val="10"/>
      <name val="Arial "/>
    </font>
    <font>
      <sz val="11"/>
      <color theme="1"/>
      <name val="Calibri"/>
      <family val="2"/>
      <scheme val="minor"/>
    </font>
    <font>
      <sz val="10"/>
      <color theme="0"/>
      <name val="Arial"/>
      <family val="2"/>
    </font>
    <font>
      <sz val="12"/>
      <color theme="0"/>
      <name val="Arial"/>
      <family val="2"/>
    </font>
    <font>
      <sz val="10"/>
      <name val="Arial"/>
      <family val="2"/>
    </font>
    <font>
      <i/>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FF0000"/>
      <name val="Arial"/>
      <family val="2"/>
    </font>
    <font>
      <sz val="11"/>
      <name val="Arial "/>
    </font>
    <font>
      <sz val="10"/>
      <color theme="1"/>
      <name val="Arial"/>
      <family val="2"/>
    </font>
    <font>
      <sz val="12"/>
      <color rgb="FFC00000"/>
      <name val="Arial"/>
      <family val="2"/>
    </font>
    <font>
      <sz val="12"/>
      <color theme="1"/>
      <name val="Arial"/>
      <family val="2"/>
    </font>
    <font>
      <sz val="9"/>
      <color theme="1"/>
      <name val="Arial"/>
      <family val="2"/>
    </font>
    <font>
      <i/>
      <sz val="10"/>
      <color theme="0" tint="-0.499984740745262"/>
      <name val="Arial "/>
    </font>
    <font>
      <sz val="12"/>
      <color theme="0" tint="-0.14999847407452621"/>
      <name val="Arial"/>
      <family val="2"/>
    </font>
    <font>
      <sz val="10"/>
      <color rgb="FFC00000"/>
      <name val="Arial"/>
      <family val="2"/>
    </font>
    <font>
      <sz val="9"/>
      <color rgb="FFC00000"/>
      <name val="Arial"/>
      <family val="2"/>
    </font>
    <font>
      <i/>
      <sz val="10"/>
      <color rgb="FFC00000"/>
      <name val="Arial"/>
      <family val="2"/>
    </font>
    <font>
      <i/>
      <sz val="9"/>
      <color rgb="FFC00000"/>
      <name val="Arial"/>
      <family val="2"/>
    </font>
    <font>
      <sz val="8"/>
      <color rgb="FFC00000"/>
      <name val="Arial"/>
      <family val="2"/>
    </font>
    <font>
      <b/>
      <sz val="9"/>
      <color indexed="8"/>
      <name val="Arial"/>
      <family val="2"/>
    </font>
    <font>
      <sz val="10"/>
      <color theme="0"/>
      <name val="Arial "/>
      <family val="2"/>
    </font>
    <font>
      <sz val="10"/>
      <color theme="1"/>
      <name val="Arial "/>
      <family val="2"/>
    </font>
    <font>
      <b/>
      <sz val="10"/>
      <color theme="1"/>
      <name val="Arial"/>
      <family val="2"/>
    </font>
    <font>
      <b/>
      <sz val="9"/>
      <color theme="1"/>
      <name val="Arial"/>
      <family val="2"/>
    </font>
    <font>
      <sz val="14"/>
      <color theme="1"/>
      <name val="Arial"/>
      <family val="2"/>
    </font>
    <font>
      <sz val="8"/>
      <color theme="1"/>
      <name val="Arial"/>
      <family val="2"/>
    </font>
    <font>
      <u/>
      <sz val="10"/>
      <color theme="10"/>
      <name val="Arial"/>
      <family val="2"/>
    </font>
    <font>
      <sz val="11"/>
      <color theme="1"/>
      <name val="Arial"/>
      <family val="2"/>
    </font>
    <font>
      <sz val="10"/>
      <color theme="1"/>
      <name val="COUR"/>
    </font>
    <font>
      <sz val="10"/>
      <color theme="0" tint="-0.499984740745262"/>
      <name val="Arial"/>
      <family val="2"/>
    </font>
    <font>
      <sz val="10"/>
      <color rgb="FFC00000"/>
      <name val="Arial "/>
      <family val="2"/>
    </font>
    <font>
      <sz val="12"/>
      <color theme="0" tint="-0.499984740745262"/>
      <name val="Arial"/>
      <family val="2"/>
    </font>
    <font>
      <b/>
      <sz val="8"/>
      <color theme="1"/>
      <name val="Arial"/>
      <family val="2"/>
    </font>
    <font>
      <sz val="10"/>
      <color theme="0" tint="-0.499984740745262"/>
      <name val="Arial "/>
      <family val="2"/>
    </font>
    <font>
      <sz val="10"/>
      <name val="Segoe UI"/>
      <family val="2"/>
    </font>
    <font>
      <b/>
      <sz val="9"/>
      <color theme="0" tint="-0.499984740745262"/>
      <name val="Arial"/>
      <family val="2"/>
    </font>
    <font>
      <b/>
      <sz val="10"/>
      <color theme="0" tint="-0.499984740745262"/>
      <name val="Arial"/>
      <family val="2"/>
    </font>
    <font>
      <i/>
      <sz val="12"/>
      <color theme="0"/>
      <name val="Arial"/>
      <family val="2"/>
    </font>
    <font>
      <i/>
      <sz val="10"/>
      <color theme="0" tint="-0.249977111117893"/>
      <name val="Arial"/>
      <family val="2"/>
    </font>
    <font>
      <sz val="12"/>
      <color theme="0" tint="-0.249977111117893"/>
      <name val="Arial"/>
      <family val="2"/>
    </font>
    <font>
      <sz val="10"/>
      <color rgb="FFFFFFFF"/>
      <name val="Arial"/>
      <family val="2"/>
    </font>
    <font>
      <i/>
      <sz val="12"/>
      <color theme="0" tint="-0.249977111117893"/>
      <name val="Arial"/>
      <family val="2"/>
    </font>
    <font>
      <sz val="10"/>
      <color theme="0" tint="-0.249977111117893"/>
      <name val="Arial"/>
      <family val="2"/>
    </font>
    <font>
      <i/>
      <sz val="10"/>
      <color theme="0" tint="-0.249977111117893"/>
      <name val="Arial "/>
    </font>
    <font>
      <sz val="10"/>
      <color theme="0" tint="-0.249977111117893"/>
      <name val="COUR"/>
    </font>
    <font>
      <b/>
      <sz val="10"/>
      <color theme="0" tint="-0.249977111117893"/>
      <name val="Arial"/>
      <family val="2"/>
    </font>
    <font>
      <sz val="10"/>
      <color theme="0"/>
      <name val="COUR"/>
    </font>
    <font>
      <vertAlign val="superscript"/>
      <sz val="12"/>
      <color indexed="8"/>
      <name val="Arial"/>
      <family val="2"/>
    </font>
    <font>
      <b/>
      <sz val="9"/>
      <color rgb="FFC00000"/>
      <name val="Arial"/>
      <family val="2"/>
    </font>
    <font>
      <sz val="9"/>
      <color theme="0" tint="-0.249977111117893"/>
      <name val="Arial"/>
      <family val="2"/>
    </font>
    <font>
      <i/>
      <sz val="9"/>
      <name val="Arial"/>
      <family val="2"/>
    </font>
    <font>
      <sz val="9"/>
      <color theme="0" tint="-0.499984740745262"/>
      <name val="Arial"/>
      <family val="2"/>
    </font>
    <font>
      <sz val="10"/>
      <color theme="0" tint="-0.14999847407452621"/>
      <name val="Arial"/>
      <family val="2"/>
    </font>
    <font>
      <b/>
      <sz val="12"/>
      <color theme="0" tint="-0.34998626667073579"/>
      <name val="Arial"/>
      <family val="2"/>
    </font>
    <font>
      <sz val="12"/>
      <color theme="0" tint="-0.34998626667073579"/>
      <name val="Arial"/>
      <family val="2"/>
    </font>
    <font>
      <i/>
      <sz val="10"/>
      <color theme="0" tint="-0.34998626667073579"/>
      <name val="Arial"/>
      <family val="2"/>
    </font>
    <font>
      <i/>
      <sz val="12"/>
      <color theme="0" tint="-0.34998626667073579"/>
      <name val="Arial"/>
      <family val="2"/>
    </font>
    <font>
      <sz val="9"/>
      <color rgb="FFFFFFFF"/>
      <name val="Arial"/>
      <family val="2"/>
    </font>
    <font>
      <i/>
      <sz val="10"/>
      <color theme="0" tint="-0.14999847407452621"/>
      <name val="Arial"/>
      <family val="2"/>
    </font>
    <font>
      <b/>
      <sz val="12"/>
      <color theme="0"/>
      <name val="Arial"/>
      <family val="2"/>
    </font>
    <font>
      <i/>
      <sz val="12"/>
      <color theme="0" tint="-0.499984740745262"/>
      <name val="Arial"/>
      <family val="2"/>
    </font>
    <font>
      <i/>
      <sz val="9"/>
      <color theme="0"/>
      <name val="Arial"/>
      <family val="2"/>
    </font>
    <font>
      <b/>
      <sz val="12"/>
      <color theme="0" tint="-0.499984740745262"/>
      <name val="Arial"/>
      <family val="2"/>
    </font>
    <font>
      <b/>
      <sz val="9"/>
      <color theme="0"/>
      <name val="Arial"/>
      <family val="2"/>
    </font>
    <font>
      <sz val="8"/>
      <color theme="0" tint="-0.499984740745262"/>
      <name val="Arial"/>
      <family val="2"/>
    </font>
    <font>
      <sz val="10"/>
      <name val="Arial Narrow"/>
      <family val="2"/>
    </font>
    <font>
      <sz val="10"/>
      <color theme="1"/>
      <name val="Arial Narrow"/>
      <family val="2"/>
    </font>
    <font>
      <sz val="9"/>
      <name val="Arial Narrow"/>
      <family val="2"/>
    </font>
    <font>
      <b/>
      <sz val="10"/>
      <color rgb="FFC00000"/>
      <name val="Arial"/>
      <family val="2"/>
    </font>
    <font>
      <b/>
      <sz val="10"/>
      <color theme="0" tint="-0.499984740745262"/>
      <name val="Arial Narrow"/>
      <family val="2"/>
    </font>
    <font>
      <b/>
      <sz val="10"/>
      <name val="Arial Narrow"/>
      <family val="2"/>
    </font>
    <font>
      <sz val="10"/>
      <color theme="0" tint="-0.499984740745262"/>
      <name val="Arial Narrow"/>
      <family val="2"/>
    </font>
    <font>
      <sz val="10"/>
      <color theme="0"/>
      <name val="Arial Narrow"/>
      <family val="2"/>
    </font>
    <font>
      <b/>
      <sz val="9"/>
      <name val="Arial Narrow"/>
      <family val="2"/>
    </font>
    <font>
      <sz val="10"/>
      <color theme="0" tint="-0.499984740745262"/>
      <name val="Bookman Old Style"/>
      <family val="1"/>
    </font>
    <font>
      <sz val="9"/>
      <color rgb="FF0070C0"/>
      <name val="Arial Narrow"/>
      <family val="2"/>
    </font>
    <font>
      <sz val="9"/>
      <color indexed="81"/>
      <name val="Tahoma"/>
      <family val="2"/>
    </font>
    <font>
      <b/>
      <sz val="9"/>
      <color indexed="81"/>
      <name val="Tahoma"/>
      <family val="2"/>
    </font>
    <font>
      <sz val="12"/>
      <color theme="0" tint="-0.499984740745262"/>
      <name val="COUR"/>
    </font>
    <font>
      <sz val="9"/>
      <color indexed="10"/>
      <name val="Tahoma"/>
      <family val="2"/>
    </font>
    <font>
      <sz val="10"/>
      <color rgb="FFC00000"/>
      <name val="Arial Narrow"/>
      <family val="2"/>
    </font>
    <font>
      <sz val="10"/>
      <color theme="0" tint="-0.34998626667073579"/>
      <name val="Arial Narrow"/>
      <family val="2"/>
    </font>
    <font>
      <sz val="12"/>
      <color rgb="FF0070C0"/>
      <name val="Arial"/>
      <family val="2"/>
    </font>
    <font>
      <sz val="10"/>
      <color theme="0" tint="-0.499984740745262"/>
      <name val="COUR"/>
    </font>
    <font>
      <sz val="10"/>
      <color rgb="FF0070C0"/>
      <name val="Arial"/>
      <family val="2"/>
    </font>
    <font>
      <b/>
      <sz val="9"/>
      <color rgb="FFFF0000"/>
      <name val="Calibri"/>
      <family val="2"/>
    </font>
    <font>
      <sz val="12"/>
      <color theme="0" tint="-0.34998626667073579"/>
      <name val="Arial Narrow"/>
      <family val="2"/>
    </font>
    <font>
      <b/>
      <sz val="9"/>
      <color rgb="FFFF0000"/>
      <name val="Arial"/>
      <family val="2"/>
    </font>
    <font>
      <u/>
      <sz val="10"/>
      <color rgb="FFC00000"/>
      <name val="Arial Narrow"/>
      <family val="2"/>
    </font>
    <font>
      <b/>
      <sz val="10"/>
      <color rgb="FFC00000"/>
      <name val="Arial Narrow"/>
      <family val="2"/>
    </font>
    <font>
      <u/>
      <sz val="10"/>
      <name val="Arial Narrow"/>
      <family val="2"/>
    </font>
    <font>
      <sz val="9"/>
      <color theme="3"/>
      <name val="Arial"/>
      <family val="2"/>
    </font>
    <font>
      <b/>
      <sz val="11"/>
      <color theme="0" tint="-0.499984740745262"/>
      <name val="Arial"/>
      <family val="2"/>
    </font>
    <font>
      <b/>
      <u/>
      <sz val="9"/>
      <color theme="0" tint="-0.499984740745262"/>
      <name val="Arial"/>
      <family val="2"/>
    </font>
    <font>
      <sz val="9"/>
      <color theme="4" tint="-0.499984740745262"/>
      <name val="Arial"/>
      <family val="2"/>
    </font>
    <font>
      <b/>
      <u/>
      <sz val="10"/>
      <name val="Arial Narrow"/>
      <family val="2"/>
    </font>
    <font>
      <sz val="8"/>
      <color rgb="FFFFFFFF"/>
      <name val="Arial Narrow"/>
      <family val="2"/>
    </font>
    <font>
      <b/>
      <sz val="14"/>
      <color theme="1"/>
      <name val="Arial"/>
      <family val="2"/>
    </font>
    <font>
      <sz val="10"/>
      <color rgb="FF7030A0"/>
      <name val="Arial Narrow"/>
      <family val="2"/>
    </font>
    <font>
      <sz val="10"/>
      <color rgb="FF7030A0"/>
      <name val="Arial"/>
      <family val="2"/>
    </font>
    <font>
      <b/>
      <sz val="9"/>
      <name val="Calibri"/>
      <family val="2"/>
    </font>
    <font>
      <b/>
      <sz val="9"/>
      <color rgb="FF7030A0"/>
      <name val="Arial"/>
      <family val="2"/>
    </font>
    <font>
      <b/>
      <sz val="9"/>
      <color rgb="FF7030A0"/>
      <name val="Calibri"/>
      <family val="2"/>
    </font>
    <font>
      <b/>
      <sz val="11"/>
      <name val="Arial Narrow"/>
      <family val="2"/>
    </font>
    <font>
      <sz val="12"/>
      <name val="Arial Narrow"/>
      <family val="2"/>
    </font>
    <font>
      <sz val="12"/>
      <color indexed="8"/>
      <name val="Arial Narrow"/>
      <family val="2"/>
    </font>
    <font>
      <sz val="9"/>
      <color theme="0" tint="-0.499984740745262"/>
      <name val="Arial Narrow"/>
      <family val="2"/>
    </font>
    <font>
      <b/>
      <sz val="14"/>
      <color theme="0" tint="-0.499984740745262"/>
      <name val="Arial Narrow"/>
      <family val="2"/>
    </font>
    <font>
      <b/>
      <sz val="12"/>
      <color theme="0" tint="-0.499984740745262"/>
      <name val="Arial Narrow"/>
      <family val="2"/>
    </font>
    <font>
      <sz val="12"/>
      <color theme="0" tint="-0.499984740745262"/>
      <name val="Arial Narrow"/>
      <family val="2"/>
    </font>
    <font>
      <sz val="9"/>
      <color theme="1"/>
      <name val="Arial Narrow"/>
      <family val="2"/>
    </font>
    <font>
      <sz val="9"/>
      <color theme="0" tint="-0.249977111117893"/>
      <name val="Arial Narrow"/>
      <family val="2"/>
    </font>
    <font>
      <sz val="9"/>
      <color theme="0" tint="-0.34998626667073579"/>
      <name val="Arial Narrow"/>
      <family val="2"/>
    </font>
    <font>
      <sz val="9"/>
      <color theme="3"/>
      <name val="Arial Narrow"/>
      <family val="2"/>
    </font>
    <font>
      <sz val="9"/>
      <color theme="1" tint="0.14999847407452621"/>
      <name val="Arial Narrow"/>
      <family val="2"/>
    </font>
    <font>
      <sz val="10"/>
      <color theme="1" tint="0.14999847407452621"/>
      <name val="Arial"/>
      <family val="2"/>
    </font>
    <font>
      <b/>
      <sz val="9"/>
      <color theme="0" tint="-0.499984740745262"/>
      <name val="Arial Narrow"/>
      <family val="2"/>
    </font>
    <font>
      <sz val="9"/>
      <color rgb="FFC00000"/>
      <name val="Arial Narrow"/>
      <family val="2"/>
    </font>
    <font>
      <i/>
      <sz val="9"/>
      <color theme="1" tint="0.14999847407452621"/>
      <name val="Arial Narrow"/>
      <family val="2"/>
    </font>
    <font>
      <sz val="9"/>
      <color rgb="FFFF0000"/>
      <name val="Arial Narrow"/>
      <family val="2"/>
    </font>
    <font>
      <b/>
      <sz val="9"/>
      <color theme="1" tint="0.14999847407452621"/>
      <name val="Arial Narrow"/>
      <family val="2"/>
    </font>
    <font>
      <sz val="9"/>
      <color theme="0"/>
      <name val="Arial Narrow"/>
      <family val="2"/>
    </font>
    <font>
      <b/>
      <sz val="10"/>
      <color theme="0"/>
      <name val="Arial"/>
      <family val="2"/>
    </font>
    <font>
      <sz val="8"/>
      <color theme="0" tint="-0.249977111117893"/>
      <name val="COUR"/>
    </font>
    <font>
      <sz val="12"/>
      <name val="Calibri"/>
      <family val="2"/>
    </font>
    <font>
      <sz val="10"/>
      <color theme="1" tint="0.14999847407452621"/>
      <name val="Arial Narrow"/>
      <family val="2"/>
    </font>
    <font>
      <sz val="12"/>
      <color theme="0" tint="-0.249977111117893"/>
      <name val="COUR"/>
    </font>
    <font>
      <b/>
      <sz val="12"/>
      <color theme="0" tint="-0.249977111117893"/>
      <name val="Arial"/>
      <family val="2"/>
    </font>
    <font>
      <b/>
      <sz val="10"/>
      <color theme="0" tint="-0.34998626667073579"/>
      <name val="Arial Narrow"/>
      <family val="2"/>
    </font>
    <font>
      <i/>
      <sz val="12"/>
      <name val="Arial"/>
      <family val="2"/>
    </font>
    <font>
      <b/>
      <sz val="10"/>
      <name val="Calibri"/>
      <family val="2"/>
    </font>
    <font>
      <sz val="10"/>
      <color theme="1" tint="0.249977111117893"/>
      <name val="Arial Narrow"/>
      <family val="2"/>
    </font>
    <font>
      <b/>
      <sz val="10"/>
      <color theme="1" tint="0.14999847407452621"/>
      <name val="Arial Narrow"/>
      <family val="2"/>
    </font>
    <font>
      <sz val="10"/>
      <color theme="1" tint="0.34998626667073579"/>
      <name val="Arial"/>
      <family val="2"/>
    </font>
    <font>
      <sz val="10"/>
      <color theme="0" tint="-0.34998626667073579"/>
      <name val="Arial"/>
      <family val="2"/>
    </font>
    <font>
      <sz val="9"/>
      <color theme="0" tint="-0.34998626667073579"/>
      <name val="Arial"/>
      <family val="2"/>
    </font>
    <font>
      <b/>
      <sz val="10"/>
      <color theme="1" tint="0.34998626667073579"/>
      <name val="Arial"/>
      <family val="2"/>
    </font>
    <font>
      <sz val="8"/>
      <color theme="1" tint="0.34998626667073579"/>
      <name val="Arial"/>
      <family val="2"/>
    </font>
    <font>
      <b/>
      <sz val="8"/>
      <color theme="1" tint="0.34998626667073579"/>
      <name val="Arial"/>
      <family val="2"/>
    </font>
    <font>
      <sz val="10"/>
      <color theme="1" tint="0.34998626667073579"/>
      <name val="Bookman Old Style"/>
      <family val="1"/>
    </font>
    <font>
      <sz val="9"/>
      <color theme="0" tint="-0.34998626667073579"/>
      <name val="Arial "/>
      <family val="2"/>
    </font>
    <font>
      <sz val="9"/>
      <name val="Arial "/>
      <family val="2"/>
    </font>
    <font>
      <vertAlign val="superscript"/>
      <sz val="10"/>
      <color theme="1" tint="0.14999847407452621"/>
      <name val="Arial Narrow"/>
      <family val="2"/>
    </font>
    <font>
      <sz val="10"/>
      <color theme="1" tint="0.34998626667073579"/>
      <name val="Arial Narrow"/>
      <family val="2"/>
    </font>
    <font>
      <sz val="8"/>
      <name val="Arial"/>
      <family val="2"/>
    </font>
    <font>
      <sz val="12"/>
      <color theme="1" tint="0.499984740745262"/>
      <name val="Arial Narrow"/>
      <family val="2"/>
    </font>
    <font>
      <sz val="11"/>
      <name val="Calibri"/>
      <family val="2"/>
      <scheme val="minor"/>
    </font>
    <font>
      <sz val="11"/>
      <color rgb="FFC00000"/>
      <name val="Calibri"/>
      <family val="2"/>
      <scheme val="minor"/>
    </font>
    <font>
      <sz val="10"/>
      <color theme="0" tint="-0.34998626667073579"/>
      <name val="Arial "/>
      <family val="2"/>
    </font>
    <font>
      <sz val="10"/>
      <color rgb="FFFF0000"/>
      <name val="Arial Narrow"/>
      <family val="2"/>
    </font>
    <font>
      <sz val="10"/>
      <color rgb="FFFF0000"/>
      <name val="Arial"/>
      <family val="2"/>
    </font>
    <font>
      <sz val="10"/>
      <color rgb="FF0070C0"/>
      <name val="Arial Narrow"/>
      <family val="2"/>
    </font>
    <font>
      <vertAlign val="superscript"/>
      <sz val="10"/>
      <color rgb="FF000000"/>
      <name val="Arial"/>
      <family val="2"/>
    </font>
    <font>
      <u/>
      <sz val="9"/>
      <color theme="1" tint="0.14999847407452621"/>
      <name val="Arial Narrow"/>
      <family val="2"/>
    </font>
    <font>
      <sz val="12"/>
      <name val="Aptos Narrow"/>
      <family val="2"/>
    </font>
    <font>
      <sz val="14"/>
      <name val="Aptos Narrow"/>
      <family val="2"/>
    </font>
    <font>
      <sz val="12"/>
      <color theme="1" tint="0.14999847407452621"/>
      <name val="Arial"/>
      <family val="2"/>
    </font>
    <font>
      <b/>
      <sz val="12"/>
      <color theme="1" tint="0.14999847407452621"/>
      <name val="Arial"/>
      <family val="2"/>
    </font>
  </fonts>
  <fills count="41">
    <fill>
      <patternFill patternType="none"/>
    </fill>
    <fill>
      <patternFill patternType="gray125"/>
    </fill>
    <fill>
      <patternFill patternType="solid">
        <fgColor indexed="9"/>
        <bgColor indexed="8"/>
      </patternFill>
    </fill>
    <fill>
      <patternFill patternType="solid">
        <fgColor indexed="9"/>
        <bgColor indexed="9"/>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FFFFCC"/>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CCFFFF"/>
        <bgColor indexed="64"/>
      </patternFill>
    </fill>
  </fills>
  <borders count="61">
    <border>
      <left/>
      <right/>
      <top/>
      <bottom/>
      <diagonal/>
    </border>
    <border>
      <left/>
      <right/>
      <top/>
      <bottom style="thin">
        <color indexed="64"/>
      </bottom>
      <diagonal/>
    </border>
    <border>
      <left/>
      <right/>
      <top style="thin">
        <color indexed="64"/>
      </top>
      <bottom style="double">
        <color indexed="64"/>
      </bottom>
      <diagonal/>
    </border>
    <border>
      <left/>
      <right/>
      <top style="double">
        <color indexed="64"/>
      </top>
      <bottom/>
      <diagonal/>
    </border>
    <border>
      <left/>
      <right/>
      <top style="double">
        <color indexed="8"/>
      </top>
      <bottom/>
      <diagonal/>
    </border>
    <border>
      <left/>
      <right/>
      <top style="thin">
        <color indexed="64"/>
      </top>
      <bottom style="double">
        <color indexed="8"/>
      </bottom>
      <diagonal/>
    </border>
    <border>
      <left/>
      <right/>
      <top style="medium">
        <color indexed="8"/>
      </top>
      <bottom/>
      <diagonal/>
    </border>
    <border>
      <left/>
      <right/>
      <top/>
      <bottom style="thin">
        <color indexed="8"/>
      </bottom>
      <diagonal/>
    </border>
    <border>
      <left/>
      <right/>
      <top style="thin">
        <color indexed="8"/>
      </top>
      <bottom style="thin">
        <color indexed="8"/>
      </bottom>
      <diagonal/>
    </border>
    <border>
      <left/>
      <right/>
      <top/>
      <bottom style="medium">
        <color indexed="8"/>
      </bottom>
      <diagonal/>
    </border>
    <border>
      <left/>
      <right/>
      <top style="thick">
        <color indexed="64"/>
      </top>
      <bottom/>
      <diagonal/>
    </border>
    <border>
      <left/>
      <right/>
      <top/>
      <bottom style="double">
        <color indexed="64"/>
      </bottom>
      <diagonal/>
    </border>
    <border>
      <left/>
      <right/>
      <top/>
      <bottom style="thick">
        <color indexed="64"/>
      </bottom>
      <diagonal/>
    </border>
    <border>
      <left/>
      <right/>
      <top style="thin">
        <color indexed="64"/>
      </top>
      <bottom/>
      <diagonal/>
    </border>
    <border>
      <left/>
      <right/>
      <top style="thick">
        <color indexed="64"/>
      </top>
      <bottom style="thin">
        <color indexed="64"/>
      </bottom>
      <diagonal/>
    </border>
    <border>
      <left/>
      <right/>
      <top style="thin">
        <color indexed="64"/>
      </top>
      <bottom style="thin">
        <color indexed="64"/>
      </bottom>
      <diagonal/>
    </border>
    <border>
      <left/>
      <right/>
      <top style="medium">
        <color indexed="64"/>
      </top>
      <bottom/>
      <diagonal/>
    </border>
    <border>
      <left/>
      <right/>
      <top style="medium">
        <color indexed="8"/>
      </top>
      <bottom style="thin">
        <color indexed="8"/>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op>
      <bottom/>
      <diagonal/>
    </border>
    <border>
      <left style="thin">
        <color theme="0"/>
      </left>
      <right/>
      <top/>
      <bottom/>
      <diagonal/>
    </border>
    <border>
      <left/>
      <right/>
      <top/>
      <bottom style="thin">
        <color auto="1"/>
      </bottom>
      <diagonal/>
    </border>
    <border>
      <left/>
      <right/>
      <top style="thin">
        <color indexed="8"/>
      </top>
      <bottom style="double">
        <color auto="1"/>
      </bottom>
      <diagonal/>
    </border>
    <border>
      <left/>
      <right/>
      <top style="medium">
        <color auto="1"/>
      </top>
      <bottom/>
      <diagonal/>
    </border>
    <border>
      <left/>
      <right/>
      <top/>
      <bottom style="thin">
        <color theme="1"/>
      </bottom>
      <diagonal/>
    </border>
    <border>
      <left/>
      <right/>
      <top style="medium">
        <color auto="1"/>
      </top>
      <bottom style="thin">
        <color auto="1"/>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double">
        <color auto="1"/>
      </bottom>
      <diagonal/>
    </border>
    <border>
      <left style="thin">
        <color indexed="8"/>
      </left>
      <right/>
      <top style="thin">
        <color indexed="8"/>
      </top>
      <bottom style="double">
        <color auto="1"/>
      </bottom>
      <diagonal/>
    </border>
    <border>
      <left style="thin">
        <color indexed="8"/>
      </left>
      <right style="thin">
        <color indexed="8"/>
      </right>
      <top/>
      <bottom style="double">
        <color auto="1"/>
      </bottom>
      <diagonal/>
    </border>
    <border>
      <left/>
      <right/>
      <top/>
      <bottom style="thin">
        <color indexed="64"/>
      </bottom>
      <diagonal/>
    </border>
    <border>
      <left/>
      <right/>
      <top/>
      <bottom style="thin">
        <color theme="0" tint="-0.34998626667073579"/>
      </bottom>
      <diagonal/>
    </border>
  </borders>
  <cellStyleXfs count="113">
    <xf numFmtId="0" fontId="0" fillId="0" borderId="0"/>
    <xf numFmtId="43" fontId="41" fillId="0" borderId="0" applyFont="0" applyFill="0" applyBorder="0" applyAlignment="0" applyProtection="0"/>
    <xf numFmtId="43" fontId="51" fillId="0" borderId="0" applyFont="0" applyFill="0" applyBorder="0" applyAlignment="0" applyProtection="0"/>
    <xf numFmtId="44" fontId="5" fillId="0" borderId="0" applyFont="0" applyFill="0" applyBorder="0" applyAlignment="0" applyProtection="0"/>
    <xf numFmtId="44" fontId="13" fillId="0" borderId="0" applyFont="0" applyFill="0" applyBorder="0" applyAlignment="0" applyProtection="0"/>
    <xf numFmtId="44" fontId="41" fillId="0" borderId="0" applyFont="0" applyFill="0" applyBorder="0" applyAlignment="0" applyProtection="0"/>
    <xf numFmtId="44" fontId="13" fillId="0" borderId="0" applyFont="0" applyFill="0" applyBorder="0" applyProtection="0"/>
    <xf numFmtId="0" fontId="51" fillId="0" borderId="0"/>
    <xf numFmtId="0" fontId="13" fillId="0" borderId="0"/>
    <xf numFmtId="0" fontId="10" fillId="0" borderId="0"/>
    <xf numFmtId="0" fontId="13" fillId="0" borderId="0"/>
    <xf numFmtId="0" fontId="6" fillId="0" borderId="0"/>
    <xf numFmtId="0" fontId="6" fillId="0" borderId="0"/>
    <xf numFmtId="0" fontId="5" fillId="0" borderId="0"/>
    <xf numFmtId="0" fontId="6" fillId="0" borderId="0"/>
    <xf numFmtId="0" fontId="10" fillId="0" borderId="0"/>
    <xf numFmtId="0" fontId="6" fillId="0" borderId="0"/>
    <xf numFmtId="0" fontId="10" fillId="0" borderId="0"/>
    <xf numFmtId="8" fontId="10" fillId="0" borderId="0"/>
    <xf numFmtId="0" fontId="6" fillId="0" borderId="0"/>
    <xf numFmtId="0" fontId="41" fillId="0" borderId="0"/>
    <xf numFmtId="0" fontId="41" fillId="0" borderId="0"/>
    <xf numFmtId="0" fontId="20" fillId="0" borderId="0"/>
    <xf numFmtId="0" fontId="20" fillId="0" borderId="0"/>
    <xf numFmtId="0" fontId="6" fillId="0" borderId="0"/>
    <xf numFmtId="0" fontId="41" fillId="0" borderId="0"/>
    <xf numFmtId="0" fontId="10" fillId="0" borderId="0"/>
    <xf numFmtId="0" fontId="13" fillId="0" borderId="0"/>
    <xf numFmtId="0" fontId="20" fillId="0" borderId="0"/>
    <xf numFmtId="0" fontId="41" fillId="0" borderId="0"/>
    <xf numFmtId="0" fontId="41" fillId="0" borderId="0"/>
    <xf numFmtId="176" fontId="45" fillId="0" borderId="0"/>
    <xf numFmtId="0" fontId="13" fillId="0" borderId="0"/>
    <xf numFmtId="0" fontId="13" fillId="0" borderId="0"/>
    <xf numFmtId="0" fontId="41" fillId="0" borderId="0"/>
    <xf numFmtId="0" fontId="13" fillId="0" borderId="0"/>
    <xf numFmtId="9" fontId="5"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51" fillId="0" borderId="0" applyFont="0" applyFill="0" applyBorder="0" applyAlignment="0" applyProtection="0"/>
    <xf numFmtId="0" fontId="5" fillId="0" borderId="0"/>
    <xf numFmtId="43" fontId="56" fillId="0" borderId="0" applyFont="0" applyFill="0" applyBorder="0" applyAlignment="0" applyProtection="0"/>
    <xf numFmtId="0" fontId="57" fillId="0" borderId="0" applyNumberFormat="0" applyFill="0" applyBorder="0" applyAlignment="0" applyProtection="0"/>
    <xf numFmtId="0" fontId="58" fillId="0" borderId="30" applyNumberFormat="0" applyFill="0" applyAlignment="0" applyProtection="0"/>
    <xf numFmtId="0" fontId="59" fillId="0" borderId="31" applyNumberFormat="0" applyFill="0" applyAlignment="0" applyProtection="0"/>
    <xf numFmtId="0" fontId="60" fillId="0" borderId="32" applyNumberFormat="0" applyFill="0" applyAlignment="0" applyProtection="0"/>
    <xf numFmtId="0" fontId="60" fillId="0" borderId="0" applyNumberFormat="0" applyFill="0" applyBorder="0" applyAlignment="0" applyProtection="0"/>
    <xf numFmtId="0" fontId="61" fillId="5" borderId="0" applyNumberFormat="0" applyBorder="0" applyAlignment="0" applyProtection="0"/>
    <xf numFmtId="0" fontId="62" fillId="6" borderId="0" applyNumberFormat="0" applyBorder="0" applyAlignment="0" applyProtection="0"/>
    <xf numFmtId="0" fontId="63" fillId="7" borderId="0" applyNumberFormat="0" applyBorder="0" applyAlignment="0" applyProtection="0"/>
    <xf numFmtId="0" fontId="64" fillId="8" borderId="33" applyNumberFormat="0" applyAlignment="0" applyProtection="0"/>
    <xf numFmtId="0" fontId="65" fillId="9" borderId="34" applyNumberFormat="0" applyAlignment="0" applyProtection="0"/>
    <xf numFmtId="0" fontId="66" fillId="9" borderId="33" applyNumberFormat="0" applyAlignment="0" applyProtection="0"/>
    <xf numFmtId="0" fontId="67" fillId="0" borderId="35" applyNumberFormat="0" applyFill="0" applyAlignment="0" applyProtection="0"/>
    <xf numFmtId="0" fontId="68" fillId="10" borderId="36" applyNumberFormat="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71" fillId="0" borderId="38" applyNumberFormat="0" applyFill="0" applyAlignment="0" applyProtection="0"/>
    <xf numFmtId="0" fontId="72"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72" fillId="15" borderId="0" applyNumberFormat="0" applyBorder="0" applyAlignment="0" applyProtection="0"/>
    <xf numFmtId="0" fontId="72"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72" fillId="19" borderId="0" applyNumberFormat="0" applyBorder="0" applyAlignment="0" applyProtection="0"/>
    <xf numFmtId="0" fontId="72"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72" fillId="23" borderId="0" applyNumberFormat="0" applyBorder="0" applyAlignment="0" applyProtection="0"/>
    <xf numFmtId="0" fontId="72"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72" fillId="27" borderId="0" applyNumberFormat="0" applyBorder="0" applyAlignment="0" applyProtection="0"/>
    <xf numFmtId="0" fontId="72"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72" fillId="31" borderId="0" applyNumberFormat="0" applyBorder="0" applyAlignment="0" applyProtection="0"/>
    <xf numFmtId="0" fontId="72"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72" fillId="35" borderId="0" applyNumberFormat="0" applyBorder="0" applyAlignment="0" applyProtection="0"/>
    <xf numFmtId="0" fontId="4" fillId="0" borderId="0"/>
    <xf numFmtId="0" fontId="4" fillId="11" borderId="37" applyNumberFormat="0" applyFont="0" applyAlignment="0" applyProtection="0"/>
    <xf numFmtId="0" fontId="20" fillId="0" borderId="0"/>
    <xf numFmtId="44" fontId="20" fillId="0" borderId="0" applyFont="0" applyFill="0" applyBorder="0" applyAlignment="0" applyProtection="0"/>
    <xf numFmtId="0" fontId="93" fillId="0" borderId="0" applyNumberFormat="0" applyFill="0" applyBorder="0" applyAlignment="0" applyProtection="0">
      <alignment vertical="top"/>
      <protection locked="0"/>
    </xf>
    <xf numFmtId="0" fontId="5" fillId="0" borderId="0"/>
    <xf numFmtId="43"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Protection="0"/>
    <xf numFmtId="0" fontId="6" fillId="0" borderId="0"/>
    <xf numFmtId="43" fontId="5" fillId="0" borderId="0" applyFont="0" applyFill="0" applyBorder="0" applyAlignment="0" applyProtection="0"/>
    <xf numFmtId="43"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3" fillId="0" borderId="0"/>
    <xf numFmtId="0" fontId="5" fillId="0" borderId="0"/>
    <xf numFmtId="9" fontId="3" fillId="0" borderId="0" applyFont="0" applyFill="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0" borderId="0"/>
    <xf numFmtId="0" fontId="3" fillId="11" borderId="37" applyNumberFormat="0" applyFont="0" applyAlignment="0" applyProtection="0"/>
  </cellStyleXfs>
  <cellXfs count="1665">
    <xf numFmtId="0" fontId="0" fillId="0" borderId="0" xfId="0"/>
    <xf numFmtId="0" fontId="6" fillId="0" borderId="0" xfId="0" applyFont="1"/>
    <xf numFmtId="0" fontId="8" fillId="0" borderId="0" xfId="0" applyFont="1" applyAlignment="1">
      <alignment horizontal="center"/>
    </xf>
    <xf numFmtId="0" fontId="8" fillId="0" borderId="0" xfId="0" applyFont="1"/>
    <xf numFmtId="0" fontId="13" fillId="0" borderId="0" xfId="0" applyFont="1"/>
    <xf numFmtId="10" fontId="6" fillId="0" borderId="0" xfId="0" applyNumberFormat="1" applyFont="1"/>
    <xf numFmtId="0" fontId="5" fillId="0" borderId="0" xfId="0" applyFont="1"/>
    <xf numFmtId="0" fontId="9" fillId="0" borderId="0" xfId="0" applyFont="1"/>
    <xf numFmtId="0" fontId="15" fillId="0" borderId="0" xfId="0" applyFont="1"/>
    <xf numFmtId="10" fontId="9" fillId="0" borderId="0" xfId="0" applyNumberFormat="1" applyFont="1" applyAlignment="1">
      <alignment horizontal="center"/>
    </xf>
    <xf numFmtId="10" fontId="6" fillId="0" borderId="0" xfId="0" applyNumberFormat="1" applyFont="1" applyAlignment="1">
      <alignment horizontal="center"/>
    </xf>
    <xf numFmtId="164" fontId="6" fillId="0" borderId="0" xfId="0" applyNumberFormat="1" applyFont="1" applyAlignment="1">
      <alignment horizontal="right"/>
    </xf>
    <xf numFmtId="0" fontId="8" fillId="0" borderId="2" xfId="0" applyFont="1" applyBorder="1"/>
    <xf numFmtId="10" fontId="5" fillId="0" borderId="0" xfId="36" applyNumberFormat="1"/>
    <xf numFmtId="10" fontId="5" fillId="0" borderId="0" xfId="0" applyNumberFormat="1" applyFont="1"/>
    <xf numFmtId="3" fontId="5" fillId="0" borderId="0" xfId="0" applyNumberFormat="1" applyFont="1"/>
    <xf numFmtId="0" fontId="18" fillId="0" borderId="0" xfId="0" applyFont="1"/>
    <xf numFmtId="0" fontId="8" fillId="0" borderId="0" xfId="14" applyFont="1"/>
    <xf numFmtId="37" fontId="24" fillId="0" borderId="0" xfId="14" applyNumberFormat="1" applyFont="1"/>
    <xf numFmtId="39" fontId="24" fillId="0" borderId="0" xfId="14" applyNumberFormat="1" applyFont="1"/>
    <xf numFmtId="0" fontId="5" fillId="0" borderId="0" xfId="13"/>
    <xf numFmtId="37" fontId="13" fillId="0" borderId="0" xfId="14" applyNumberFormat="1" applyFont="1"/>
    <xf numFmtId="39" fontId="13" fillId="0" borderId="0" xfId="14" applyNumberFormat="1" applyFont="1"/>
    <xf numFmtId="0" fontId="25" fillId="0" borderId="8" xfId="14" applyFont="1" applyBorder="1" applyAlignment="1">
      <alignment horizontal="left"/>
    </xf>
    <xf numFmtId="37" fontId="26" fillId="0" borderId="0" xfId="14" applyNumberFormat="1" applyFont="1"/>
    <xf numFmtId="9" fontId="26" fillId="0" borderId="0" xfId="14" applyNumberFormat="1" applyFont="1"/>
    <xf numFmtId="5" fontId="26" fillId="0" borderId="0" xfId="14" applyNumberFormat="1" applyFont="1"/>
    <xf numFmtId="0" fontId="6" fillId="0" borderId="0" xfId="16"/>
    <xf numFmtId="0" fontId="8" fillId="0" borderId="0" xfId="16" applyFont="1"/>
    <xf numFmtId="0" fontId="10" fillId="0" borderId="9" xfId="16" applyFont="1" applyBorder="1"/>
    <xf numFmtId="0" fontId="10" fillId="0" borderId="0" xfId="16" applyFont="1"/>
    <xf numFmtId="0" fontId="13" fillId="0" borderId="0" xfId="16" applyFont="1" applyAlignment="1">
      <alignment horizontal="center"/>
    </xf>
    <xf numFmtId="37" fontId="13" fillId="0" borderId="0" xfId="16" applyNumberFormat="1" applyFont="1"/>
    <xf numFmtId="10" fontId="10" fillId="0" borderId="0" xfId="36" applyNumberFormat="1" applyFont="1"/>
    <xf numFmtId="0" fontId="24" fillId="0" borderId="0" xfId="16" applyFont="1"/>
    <xf numFmtId="0" fontId="31" fillId="0" borderId="0" xfId="16" applyFont="1" applyAlignment="1">
      <alignment horizontal="center"/>
    </xf>
    <xf numFmtId="4" fontId="8" fillId="0" borderId="0" xfId="0" applyNumberFormat="1" applyFont="1"/>
    <xf numFmtId="3" fontId="8" fillId="0" borderId="0" xfId="0" applyNumberFormat="1" applyFont="1"/>
    <xf numFmtId="4" fontId="18" fillId="0" borderId="0" xfId="0" applyNumberFormat="1" applyFont="1"/>
    <xf numFmtId="0" fontId="15" fillId="0" borderId="10" xfId="0" applyFont="1" applyBorder="1"/>
    <xf numFmtId="0" fontId="36" fillId="0" borderId="10" xfId="0" applyFont="1" applyBorder="1" applyAlignment="1">
      <alignment horizontal="center"/>
    </xf>
    <xf numFmtId="3" fontId="17" fillId="0" borderId="1" xfId="0" applyNumberFormat="1" applyFont="1" applyBorder="1" applyAlignment="1">
      <alignment horizontal="center"/>
    </xf>
    <xf numFmtId="0" fontId="17" fillId="0" borderId="1" xfId="0" applyFont="1" applyBorder="1" applyAlignment="1">
      <alignment horizontal="center"/>
    </xf>
    <xf numFmtId="1" fontId="19" fillId="0" borderId="0" xfId="0" applyNumberFormat="1" applyFont="1" applyAlignment="1">
      <alignment horizontal="center"/>
    </xf>
    <xf numFmtId="0" fontId="23" fillId="0" borderId="0" xfId="0" applyFont="1"/>
    <xf numFmtId="0" fontId="38" fillId="0" borderId="0" xfId="0" applyFont="1" applyAlignment="1">
      <alignment horizontal="centerContinuous"/>
    </xf>
    <xf numFmtId="0" fontId="22" fillId="0" borderId="0" xfId="0" applyFont="1"/>
    <xf numFmtId="0" fontId="31" fillId="0" borderId="0" xfId="0" applyFont="1"/>
    <xf numFmtId="0" fontId="22" fillId="0" borderId="11" xfId="0" applyFont="1" applyBorder="1"/>
    <xf numFmtId="0" fontId="10" fillId="0" borderId="0" xfId="0" applyFont="1"/>
    <xf numFmtId="0" fontId="39" fillId="0" borderId="0" xfId="0" applyFont="1"/>
    <xf numFmtId="0" fontId="40" fillId="0" borderId="0" xfId="0" applyFont="1"/>
    <xf numFmtId="0" fontId="27" fillId="0" borderId="0" xfId="0" applyFont="1"/>
    <xf numFmtId="0" fontId="0" fillId="0" borderId="0" xfId="0" applyAlignment="1">
      <alignment vertical="center"/>
    </xf>
    <xf numFmtId="0" fontId="8" fillId="0" borderId="0" xfId="0" applyFont="1" applyAlignment="1">
      <alignment vertical="center"/>
    </xf>
    <xf numFmtId="0" fontId="0" fillId="0" borderId="12" xfId="0" applyBorder="1" applyAlignment="1">
      <alignment vertical="center"/>
    </xf>
    <xf numFmtId="0" fontId="10" fillId="0" borderId="0" xfId="26"/>
    <xf numFmtId="0" fontId="8" fillId="0" borderId="0" xfId="15" applyFont="1"/>
    <xf numFmtId="0" fontId="10" fillId="0" borderId="14" xfId="26" applyBorder="1" applyAlignment="1">
      <alignment horizontal="center"/>
    </xf>
    <xf numFmtId="0" fontId="10" fillId="0" borderId="0" xfId="26" applyAlignment="1">
      <alignment horizontal="center"/>
    </xf>
    <xf numFmtId="10" fontId="10" fillId="0" borderId="0" xfId="37" applyNumberFormat="1" applyFont="1"/>
    <xf numFmtId="3" fontId="10" fillId="0" borderId="0" xfId="26" applyNumberFormat="1"/>
    <xf numFmtId="3" fontId="10" fillId="0" borderId="0" xfId="26" applyNumberFormat="1" applyAlignment="1">
      <alignment horizontal="center"/>
    </xf>
    <xf numFmtId="0" fontId="41" fillId="0" borderId="0" xfId="29"/>
    <xf numFmtId="0" fontId="41" fillId="0" borderId="0" xfId="29" applyAlignment="1">
      <alignment horizontal="left"/>
    </xf>
    <xf numFmtId="0" fontId="42" fillId="0" borderId="0" xfId="0" applyFont="1"/>
    <xf numFmtId="0" fontId="0" fillId="0" borderId="16" xfId="0" applyBorder="1"/>
    <xf numFmtId="0" fontId="9" fillId="0" borderId="1" xfId="0" applyFont="1" applyBorder="1" applyAlignment="1">
      <alignment horizontal="center"/>
    </xf>
    <xf numFmtId="0" fontId="9" fillId="0" borderId="1" xfId="0" applyFont="1" applyBorder="1"/>
    <xf numFmtId="0" fontId="0" fillId="0" borderId="0" xfId="0" applyAlignment="1">
      <alignment horizontal="center"/>
    </xf>
    <xf numFmtId="164" fontId="12" fillId="0" borderId="0" xfId="0" applyNumberFormat="1" applyFont="1" applyAlignment="1">
      <alignment horizontal="center"/>
    </xf>
    <xf numFmtId="3" fontId="0" fillId="0" borderId="0" xfId="0" applyNumberFormat="1"/>
    <xf numFmtId="0" fontId="43" fillId="0" borderId="0" xfId="0" applyFont="1" applyAlignment="1">
      <alignment vertical="center"/>
    </xf>
    <xf numFmtId="42" fontId="0" fillId="0" borderId="0" xfId="0" applyNumberFormat="1"/>
    <xf numFmtId="4" fontId="0" fillId="0" borderId="0" xfId="0" applyNumberFormat="1"/>
    <xf numFmtId="0" fontId="18" fillId="0" borderId="15" xfId="22" applyFont="1" applyBorder="1" applyAlignment="1">
      <alignment horizontal="right" vertical="center"/>
    </xf>
    <xf numFmtId="3" fontId="18" fillId="0" borderId="15" xfId="22" applyNumberFormat="1" applyFont="1" applyBorder="1" applyAlignment="1">
      <alignment horizontal="right" vertical="center"/>
    </xf>
    <xf numFmtId="167" fontId="18" fillId="0" borderId="15" xfId="22" applyNumberFormat="1" applyFont="1" applyBorder="1" applyAlignment="1">
      <alignment horizontal="right" vertical="center"/>
    </xf>
    <xf numFmtId="3" fontId="13" fillId="4" borderId="0" xfId="32" applyNumberFormat="1" applyFill="1"/>
    <xf numFmtId="0" fontId="13" fillId="4" borderId="0" xfId="32" applyFill="1"/>
    <xf numFmtId="0" fontId="41" fillId="0" borderId="0" xfId="25"/>
    <xf numFmtId="0" fontId="23" fillId="0" borderId="0" xfId="25" applyFont="1" applyAlignment="1">
      <alignment horizontal="right"/>
    </xf>
    <xf numFmtId="0" fontId="41" fillId="0" borderId="0" xfId="25" applyAlignment="1">
      <alignment horizontal="right"/>
    </xf>
    <xf numFmtId="0" fontId="25" fillId="0" borderId="0" xfId="25" applyFont="1"/>
    <xf numFmtId="0" fontId="8" fillId="0" borderId="0" xfId="25" applyFont="1"/>
    <xf numFmtId="0" fontId="41" fillId="0" borderId="0" xfId="25" applyAlignment="1">
      <alignment wrapText="1"/>
    </xf>
    <xf numFmtId="0" fontId="41" fillId="0" borderId="0" xfId="25" applyAlignment="1">
      <alignment horizontal="right" wrapText="1"/>
    </xf>
    <xf numFmtId="0" fontId="25" fillId="0" borderId="17" xfId="25" applyFont="1" applyBorder="1" applyAlignment="1">
      <alignment horizontal="centerContinuous"/>
    </xf>
    <xf numFmtId="0" fontId="25" fillId="0" borderId="16" xfId="25" applyFont="1" applyBorder="1"/>
    <xf numFmtId="0" fontId="25" fillId="0" borderId="1" xfId="25" applyFont="1" applyBorder="1" applyAlignment="1">
      <alignment horizontal="right"/>
    </xf>
    <xf numFmtId="3" fontId="41" fillId="0" borderId="0" xfId="25" applyNumberFormat="1" applyAlignment="1">
      <alignment horizontal="right"/>
    </xf>
    <xf numFmtId="167" fontId="41" fillId="0" borderId="0" xfId="25" applyNumberFormat="1"/>
    <xf numFmtId="0" fontId="0" fillId="0" borderId="0" xfId="25" applyFont="1"/>
    <xf numFmtId="3" fontId="41" fillId="0" borderId="0" xfId="25" applyNumberFormat="1"/>
    <xf numFmtId="168" fontId="41" fillId="0" borderId="0" xfId="25" applyNumberFormat="1"/>
    <xf numFmtId="0" fontId="13" fillId="0" borderId="0" xfId="25" applyFont="1"/>
    <xf numFmtId="0" fontId="23" fillId="0" borderId="0" xfId="20" applyFont="1"/>
    <xf numFmtId="0" fontId="13" fillId="0" borderId="0" xfId="20" applyFont="1"/>
    <xf numFmtId="0" fontId="8" fillId="0" borderId="0" xfId="20" applyFont="1"/>
    <xf numFmtId="0" fontId="25" fillId="0" borderId="19" xfId="20" applyFont="1" applyBorder="1" applyAlignment="1">
      <alignment horizontal="center"/>
    </xf>
    <xf numFmtId="0" fontId="13" fillId="0" borderId="26" xfId="20" applyFont="1" applyBorder="1" applyAlignment="1">
      <alignment horizontal="center"/>
    </xf>
    <xf numFmtId="3" fontId="13" fillId="0" borderId="0" xfId="19" applyNumberFormat="1" applyFont="1"/>
    <xf numFmtId="3" fontId="13" fillId="0" borderId="0" xfId="20" applyNumberFormat="1" applyFont="1"/>
    <xf numFmtId="0" fontId="41" fillId="0" borderId="26" xfId="25" applyBorder="1" applyAlignment="1">
      <alignment horizontal="center"/>
    </xf>
    <xf numFmtId="0" fontId="8" fillId="0" borderId="0" xfId="25" applyFont="1" applyAlignment="1">
      <alignment horizontal="center"/>
    </xf>
    <xf numFmtId="0" fontId="24" fillId="0" borderId="0" xfId="21" applyFont="1" applyAlignment="1">
      <alignment horizontal="centerContinuous"/>
    </xf>
    <xf numFmtId="3" fontId="24" fillId="0" borderId="0" xfId="21" applyNumberFormat="1" applyFont="1" applyAlignment="1">
      <alignment horizontal="centerContinuous"/>
    </xf>
    <xf numFmtId="0" fontId="24" fillId="0" borderId="0" xfId="21" applyFont="1"/>
    <xf numFmtId="0" fontId="48" fillId="0" borderId="0" xfId="21" applyFont="1"/>
    <xf numFmtId="0" fontId="8" fillId="0" borderId="0" xfId="21" applyFont="1" applyAlignment="1">
      <alignment horizontal="left"/>
    </xf>
    <xf numFmtId="0" fontId="13" fillId="0" borderId="0" xfId="21" applyFont="1"/>
    <xf numFmtId="3" fontId="13" fillId="0" borderId="0" xfId="21" applyNumberFormat="1" applyFont="1"/>
    <xf numFmtId="0" fontId="28" fillId="0" borderId="0" xfId="21" applyFont="1"/>
    <xf numFmtId="167" fontId="13" fillId="0" borderId="0" xfId="21" applyNumberFormat="1" applyFont="1"/>
    <xf numFmtId="0" fontId="13" fillId="0" borderId="0" xfId="21" applyFont="1" applyAlignment="1">
      <alignment horizontal="left"/>
    </xf>
    <xf numFmtId="0" fontId="25" fillId="0" borderId="0" xfId="21" applyFont="1"/>
    <xf numFmtId="164" fontId="13" fillId="0" borderId="0" xfId="21" applyNumberFormat="1" applyFont="1"/>
    <xf numFmtId="3" fontId="25" fillId="0" borderId="15" xfId="21" applyNumberFormat="1" applyFont="1" applyBorder="1"/>
    <xf numFmtId="3" fontId="25" fillId="0" borderId="0" xfId="21" applyNumberFormat="1" applyFont="1"/>
    <xf numFmtId="167" fontId="25" fillId="0" borderId="0" xfId="5" applyNumberFormat="1" applyFont="1" applyBorder="1"/>
    <xf numFmtId="164" fontId="25" fillId="0" borderId="0" xfId="21" applyNumberFormat="1" applyFont="1"/>
    <xf numFmtId="167" fontId="25" fillId="0" borderId="0" xfId="21" applyNumberFormat="1" applyFont="1"/>
    <xf numFmtId="3" fontId="48" fillId="0" borderId="0" xfId="21" applyNumberFormat="1" applyFont="1"/>
    <xf numFmtId="10" fontId="52" fillId="0" borderId="0" xfId="36" applyNumberFormat="1" applyFont="1"/>
    <xf numFmtId="3" fontId="21" fillId="0" borderId="0" xfId="28" applyNumberFormat="1" applyFont="1"/>
    <xf numFmtId="0" fontId="35" fillId="0" borderId="0" xfId="0" applyFont="1"/>
    <xf numFmtId="0" fontId="24" fillId="0" borderId="0" xfId="0" applyFont="1"/>
    <xf numFmtId="0" fontId="24" fillId="0" borderId="0" xfId="0" quotePrefix="1" applyFont="1" applyAlignment="1">
      <alignment horizontal="right"/>
    </xf>
    <xf numFmtId="0" fontId="24" fillId="0" borderId="0" xfId="0" applyFont="1" applyAlignment="1">
      <alignment horizontal="right"/>
    </xf>
    <xf numFmtId="3" fontId="6" fillId="0" borderId="0" xfId="8" applyNumberFormat="1" applyFont="1"/>
    <xf numFmtId="0" fontId="6" fillId="0" borderId="0" xfId="8" applyFont="1"/>
    <xf numFmtId="0" fontId="7" fillId="0" borderId="0" xfId="8" applyFont="1"/>
    <xf numFmtId="0" fontId="11" fillId="0" borderId="0" xfId="8" applyFont="1" applyAlignment="1">
      <alignment horizontal="left"/>
    </xf>
    <xf numFmtId="3" fontId="11" fillId="0" borderId="0" xfId="8" applyNumberFormat="1" applyFont="1" applyAlignment="1">
      <alignment horizontal="right"/>
    </xf>
    <xf numFmtId="3" fontId="12" fillId="0" borderId="0" xfId="8" applyNumberFormat="1" applyFont="1" applyAlignment="1">
      <alignment horizontal="right"/>
    </xf>
    <xf numFmtId="0" fontId="8" fillId="0" borderId="0" xfId="8" applyFont="1"/>
    <xf numFmtId="0" fontId="12" fillId="0" borderId="0" xfId="8" applyFont="1" applyAlignment="1">
      <alignment horizontal="left"/>
    </xf>
    <xf numFmtId="0" fontId="11" fillId="0" borderId="15" xfId="8" applyFont="1" applyBorder="1" applyAlignment="1">
      <alignment horizontal="left"/>
    </xf>
    <xf numFmtId="0" fontId="8" fillId="0" borderId="15" xfId="8" applyFont="1" applyBorder="1"/>
    <xf numFmtId="3" fontId="13" fillId="0" borderId="0" xfId="35" applyNumberFormat="1" applyAlignment="1">
      <alignment horizontal="right"/>
    </xf>
    <xf numFmtId="0" fontId="13" fillId="0" borderId="0" xfId="35" applyAlignment="1">
      <alignment horizontal="center"/>
    </xf>
    <xf numFmtId="167" fontId="13" fillId="0" borderId="0" xfId="35" applyNumberFormat="1"/>
    <xf numFmtId="167" fontId="13" fillId="0" borderId="0" xfId="35" applyNumberFormat="1" applyAlignment="1">
      <alignment horizontal="right"/>
    </xf>
    <xf numFmtId="10" fontId="0" fillId="0" borderId="0" xfId="36" applyNumberFormat="1" applyFont="1"/>
    <xf numFmtId="171" fontId="5" fillId="0" borderId="0" xfId="13" applyNumberFormat="1"/>
    <xf numFmtId="3" fontId="5" fillId="0" borderId="0" xfId="11" applyNumberFormat="1" applyFont="1"/>
    <xf numFmtId="164" fontId="5" fillId="0" borderId="1" xfId="11" applyNumberFormat="1" applyFont="1" applyBorder="1"/>
    <xf numFmtId="3" fontId="13" fillId="0" borderId="0" xfId="11" applyNumberFormat="1" applyFont="1"/>
    <xf numFmtId="37" fontId="5" fillId="0" borderId="0" xfId="16" quotePrefix="1" applyNumberFormat="1" applyFont="1"/>
    <xf numFmtId="167" fontId="5" fillId="0" borderId="0" xfId="34" applyNumberFormat="1" applyFont="1"/>
    <xf numFmtId="167" fontId="5" fillId="0" borderId="0" xfId="11" applyNumberFormat="1" applyFont="1"/>
    <xf numFmtId="3" fontId="13" fillId="4" borderId="0" xfId="38" applyNumberFormat="1" applyFont="1" applyFill="1"/>
    <xf numFmtId="169" fontId="13" fillId="4" borderId="0" xfId="36" applyNumberFormat="1" applyFont="1" applyFill="1"/>
    <xf numFmtId="167" fontId="13" fillId="4" borderId="0" xfId="38" applyNumberFormat="1" applyFont="1" applyFill="1"/>
    <xf numFmtId="0" fontId="5" fillId="4" borderId="0" xfId="32" applyFont="1" applyFill="1"/>
    <xf numFmtId="169" fontId="5" fillId="4" borderId="0" xfId="36" applyNumberFormat="1" applyFont="1" applyFill="1"/>
    <xf numFmtId="0" fontId="13" fillId="4" borderId="0" xfId="33" applyFill="1"/>
    <xf numFmtId="3" fontId="13" fillId="4" borderId="0" xfId="33" applyNumberFormat="1" applyFill="1"/>
    <xf numFmtId="0" fontId="5" fillId="0" borderId="0" xfId="14" applyFont="1"/>
    <xf numFmtId="0" fontId="23" fillId="0" borderId="0" xfId="84" applyFont="1"/>
    <xf numFmtId="0" fontId="21" fillId="0" borderId="0" xfId="84" applyFont="1"/>
    <xf numFmtId="0" fontId="8" fillId="0" borderId="0" xfId="84" applyFont="1"/>
    <xf numFmtId="0" fontId="20" fillId="0" borderId="0" xfId="84"/>
    <xf numFmtId="0" fontId="20" fillId="0" borderId="0" xfId="84" applyAlignment="1">
      <alignment horizontal="center"/>
    </xf>
    <xf numFmtId="0" fontId="21" fillId="0" borderId="0" xfId="84" applyFont="1" applyAlignment="1">
      <alignment wrapText="1"/>
    </xf>
    <xf numFmtId="0" fontId="20" fillId="0" borderId="0" xfId="84" applyAlignment="1">
      <alignment wrapText="1"/>
    </xf>
    <xf numFmtId="0" fontId="20" fillId="0" borderId="0" xfId="84" applyAlignment="1">
      <alignment horizontal="center" wrapText="1"/>
    </xf>
    <xf numFmtId="0" fontId="74" fillId="0" borderId="0" xfId="84" applyFont="1" applyAlignment="1">
      <alignment horizontal="right"/>
    </xf>
    <xf numFmtId="167" fontId="74" fillId="0" borderId="0" xfId="84" applyNumberFormat="1" applyFont="1"/>
    <xf numFmtId="3" fontId="74" fillId="0" borderId="0" xfId="84" applyNumberFormat="1" applyFont="1"/>
    <xf numFmtId="0" fontId="75" fillId="0" borderId="0" xfId="0" applyFont="1"/>
    <xf numFmtId="0" fontId="5" fillId="0" borderId="0" xfId="11" applyFont="1"/>
    <xf numFmtId="0" fontId="23" fillId="0" borderId="0" xfId="11" applyFont="1"/>
    <xf numFmtId="0" fontId="24" fillId="0" borderId="0" xfId="11" applyFont="1"/>
    <xf numFmtId="164" fontId="24" fillId="0" borderId="0" xfId="11" applyNumberFormat="1" applyFont="1"/>
    <xf numFmtId="0" fontId="8" fillId="0" borderId="0" xfId="11" applyFont="1"/>
    <xf numFmtId="3" fontId="8" fillId="0" borderId="0" xfId="11" applyNumberFormat="1" applyFont="1"/>
    <xf numFmtId="0" fontId="24" fillId="0" borderId="0" xfId="11" applyFont="1" applyAlignment="1">
      <alignment horizontal="center"/>
    </xf>
    <xf numFmtId="3" fontId="5" fillId="0" borderId="0" xfId="34" applyNumberFormat="1" applyFont="1"/>
    <xf numFmtId="164" fontId="47" fillId="0" borderId="0" xfId="11" applyNumberFormat="1" applyFont="1"/>
    <xf numFmtId="0" fontId="6" fillId="0" borderId="0" xfId="11"/>
    <xf numFmtId="167" fontId="24" fillId="0" borderId="0" xfId="11" applyNumberFormat="1" applyFont="1"/>
    <xf numFmtId="0" fontId="18" fillId="0" borderId="15" xfId="11" applyFont="1" applyBorder="1"/>
    <xf numFmtId="167" fontId="18" fillId="0" borderId="15" xfId="11" applyNumberFormat="1" applyFont="1" applyBorder="1"/>
    <xf numFmtId="0" fontId="18" fillId="0" borderId="0" xfId="11" applyFont="1"/>
    <xf numFmtId="164" fontId="18" fillId="0" borderId="0" xfId="11" applyNumberFormat="1" applyFont="1"/>
    <xf numFmtId="3" fontId="27" fillId="0" borderId="0" xfId="11" applyNumberFormat="1" applyFont="1"/>
    <xf numFmtId="0" fontId="27" fillId="0" borderId="0" xfId="11" applyFont="1"/>
    <xf numFmtId="3" fontId="24" fillId="0" borderId="0" xfId="11" applyNumberFormat="1" applyFont="1"/>
    <xf numFmtId="164" fontId="5" fillId="0" borderId="0" xfId="11" applyNumberFormat="1" applyFont="1"/>
    <xf numFmtId="169" fontId="79" fillId="0" borderId="0" xfId="36" applyNumberFormat="1" applyFont="1" applyFill="1"/>
    <xf numFmtId="0" fontId="13" fillId="0" borderId="0" xfId="14" applyFont="1" applyAlignment="1">
      <alignment horizontal="left"/>
    </xf>
    <xf numFmtId="7" fontId="80" fillId="0" borderId="0" xfId="16" applyNumberFormat="1" applyFont="1"/>
    <xf numFmtId="167" fontId="10" fillId="0" borderId="0" xfId="26" applyNumberFormat="1"/>
    <xf numFmtId="5" fontId="13" fillId="0" borderId="0" xfId="16" applyNumberFormat="1" applyFont="1"/>
    <xf numFmtId="167" fontId="5" fillId="0" borderId="0" xfId="0" applyNumberFormat="1" applyFont="1"/>
    <xf numFmtId="0" fontId="76" fillId="0" borderId="0" xfId="8" applyFont="1"/>
    <xf numFmtId="0" fontId="82" fillId="0" borderId="0" xfId="0" applyFont="1"/>
    <xf numFmtId="3" fontId="81" fillId="0" borderId="0" xfId="0" applyNumberFormat="1" applyFont="1"/>
    <xf numFmtId="0" fontId="83" fillId="0" borderId="0" xfId="8" applyFont="1"/>
    <xf numFmtId="0" fontId="81" fillId="0" borderId="9" xfId="16" applyFont="1" applyBorder="1"/>
    <xf numFmtId="4" fontId="6" fillId="0" borderId="0" xfId="8" applyNumberFormat="1" applyFont="1"/>
    <xf numFmtId="0" fontId="84" fillId="0" borderId="0" xfId="14" applyFont="1" applyAlignment="1">
      <alignment horizontal="left"/>
    </xf>
    <xf numFmtId="5" fontId="13" fillId="0" borderId="0" xfId="16" applyNumberFormat="1" applyFont="1" applyAlignment="1">
      <alignment horizontal="right"/>
    </xf>
    <xf numFmtId="0" fontId="85" fillId="0" borderId="0" xfId="0" applyFont="1"/>
    <xf numFmtId="2" fontId="7" fillId="0" borderId="0" xfId="8" applyNumberFormat="1" applyFont="1"/>
    <xf numFmtId="0" fontId="52" fillId="0" borderId="0" xfId="0" applyFont="1"/>
    <xf numFmtId="0" fontId="83" fillId="0" borderId="0" xfId="0" applyFont="1"/>
    <xf numFmtId="3" fontId="75" fillId="0" borderId="0" xfId="11" applyNumberFormat="1" applyFont="1"/>
    <xf numFmtId="0" fontId="78" fillId="0" borderId="0" xfId="11" applyFont="1"/>
    <xf numFmtId="0" fontId="75" fillId="0" borderId="0" xfId="11" applyFont="1"/>
    <xf numFmtId="3" fontId="91" fillId="0" borderId="0" xfId="11" applyNumberFormat="1" applyFont="1"/>
    <xf numFmtId="3" fontId="78" fillId="0" borderId="0" xfId="11" applyNumberFormat="1" applyFont="1"/>
    <xf numFmtId="0" fontId="93" fillId="0" borderId="0" xfId="86" applyAlignment="1" applyProtection="1"/>
    <xf numFmtId="37" fontId="18" fillId="0" borderId="0" xfId="14" applyNumberFormat="1" applyFont="1"/>
    <xf numFmtId="37" fontId="5" fillId="0" borderId="0" xfId="14" applyNumberFormat="1" applyFont="1"/>
    <xf numFmtId="39" fontId="5" fillId="0" borderId="0" xfId="14" applyNumberFormat="1" applyFont="1"/>
    <xf numFmtId="178" fontId="41" fillId="0" borderId="0" xfId="41" applyNumberFormat="1" applyFont="1" applyAlignment="1">
      <alignment horizontal="right"/>
    </xf>
    <xf numFmtId="167" fontId="0" fillId="0" borderId="0" xfId="0" applyNumberFormat="1"/>
    <xf numFmtId="3" fontId="5" fillId="0" borderId="0" xfId="14" applyNumberFormat="1" applyFont="1"/>
    <xf numFmtId="167" fontId="5" fillId="0" borderId="0" xfId="14" applyNumberFormat="1" applyFont="1"/>
    <xf numFmtId="0" fontId="81" fillId="0" borderId="0" xfId="14" applyFont="1"/>
    <xf numFmtId="0" fontId="81" fillId="0" borderId="0" xfId="0" applyFont="1"/>
    <xf numFmtId="3" fontId="23" fillId="0" borderId="0" xfId="35" applyNumberFormat="1" applyFont="1"/>
    <xf numFmtId="0" fontId="13" fillId="0" borderId="0" xfId="35"/>
    <xf numFmtId="0" fontId="21" fillId="0" borderId="0" xfId="22" applyFont="1"/>
    <xf numFmtId="0" fontId="8" fillId="0" borderId="0" xfId="35" applyFont="1" applyAlignment="1">
      <alignment horizontal="center"/>
    </xf>
    <xf numFmtId="0" fontId="8" fillId="0" borderId="0" xfId="35" applyFont="1"/>
    <xf numFmtId="167" fontId="21" fillId="0" borderId="0" xfId="22" applyNumberFormat="1" applyFont="1"/>
    <xf numFmtId="0" fontId="23" fillId="0" borderId="0" xfId="35" applyFont="1"/>
    <xf numFmtId="0" fontId="87" fillId="0" borderId="0" xfId="22" applyFont="1"/>
    <xf numFmtId="0" fontId="13" fillId="0" borderId="0" xfId="35" applyAlignment="1">
      <alignment horizontal="right"/>
    </xf>
    <xf numFmtId="0" fontId="97" fillId="0" borderId="0" xfId="22" applyFont="1"/>
    <xf numFmtId="0" fontId="88" fillId="0" borderId="0" xfId="22" applyFont="1"/>
    <xf numFmtId="167" fontId="89" fillId="0" borderId="0" xfId="11" applyNumberFormat="1" applyFont="1"/>
    <xf numFmtId="178" fontId="21" fillId="0" borderId="0" xfId="41" applyNumberFormat="1" applyFont="1" applyFill="1"/>
    <xf numFmtId="0" fontId="18" fillId="0" borderId="19" xfId="11" applyFont="1" applyBorder="1"/>
    <xf numFmtId="0" fontId="18" fillId="0" borderId="20" xfId="11" applyFont="1" applyBorder="1" applyAlignment="1">
      <alignment horizontal="center"/>
    </xf>
    <xf numFmtId="3" fontId="18" fillId="0" borderId="20" xfId="11" applyNumberFormat="1" applyFont="1" applyBorder="1" applyAlignment="1">
      <alignment horizontal="center"/>
    </xf>
    <xf numFmtId="0" fontId="89" fillId="0" borderId="19" xfId="11" applyFont="1" applyBorder="1" applyAlignment="1">
      <alignment horizontal="left"/>
    </xf>
    <xf numFmtId="0" fontId="89" fillId="0" borderId="19" xfId="11" applyFont="1" applyBorder="1" applyAlignment="1">
      <alignment horizontal="center"/>
    </xf>
    <xf numFmtId="0" fontId="77" fillId="0" borderId="19" xfId="11" applyFont="1" applyBorder="1" applyAlignment="1">
      <alignment horizontal="left"/>
    </xf>
    <xf numFmtId="0" fontId="18" fillId="0" borderId="13" xfId="11" applyFont="1" applyBorder="1" applyAlignment="1">
      <alignment horizontal="center"/>
    </xf>
    <xf numFmtId="3" fontId="18" fillId="0" borderId="13" xfId="11" applyNumberFormat="1" applyFont="1" applyBorder="1"/>
    <xf numFmtId="0" fontId="18" fillId="0" borderId="13" xfId="11" applyFont="1" applyBorder="1"/>
    <xf numFmtId="3" fontId="18" fillId="0" borderId="21" xfId="11" applyNumberFormat="1" applyFont="1" applyBorder="1"/>
    <xf numFmtId="3" fontId="18" fillId="0" borderId="13" xfId="11" applyNumberFormat="1" applyFont="1" applyBorder="1" applyAlignment="1">
      <alignment horizontal="center"/>
    </xf>
    <xf numFmtId="3" fontId="18" fillId="0" borderId="22" xfId="11" applyNumberFormat="1" applyFont="1" applyBorder="1" applyAlignment="1">
      <alignment horizontal="center"/>
    </xf>
    <xf numFmtId="3" fontId="89" fillId="0" borderId="13" xfId="11" applyNumberFormat="1" applyFont="1" applyBorder="1" applyAlignment="1">
      <alignment horizontal="center"/>
    </xf>
    <xf numFmtId="0" fontId="89" fillId="0" borderId="13" xfId="11" applyFont="1" applyBorder="1" applyAlignment="1">
      <alignment horizontal="center"/>
    </xf>
    <xf numFmtId="3" fontId="18" fillId="0" borderId="23" xfId="11" applyNumberFormat="1" applyFont="1" applyBorder="1" applyAlignment="1">
      <alignment horizontal="center"/>
    </xf>
    <xf numFmtId="3" fontId="18" fillId="0" borderId="24" xfId="11" applyNumberFormat="1" applyFont="1" applyBorder="1" applyAlignment="1">
      <alignment horizontal="center"/>
    </xf>
    <xf numFmtId="3" fontId="5" fillId="0" borderId="25" xfId="11" applyNumberFormat="1" applyFont="1" applyBorder="1"/>
    <xf numFmtId="3" fontId="5" fillId="0" borderId="26" xfId="11" applyNumberFormat="1" applyFont="1" applyBorder="1"/>
    <xf numFmtId="3" fontId="46" fillId="0" borderId="0" xfId="11" applyNumberFormat="1" applyFont="1"/>
    <xf numFmtId="3" fontId="52" fillId="0" borderId="0" xfId="11" applyNumberFormat="1" applyFont="1"/>
    <xf numFmtId="0" fontId="18" fillId="0" borderId="0" xfId="11" applyFont="1" applyAlignment="1">
      <alignment horizontal="center"/>
    </xf>
    <xf numFmtId="3" fontId="18" fillId="0" borderId="0" xfId="11" applyNumberFormat="1" applyFont="1"/>
    <xf numFmtId="3" fontId="18" fillId="0" borderId="25" xfId="11" applyNumberFormat="1" applyFont="1" applyBorder="1"/>
    <xf numFmtId="3" fontId="18" fillId="0" borderId="0" xfId="11" applyNumberFormat="1" applyFont="1" applyAlignment="1">
      <alignment horizontal="center"/>
    </xf>
    <xf numFmtId="3" fontId="18" fillId="0" borderId="26" xfId="11" applyNumberFormat="1" applyFont="1" applyBorder="1" applyAlignment="1">
      <alignment horizontal="center"/>
    </xf>
    <xf numFmtId="3" fontId="89" fillId="0" borderId="0" xfId="11" applyNumberFormat="1" applyFont="1" applyAlignment="1">
      <alignment horizontal="center"/>
    </xf>
    <xf numFmtId="3" fontId="75" fillId="0" borderId="0" xfId="11" applyNumberFormat="1" applyFont="1" applyAlignment="1">
      <alignment horizontal="right"/>
    </xf>
    <xf numFmtId="3" fontId="75" fillId="0" borderId="25" xfId="11" applyNumberFormat="1" applyFont="1" applyBorder="1"/>
    <xf numFmtId="3" fontId="75" fillId="0" borderId="26" xfId="11" applyNumberFormat="1" applyFont="1" applyBorder="1"/>
    <xf numFmtId="3" fontId="5" fillId="0" borderId="1" xfId="11" applyNumberFormat="1" applyFont="1" applyBorder="1"/>
    <xf numFmtId="3" fontId="5" fillId="0" borderId="23" xfId="11" applyNumberFormat="1" applyFont="1" applyBorder="1"/>
    <xf numFmtId="3" fontId="5" fillId="0" borderId="24" xfId="11" applyNumberFormat="1" applyFont="1" applyBorder="1"/>
    <xf numFmtId="3" fontId="75" fillId="0" borderId="1" xfId="11" applyNumberFormat="1" applyFont="1" applyBorder="1"/>
    <xf numFmtId="3" fontId="6" fillId="0" borderId="0" xfId="11" applyNumberFormat="1"/>
    <xf numFmtId="3" fontId="18" fillId="0" borderId="15" xfId="11" applyNumberFormat="1" applyFont="1" applyBorder="1"/>
    <xf numFmtId="167" fontId="18" fillId="0" borderId="27" xfId="11" applyNumberFormat="1" applyFont="1" applyBorder="1"/>
    <xf numFmtId="3" fontId="18" fillId="0" borderId="28" xfId="11" applyNumberFormat="1" applyFont="1" applyBorder="1"/>
    <xf numFmtId="3" fontId="18" fillId="0" borderId="27" xfId="11" applyNumberFormat="1" applyFont="1" applyBorder="1"/>
    <xf numFmtId="3" fontId="89" fillId="0" borderId="15" xfId="11" applyNumberFormat="1" applyFont="1" applyBorder="1"/>
    <xf numFmtId="0" fontId="5" fillId="0" borderId="1" xfId="11" applyFont="1" applyBorder="1"/>
    <xf numFmtId="0" fontId="5" fillId="0" borderId="24" xfId="11" applyFont="1" applyBorder="1"/>
    <xf numFmtId="0" fontId="5" fillId="0" borderId="23" xfId="11" applyFont="1" applyBorder="1"/>
    <xf numFmtId="0" fontId="75" fillId="0" borderId="1" xfId="11" applyFont="1" applyBorder="1"/>
    <xf numFmtId="167" fontId="18" fillId="0" borderId="24" xfId="11" applyNumberFormat="1" applyFont="1" applyBorder="1"/>
    <xf numFmtId="167" fontId="18" fillId="0" borderId="13" xfId="11" applyNumberFormat="1" applyFont="1" applyBorder="1"/>
    <xf numFmtId="167" fontId="18" fillId="0" borderId="0" xfId="11" applyNumberFormat="1" applyFont="1"/>
    <xf numFmtId="3" fontId="18" fillId="0" borderId="26" xfId="11" applyNumberFormat="1" applyFont="1" applyBorder="1"/>
    <xf numFmtId="3" fontId="89" fillId="0" borderId="0" xfId="11" applyNumberFormat="1" applyFont="1"/>
    <xf numFmtId="0" fontId="77" fillId="0" borderId="0" xfId="11" applyFont="1"/>
    <xf numFmtId="167" fontId="13" fillId="0" borderId="0" xfId="11" applyNumberFormat="1" applyFont="1"/>
    <xf numFmtId="3" fontId="25" fillId="0" borderId="15" xfId="11" applyNumberFormat="1" applyFont="1" applyBorder="1"/>
    <xf numFmtId="167" fontId="25" fillId="0" borderId="15" xfId="11" applyNumberFormat="1" applyFont="1" applyBorder="1"/>
    <xf numFmtId="3" fontId="13" fillId="0" borderId="1" xfId="11" applyNumberFormat="1" applyFont="1" applyBorder="1"/>
    <xf numFmtId="37" fontId="23" fillId="4" borderId="0" xfId="17" applyNumberFormat="1" applyFont="1" applyFill="1" applyAlignment="1">
      <alignment horizontal="left"/>
    </xf>
    <xf numFmtId="4" fontId="28" fillId="4" borderId="0" xfId="17" applyNumberFormat="1" applyFont="1" applyFill="1"/>
    <xf numFmtId="37" fontId="8" fillId="4" borderId="0" xfId="17" applyNumberFormat="1" applyFont="1" applyFill="1" applyAlignment="1">
      <alignment horizontal="left"/>
    </xf>
    <xf numFmtId="37" fontId="85" fillId="4" borderId="0" xfId="17" applyNumberFormat="1" applyFont="1" applyFill="1" applyAlignment="1">
      <alignment horizontal="left"/>
    </xf>
    <xf numFmtId="167" fontId="13" fillId="4" borderId="0" xfId="33" applyNumberFormat="1" applyFill="1"/>
    <xf numFmtId="10" fontId="13" fillId="4" borderId="0" xfId="38" applyNumberFormat="1" applyFont="1" applyFill="1"/>
    <xf numFmtId="0" fontId="75" fillId="4" borderId="0" xfId="33" applyFont="1" applyFill="1"/>
    <xf numFmtId="5" fontId="25" fillId="4" borderId="8" xfId="17" applyNumberFormat="1" applyFont="1" applyFill="1" applyBorder="1"/>
    <xf numFmtId="167" fontId="25" fillId="4" borderId="8" xfId="17" applyNumberFormat="1" applyFont="1" applyFill="1" applyBorder="1"/>
    <xf numFmtId="5" fontId="25" fillId="4" borderId="0" xfId="17" applyNumberFormat="1" applyFont="1" applyFill="1"/>
    <xf numFmtId="0" fontId="13" fillId="4" borderId="13" xfId="33" applyFill="1" applyBorder="1"/>
    <xf numFmtId="10" fontId="44" fillId="4" borderId="0" xfId="38" applyNumberFormat="1" applyFont="1" applyFill="1"/>
    <xf numFmtId="3" fontId="54" fillId="4" borderId="0" xfId="0" applyNumberFormat="1" applyFont="1" applyFill="1" applyAlignment="1">
      <alignment horizontal="right" vertical="center"/>
    </xf>
    <xf numFmtId="0" fontId="49" fillId="0" borderId="0" xfId="28" applyFont="1"/>
    <xf numFmtId="0" fontId="21" fillId="0" borderId="0" xfId="28" applyFont="1"/>
    <xf numFmtId="0" fontId="50" fillId="0" borderId="19" xfId="28" applyFont="1" applyBorder="1"/>
    <xf numFmtId="0" fontId="50" fillId="0" borderId="19" xfId="28" applyFont="1" applyBorder="1" applyAlignment="1">
      <alignment horizontal="center"/>
    </xf>
    <xf numFmtId="0" fontId="20" fillId="0" borderId="0" xfId="28"/>
    <xf numFmtId="167" fontId="21" fillId="0" borderId="0" xfId="36" applyNumberFormat="1" applyFont="1" applyFill="1"/>
    <xf numFmtId="0" fontId="20" fillId="0" borderId="0" xfId="28" applyAlignment="1">
      <alignment horizontal="left" indent="1"/>
    </xf>
    <xf numFmtId="0" fontId="50" fillId="0" borderId="15" xfId="28" applyFont="1" applyBorder="1"/>
    <xf numFmtId="167" fontId="50" fillId="0" borderId="15" xfId="28" applyNumberFormat="1" applyFont="1" applyBorder="1"/>
    <xf numFmtId="0" fontId="23" fillId="4" borderId="0" xfId="32" applyFont="1" applyFill="1"/>
    <xf numFmtId="0" fontId="15" fillId="4" borderId="0" xfId="32" applyFont="1" applyFill="1"/>
    <xf numFmtId="167" fontId="15" fillId="4" borderId="0" xfId="38" applyNumberFormat="1" applyFont="1" applyFill="1" applyAlignment="1"/>
    <xf numFmtId="170" fontId="8" fillId="4" borderId="0" xfId="32" applyNumberFormat="1" applyFont="1" applyFill="1"/>
    <xf numFmtId="0" fontId="24" fillId="4" borderId="0" xfId="31" applyNumberFormat="1" applyFont="1" applyFill="1" applyAlignment="1">
      <alignment horizontal="left" wrapText="1"/>
    </xf>
    <xf numFmtId="167" fontId="13" fillId="4" borderId="0" xfId="38" applyNumberFormat="1" applyFont="1" applyFill="1" applyBorder="1"/>
    <xf numFmtId="167" fontId="13" fillId="4" borderId="0" xfId="32" applyNumberFormat="1" applyFill="1"/>
    <xf numFmtId="3" fontId="75" fillId="4" borderId="0" xfId="32" applyNumberFormat="1" applyFont="1" applyFill="1"/>
    <xf numFmtId="170" fontId="25" fillId="4" borderId="0" xfId="32" applyNumberFormat="1" applyFont="1" applyFill="1" applyAlignment="1">
      <alignment horizontal="left"/>
    </xf>
    <xf numFmtId="176" fontId="45" fillId="4" borderId="0" xfId="31" applyFill="1"/>
    <xf numFmtId="3" fontId="13" fillId="4" borderId="1" xfId="32" applyNumberFormat="1" applyFill="1" applyBorder="1"/>
    <xf numFmtId="3" fontId="25" fillId="4" borderId="15" xfId="32" applyNumberFormat="1" applyFont="1" applyFill="1" applyBorder="1"/>
    <xf numFmtId="167" fontId="25" fillId="4" borderId="15" xfId="38" applyNumberFormat="1" applyFont="1" applyFill="1" applyBorder="1"/>
    <xf numFmtId="167" fontId="25" fillId="4" borderId="0" xfId="32" applyNumberFormat="1" applyFont="1" applyFill="1"/>
    <xf numFmtId="0" fontId="13" fillId="4" borderId="15" xfId="32" applyFill="1" applyBorder="1"/>
    <xf numFmtId="167" fontId="25" fillId="4" borderId="0" xfId="38" applyNumberFormat="1" applyFont="1" applyFill="1"/>
    <xf numFmtId="3" fontId="5" fillId="0" borderId="0" xfId="25" applyNumberFormat="1" applyFont="1" applyAlignment="1">
      <alignment horizontal="right"/>
    </xf>
    <xf numFmtId="3" fontId="5" fillId="0" borderId="0" xfId="25" applyNumberFormat="1" applyFont="1"/>
    <xf numFmtId="167" fontId="5" fillId="0" borderId="0" xfId="0" applyNumberFormat="1" applyFont="1" applyAlignment="1">
      <alignment horizontal="right"/>
    </xf>
    <xf numFmtId="0" fontId="5" fillId="0" borderId="0" xfId="16" applyFont="1" applyAlignment="1">
      <alignment horizontal="center"/>
    </xf>
    <xf numFmtId="169" fontId="98" fillId="0" borderId="0" xfId="36" applyNumberFormat="1" applyFont="1"/>
    <xf numFmtId="3" fontId="77" fillId="0" borderId="0" xfId="26" applyNumberFormat="1" applyFont="1"/>
    <xf numFmtId="3" fontId="75" fillId="0" borderId="0" xfId="0" applyNumberFormat="1" applyFont="1"/>
    <xf numFmtId="0" fontId="100" fillId="0" borderId="0" xfId="22" applyFont="1"/>
    <xf numFmtId="0" fontId="101" fillId="0" borderId="0" xfId="0" applyFont="1"/>
    <xf numFmtId="0" fontId="23" fillId="0" borderId="0" xfId="0" applyFont="1" applyAlignment="1">
      <alignment vertical="center"/>
    </xf>
    <xf numFmtId="0" fontId="23" fillId="0" borderId="0" xfId="15" applyFont="1"/>
    <xf numFmtId="0" fontId="23" fillId="0" borderId="0" xfId="14" applyFont="1"/>
    <xf numFmtId="3" fontId="23" fillId="0" borderId="0" xfId="0" applyNumberFormat="1" applyFont="1"/>
    <xf numFmtId="0" fontId="23" fillId="0" borderId="0" xfId="25" applyFont="1"/>
    <xf numFmtId="0" fontId="23" fillId="0" borderId="0" xfId="21" applyFont="1" applyAlignment="1">
      <alignment horizontal="left"/>
    </xf>
    <xf numFmtId="0" fontId="23" fillId="0" borderId="0" xfId="16" applyFont="1"/>
    <xf numFmtId="0" fontId="96" fillId="0" borderId="0" xfId="0" applyFont="1"/>
    <xf numFmtId="37" fontId="103" fillId="0" borderId="0" xfId="14" applyNumberFormat="1" applyFont="1"/>
    <xf numFmtId="9" fontId="102" fillId="0" borderId="0" xfId="14" applyNumberFormat="1" applyFont="1"/>
    <xf numFmtId="169" fontId="104" fillId="0" borderId="0" xfId="36" applyNumberFormat="1" applyFont="1"/>
    <xf numFmtId="0" fontId="55" fillId="0" borderId="0" xfId="29" applyFont="1"/>
    <xf numFmtId="0" fontId="23" fillId="0" borderId="0" xfId="30" applyFont="1" applyAlignment="1">
      <alignment horizontal="left"/>
    </xf>
    <xf numFmtId="0" fontId="25" fillId="0" borderId="0" xfId="30" applyFont="1" applyAlignment="1">
      <alignment horizontal="centerContinuous"/>
    </xf>
    <xf numFmtId="0" fontId="41" fillId="0" borderId="0" xfId="30"/>
    <xf numFmtId="0" fontId="8" fillId="0" borderId="0" xfId="30" applyFont="1" applyAlignment="1">
      <alignment horizontal="left"/>
    </xf>
    <xf numFmtId="0" fontId="41" fillId="0" borderId="0" xfId="30" applyAlignment="1">
      <alignment horizontal="centerContinuous"/>
    </xf>
    <xf numFmtId="0" fontId="41" fillId="0" borderId="0" xfId="30" applyAlignment="1">
      <alignment horizontal="left"/>
    </xf>
    <xf numFmtId="0" fontId="25" fillId="0" borderId="0" xfId="30" applyFont="1" applyAlignment="1">
      <alignment horizontal="center"/>
    </xf>
    <xf numFmtId="0" fontId="41" fillId="0" borderId="0" xfId="30" applyAlignment="1">
      <alignment horizontal="center"/>
    </xf>
    <xf numFmtId="3" fontId="41" fillId="0" borderId="0" xfId="30" applyNumberFormat="1"/>
    <xf numFmtId="170" fontId="8" fillId="4" borderId="0" xfId="32" applyNumberFormat="1" applyFont="1" applyFill="1" applyAlignment="1">
      <alignment horizontal="left"/>
    </xf>
    <xf numFmtId="10" fontId="6" fillId="0" borderId="0" xfId="0" applyNumberFormat="1" applyFont="1" applyAlignment="1">
      <alignment horizontal="right"/>
    </xf>
    <xf numFmtId="10" fontId="8" fillId="0" borderId="0" xfId="0" applyNumberFormat="1" applyFont="1" applyAlignment="1">
      <alignment horizontal="right"/>
    </xf>
    <xf numFmtId="0" fontId="5" fillId="0" borderId="0" xfId="29" applyFont="1" applyAlignment="1">
      <alignment horizontal="left"/>
    </xf>
    <xf numFmtId="0" fontId="5" fillId="0" borderId="0" xfId="29" applyFont="1"/>
    <xf numFmtId="3" fontId="6" fillId="0" borderId="0" xfId="8" quotePrefix="1" applyNumberFormat="1" applyFont="1"/>
    <xf numFmtId="167" fontId="13" fillId="4" borderId="0" xfId="38" applyNumberFormat="1" applyFont="1" applyFill="1" applyAlignment="1"/>
    <xf numFmtId="0" fontId="75" fillId="0" borderId="0" xfId="29" applyFont="1"/>
    <xf numFmtId="37" fontId="75" fillId="0" borderId="0" xfId="14" applyNumberFormat="1" applyFont="1"/>
    <xf numFmtId="0" fontId="5" fillId="0" borderId="0" xfId="25" applyFont="1"/>
    <xf numFmtId="10" fontId="106" fillId="0" borderId="0" xfId="0" applyNumberFormat="1" applyFont="1"/>
    <xf numFmtId="3" fontId="21" fillId="0" borderId="0" xfId="22" applyNumberFormat="1" applyFont="1"/>
    <xf numFmtId="0" fontId="19" fillId="0" borderId="0" xfId="21" applyFont="1" applyAlignment="1">
      <alignment horizontal="left"/>
    </xf>
    <xf numFmtId="0" fontId="89" fillId="0" borderId="15" xfId="21" applyFont="1" applyBorder="1"/>
    <xf numFmtId="169" fontId="108" fillId="0" borderId="0" xfId="36" applyNumberFormat="1" applyFont="1"/>
    <xf numFmtId="0" fontId="109" fillId="0" borderId="0" xfId="0" applyFont="1"/>
    <xf numFmtId="169" fontId="105" fillId="0" borderId="0" xfId="36" applyNumberFormat="1" applyFont="1" applyFill="1" applyBorder="1" applyAlignment="1"/>
    <xf numFmtId="10" fontId="109" fillId="0" borderId="0" xfId="36" applyNumberFormat="1" applyFont="1"/>
    <xf numFmtId="0" fontId="109" fillId="0" borderId="0" xfId="16" applyFont="1" applyAlignment="1">
      <alignment horizontal="center"/>
    </xf>
    <xf numFmtId="167" fontId="109" fillId="0" borderId="0" xfId="16" applyNumberFormat="1" applyFont="1" applyAlignment="1">
      <alignment horizontal="right"/>
    </xf>
    <xf numFmtId="3" fontId="109" fillId="0" borderId="0" xfId="0" applyNumberFormat="1" applyFont="1"/>
    <xf numFmtId="169" fontId="110" fillId="0" borderId="0" xfId="36" applyNumberFormat="1" applyFont="1" applyFill="1"/>
    <xf numFmtId="0" fontId="111" fillId="0" borderId="0" xfId="0" applyFont="1"/>
    <xf numFmtId="164" fontId="106" fillId="0" borderId="0" xfId="0" applyNumberFormat="1" applyFont="1" applyAlignment="1">
      <alignment horizontal="right"/>
    </xf>
    <xf numFmtId="168" fontId="109" fillId="0" borderId="0" xfId="0" applyNumberFormat="1" applyFont="1" applyAlignment="1">
      <alignment horizontal="right"/>
    </xf>
    <xf numFmtId="3" fontId="106" fillId="0" borderId="0" xfId="0" applyNumberFormat="1" applyFont="1" applyAlignment="1">
      <alignment horizontal="right"/>
    </xf>
    <xf numFmtId="168" fontId="111" fillId="0" borderId="0" xfId="0" applyNumberFormat="1" applyFont="1"/>
    <xf numFmtId="168" fontId="109" fillId="0" borderId="0" xfId="0" applyNumberFormat="1" applyFont="1"/>
    <xf numFmtId="10" fontId="109" fillId="0" borderId="0" xfId="36" applyNumberFormat="1" applyFont="1" applyAlignment="1"/>
    <xf numFmtId="164" fontId="111" fillId="0" borderId="0" xfId="0" applyNumberFormat="1" applyFont="1"/>
    <xf numFmtId="3" fontId="111" fillId="0" borderId="0" xfId="0" applyNumberFormat="1" applyFont="1"/>
    <xf numFmtId="0" fontId="112" fillId="2" borderId="0" xfId="0" applyFont="1" applyFill="1" applyAlignment="1">
      <alignment horizontal="center"/>
    </xf>
    <xf numFmtId="0" fontId="112" fillId="0" borderId="0" xfId="0" applyFont="1" applyAlignment="1">
      <alignment horizontal="center"/>
    </xf>
    <xf numFmtId="0" fontId="109" fillId="3" borderId="0" xfId="0" applyFont="1" applyFill="1" applyAlignment="1">
      <alignment horizontal="left"/>
    </xf>
    <xf numFmtId="164" fontId="109" fillId="0" borderId="0" xfId="0" applyNumberFormat="1" applyFont="1" applyAlignment="1">
      <alignment horizontal="right"/>
    </xf>
    <xf numFmtId="0" fontId="113" fillId="0" borderId="0" xfId="0" applyFont="1"/>
    <xf numFmtId="172" fontId="113" fillId="0" borderId="0" xfId="0" applyNumberFormat="1" applyFont="1"/>
    <xf numFmtId="169" fontId="52" fillId="0" borderId="0" xfId="36" applyNumberFormat="1" applyFont="1" applyAlignment="1"/>
    <xf numFmtId="0" fontId="12" fillId="0" borderId="0" xfId="21" applyFont="1" applyAlignment="1">
      <alignment horizontal="left"/>
    </xf>
    <xf numFmtId="0" fontId="5" fillId="0" borderId="0" xfId="21" applyFont="1" applyAlignment="1">
      <alignment horizontal="left"/>
    </xf>
    <xf numFmtId="167" fontId="6" fillId="0" borderId="0" xfId="12" applyNumberFormat="1"/>
    <xf numFmtId="4" fontId="75" fillId="0" borderId="0" xfId="0" applyNumberFormat="1" applyFont="1"/>
    <xf numFmtId="0" fontId="95" fillId="0" borderId="0" xfId="0" applyFont="1"/>
    <xf numFmtId="0" fontId="31" fillId="0" borderId="0" xfId="10" applyFont="1"/>
    <xf numFmtId="0" fontId="24" fillId="0" borderId="0" xfId="10" applyFont="1"/>
    <xf numFmtId="167" fontId="24" fillId="0" borderId="0" xfId="10" applyNumberFormat="1" applyFont="1"/>
    <xf numFmtId="167" fontId="24" fillId="0" borderId="0" xfId="3" applyNumberFormat="1" applyFont="1" applyFill="1"/>
    <xf numFmtId="10" fontId="24" fillId="0" borderId="0" xfId="38" applyNumberFormat="1" applyFont="1" applyFill="1"/>
    <xf numFmtId="167" fontId="24" fillId="0" borderId="0" xfId="6" applyNumberFormat="1" applyFont="1" applyFill="1" applyBorder="1"/>
    <xf numFmtId="0" fontId="24" fillId="0" borderId="0" xfId="10" applyFont="1" applyAlignment="1">
      <alignment horizontal="center"/>
    </xf>
    <xf numFmtId="169" fontId="24" fillId="0" borderId="0" xfId="10" applyNumberFormat="1" applyFont="1"/>
    <xf numFmtId="3" fontId="24" fillId="0" borderId="0" xfId="10" applyNumberFormat="1" applyFont="1"/>
    <xf numFmtId="3" fontId="24" fillId="0" borderId="0" xfId="3" applyNumberFormat="1" applyFont="1" applyFill="1"/>
    <xf numFmtId="3" fontId="24" fillId="0" borderId="0" xfId="6" applyNumberFormat="1" applyFont="1" applyFill="1" applyBorder="1"/>
    <xf numFmtId="5" fontId="24" fillId="0" borderId="0" xfId="6" applyNumberFormat="1" applyFont="1" applyFill="1" applyBorder="1"/>
    <xf numFmtId="3" fontId="24" fillId="0" borderId="0" xfId="6" applyNumberFormat="1" applyFont="1" applyFill="1"/>
    <xf numFmtId="0" fontId="26" fillId="0" borderId="0" xfId="10" applyFont="1"/>
    <xf numFmtId="167" fontId="24" fillId="0" borderId="0" xfId="6" applyNumberFormat="1" applyFont="1" applyFill="1"/>
    <xf numFmtId="42" fontId="26" fillId="0" borderId="0" xfId="10" applyNumberFormat="1" applyFont="1"/>
    <xf numFmtId="0" fontId="26" fillId="0" borderId="18" xfId="10" applyFont="1" applyBorder="1" applyAlignment="1">
      <alignment horizontal="left"/>
    </xf>
    <xf numFmtId="167" fontId="26" fillId="0" borderId="0" xfId="10" applyNumberFormat="1" applyFont="1"/>
    <xf numFmtId="0" fontId="78" fillId="0" borderId="0" xfId="10" applyFont="1"/>
    <xf numFmtId="0" fontId="115" fillId="0" borderId="18" xfId="10" applyFont="1" applyBorder="1" applyAlignment="1">
      <alignment horizontal="left"/>
    </xf>
    <xf numFmtId="0" fontId="26" fillId="0" borderId="0" xfId="10" applyFont="1" applyAlignment="1">
      <alignment horizontal="center"/>
    </xf>
    <xf numFmtId="0" fontId="26" fillId="0" borderId="41" xfId="10" applyFont="1" applyBorder="1" applyAlignment="1">
      <alignment horizontal="center"/>
    </xf>
    <xf numFmtId="3" fontId="24" fillId="0" borderId="0" xfId="9" applyNumberFormat="1" applyFont="1"/>
    <xf numFmtId="167" fontId="26" fillId="0" borderId="15" xfId="10" applyNumberFormat="1" applyFont="1" applyBorder="1"/>
    <xf numFmtId="178" fontId="24" fillId="0" borderId="0" xfId="41" applyNumberFormat="1" applyFont="1" applyFill="1"/>
    <xf numFmtId="178" fontId="24" fillId="0" borderId="0" xfId="10" applyNumberFormat="1" applyFont="1"/>
    <xf numFmtId="0" fontId="89" fillId="0" borderId="0" xfId="10" applyFont="1"/>
    <xf numFmtId="0" fontId="13" fillId="0" borderId="0" xfId="10"/>
    <xf numFmtId="0" fontId="18" fillId="0" borderId="0" xfId="10" applyFont="1" applyAlignment="1">
      <alignment horizontal="center"/>
    </xf>
    <xf numFmtId="0" fontId="13" fillId="0" borderId="0" xfId="10" applyAlignment="1">
      <alignment horizontal="center"/>
    </xf>
    <xf numFmtId="0" fontId="18" fillId="0" borderId="41" xfId="10" applyFont="1" applyBorder="1" applyAlignment="1">
      <alignment horizontal="center"/>
    </xf>
    <xf numFmtId="0" fontId="18" fillId="0" borderId="13" xfId="10" applyFont="1" applyBorder="1" applyAlignment="1">
      <alignment horizontal="center"/>
    </xf>
    <xf numFmtId="0" fontId="5" fillId="0" borderId="0" xfId="10" applyFont="1"/>
    <xf numFmtId="0" fontId="18" fillId="0" borderId="0" xfId="10" applyFont="1"/>
    <xf numFmtId="0" fontId="13" fillId="0" borderId="0" xfId="10" applyAlignment="1">
      <alignment horizontal="left"/>
    </xf>
    <xf numFmtId="167" fontId="13" fillId="0" borderId="0" xfId="10" applyNumberFormat="1"/>
    <xf numFmtId="168" fontId="13" fillId="0" borderId="0" xfId="10" applyNumberFormat="1"/>
    <xf numFmtId="3" fontId="5" fillId="0" borderId="0" xfId="10" applyNumberFormat="1" applyFont="1"/>
    <xf numFmtId="3" fontId="13" fillId="0" borderId="0" xfId="10" applyNumberFormat="1"/>
    <xf numFmtId="0" fontId="13" fillId="0" borderId="41" xfId="10" applyBorder="1" applyAlignment="1">
      <alignment horizontal="left"/>
    </xf>
    <xf numFmtId="169" fontId="105" fillId="0" borderId="0" xfId="36" applyNumberFormat="1" applyFont="1" applyFill="1" applyAlignment="1"/>
    <xf numFmtId="169" fontId="109" fillId="0" borderId="0" xfId="36" applyNumberFormat="1" applyFont="1" applyFill="1" applyAlignment="1"/>
    <xf numFmtId="0" fontId="109" fillId="0" borderId="0" xfId="10" applyFont="1"/>
    <xf numFmtId="0" fontId="107" fillId="0" borderId="0" xfId="10" applyFont="1"/>
    <xf numFmtId="0" fontId="119" fillId="0" borderId="0" xfId="0" applyFont="1"/>
    <xf numFmtId="0" fontId="96" fillId="0" borderId="0" xfId="29" applyFont="1"/>
    <xf numFmtId="169" fontId="52" fillId="0" borderId="0" xfId="36" applyNumberFormat="1" applyFont="1" applyFill="1" applyAlignment="1"/>
    <xf numFmtId="3" fontId="5" fillId="0" borderId="0" xfId="0" applyNumberFormat="1" applyFont="1" applyAlignment="1">
      <alignment horizontal="right"/>
    </xf>
    <xf numFmtId="10" fontId="121" fillId="0" borderId="0" xfId="0" applyNumberFormat="1" applyFont="1"/>
    <xf numFmtId="10" fontId="123" fillId="0" borderId="0" xfId="0" applyNumberFormat="1" applyFont="1"/>
    <xf numFmtId="10" fontId="98" fillId="0" borderId="0" xfId="0" applyNumberFormat="1" applyFont="1"/>
    <xf numFmtId="169" fontId="98" fillId="0" borderId="0" xfId="0" applyNumberFormat="1" applyFont="1" applyAlignment="1">
      <alignment horizontal="right"/>
    </xf>
    <xf numFmtId="0" fontId="96" fillId="0" borderId="0" xfId="0" applyFont="1" applyAlignment="1">
      <alignment vertical="center"/>
    </xf>
    <xf numFmtId="0" fontId="18" fillId="0" borderId="41" xfId="11" applyFont="1" applyBorder="1" applyAlignment="1">
      <alignment horizontal="center"/>
    </xf>
    <xf numFmtId="169" fontId="121" fillId="0" borderId="0" xfId="36" applyNumberFormat="1" applyFont="1"/>
    <xf numFmtId="178" fontId="124" fillId="0" borderId="0" xfId="41" applyNumberFormat="1" applyFont="1" applyFill="1"/>
    <xf numFmtId="10" fontId="104" fillId="0" borderId="0" xfId="0" applyNumberFormat="1" applyFont="1"/>
    <xf numFmtId="9" fontId="52" fillId="0" borderId="0" xfId="36" applyFont="1" applyAlignment="1"/>
    <xf numFmtId="169" fontId="125" fillId="0" borderId="0" xfId="36" applyNumberFormat="1" applyFont="1" applyFill="1"/>
    <xf numFmtId="3" fontId="8" fillId="0" borderId="0" xfId="35" applyNumberFormat="1" applyFont="1"/>
    <xf numFmtId="0" fontId="26" fillId="0" borderId="0" xfId="10" applyFont="1" applyAlignment="1">
      <alignment horizontal="left"/>
    </xf>
    <xf numFmtId="37" fontId="33" fillId="0" borderId="0" xfId="17" applyNumberFormat="1" applyFont="1"/>
    <xf numFmtId="0" fontId="5" fillId="0" borderId="0" xfId="0" applyFont="1" applyAlignment="1">
      <alignment wrapText="1"/>
    </xf>
    <xf numFmtId="0" fontId="24" fillId="0" borderId="0" xfId="0" applyFont="1" applyAlignment="1">
      <alignment horizontal="center"/>
    </xf>
    <xf numFmtId="0" fontId="24" fillId="0" borderId="0" xfId="9" applyFont="1" applyAlignment="1">
      <alignment horizontal="center"/>
    </xf>
    <xf numFmtId="0" fontId="26" fillId="0" borderId="15" xfId="10" applyFont="1" applyBorder="1" applyAlignment="1">
      <alignment horizontal="center"/>
    </xf>
    <xf numFmtId="0" fontId="24" fillId="0" borderId="43" xfId="10" applyFont="1" applyBorder="1" applyAlignment="1">
      <alignment horizontal="center"/>
    </xf>
    <xf numFmtId="0" fontId="24" fillId="0" borderId="15" xfId="10" applyFont="1" applyBorder="1" applyAlignment="1">
      <alignment horizontal="center"/>
    </xf>
    <xf numFmtId="0" fontId="116" fillId="0" borderId="0" xfId="10" applyFont="1" applyAlignment="1">
      <alignment horizontal="center"/>
    </xf>
    <xf numFmtId="3" fontId="24" fillId="0" borderId="0" xfId="0" applyNumberFormat="1" applyFont="1"/>
    <xf numFmtId="5" fontId="24" fillId="0" borderId="0" xfId="6" applyNumberFormat="1" applyFont="1" applyFill="1"/>
    <xf numFmtId="42" fontId="26" fillId="0" borderId="15" xfId="10" applyNumberFormat="1" applyFont="1" applyBorder="1" applyAlignment="1">
      <alignment horizontal="center"/>
    </xf>
    <xf numFmtId="42" fontId="26" fillId="0" borderId="0" xfId="10" applyNumberFormat="1" applyFont="1" applyAlignment="1">
      <alignment horizontal="center"/>
    </xf>
    <xf numFmtId="0" fontId="24" fillId="0" borderId="43" xfId="10" applyFont="1" applyBorder="1"/>
    <xf numFmtId="42" fontId="26" fillId="0" borderId="15" xfId="10" applyNumberFormat="1" applyFont="1" applyBorder="1"/>
    <xf numFmtId="0" fontId="24" fillId="0" borderId="15" xfId="10" applyFont="1" applyBorder="1"/>
    <xf numFmtId="167" fontId="24" fillId="0" borderId="15" xfId="10" applyNumberFormat="1" applyFont="1" applyBorder="1"/>
    <xf numFmtId="167" fontId="92" fillId="0" borderId="0" xfId="10" applyNumberFormat="1" applyFont="1"/>
    <xf numFmtId="9" fontId="78" fillId="0" borderId="0" xfId="36" applyFont="1" applyFill="1"/>
    <xf numFmtId="167" fontId="124" fillId="0" borderId="0" xfId="10" applyNumberFormat="1" applyFont="1"/>
    <xf numFmtId="178" fontId="78" fillId="0" borderId="0" xfId="41" applyNumberFormat="1" applyFont="1" applyFill="1"/>
    <xf numFmtId="178" fontId="75" fillId="0" borderId="0" xfId="41" applyNumberFormat="1" applyFont="1" applyFill="1" applyAlignment="1"/>
    <xf numFmtId="2" fontId="75" fillId="0" borderId="0" xfId="10" applyNumberFormat="1" applyFont="1"/>
    <xf numFmtId="3" fontId="75" fillId="0" borderId="0" xfId="10" applyNumberFormat="1" applyFont="1"/>
    <xf numFmtId="170" fontId="75" fillId="0" borderId="0" xfId="10" applyNumberFormat="1" applyFont="1"/>
    <xf numFmtId="4" fontId="75" fillId="0" borderId="0" xfId="10" applyNumberFormat="1" applyFont="1"/>
    <xf numFmtId="0" fontId="75" fillId="0" borderId="0" xfId="10" applyFont="1"/>
    <xf numFmtId="0" fontId="5" fillId="4" borderId="0" xfId="33" applyFont="1" applyFill="1"/>
    <xf numFmtId="0" fontId="73" fillId="0" borderId="0" xfId="8" applyFont="1" applyAlignment="1">
      <alignment horizontal="left"/>
    </xf>
    <xf numFmtId="169" fontId="52" fillId="0" borderId="0" xfId="36" applyNumberFormat="1" applyFont="1" applyFill="1" applyBorder="1" applyAlignment="1">
      <alignment vertical="center"/>
    </xf>
    <xf numFmtId="10" fontId="87" fillId="0" borderId="0" xfId="38" applyNumberFormat="1" applyFont="1" applyFill="1"/>
    <xf numFmtId="10" fontId="87" fillId="0" borderId="0" xfId="22" applyNumberFormat="1" applyFont="1"/>
    <xf numFmtId="169" fontId="127" fillId="0" borderId="0" xfId="36" applyNumberFormat="1" applyFont="1"/>
    <xf numFmtId="0" fontId="53" fillId="0" borderId="0" xfId="16" applyFont="1" applyAlignment="1">
      <alignment horizontal="center"/>
    </xf>
    <xf numFmtId="169" fontId="128" fillId="0" borderId="0" xfId="36" applyNumberFormat="1" applyFont="1" applyProtection="1"/>
    <xf numFmtId="0" fontId="53" fillId="0" borderId="0" xfId="16" applyFont="1"/>
    <xf numFmtId="10" fontId="53" fillId="0" borderId="0" xfId="36" applyNumberFormat="1" applyFont="1"/>
    <xf numFmtId="4" fontId="5" fillId="0" borderId="0" xfId="0" applyNumberFormat="1" applyFont="1"/>
    <xf numFmtId="0" fontId="129" fillId="0" borderId="0" xfId="0" applyFont="1"/>
    <xf numFmtId="0" fontId="96" fillId="0" borderId="0" xfId="0" applyFont="1" applyAlignment="1">
      <alignment horizontal="center"/>
    </xf>
    <xf numFmtId="0" fontId="129" fillId="0" borderId="0" xfId="0" applyFont="1" applyAlignment="1">
      <alignment horizontal="center"/>
    </xf>
    <xf numFmtId="3" fontId="5" fillId="0" borderId="0" xfId="22" applyNumberFormat="1" applyFont="1" applyAlignment="1">
      <alignment horizontal="right" vertical="center"/>
    </xf>
    <xf numFmtId="0" fontId="8" fillId="0" borderId="15" xfId="35" applyFont="1" applyBorder="1" applyAlignment="1">
      <alignment horizontal="centerContinuous" wrapText="1"/>
    </xf>
    <xf numFmtId="0" fontId="8" fillId="0" borderId="15" xfId="35" applyFont="1" applyBorder="1" applyAlignment="1">
      <alignment horizontal="centerContinuous"/>
    </xf>
    <xf numFmtId="0" fontId="8" fillId="0" borderId="15" xfId="35" applyFont="1" applyBorder="1" applyAlignment="1">
      <alignment horizontal="right" wrapText="1"/>
    </xf>
    <xf numFmtId="3" fontId="13" fillId="0" borderId="0" xfId="22" applyNumberFormat="1" applyFont="1" applyAlignment="1">
      <alignment horizontal="right"/>
    </xf>
    <xf numFmtId="0" fontId="13" fillId="0" borderId="0" xfId="35" applyAlignment="1">
      <alignment horizontal="center" vertical="top"/>
    </xf>
    <xf numFmtId="3" fontId="75" fillId="0" borderId="0" xfId="22" applyNumberFormat="1" applyFont="1" applyAlignment="1">
      <alignment horizontal="right" vertical="top"/>
    </xf>
    <xf numFmtId="0" fontId="90" fillId="0" borderId="0" xfId="11" applyFont="1"/>
    <xf numFmtId="164" fontId="130" fillId="0" borderId="0" xfId="11" applyNumberFormat="1" applyFont="1"/>
    <xf numFmtId="3" fontId="5" fillId="0" borderId="15" xfId="11" applyNumberFormat="1" applyFont="1" applyBorder="1"/>
    <xf numFmtId="167" fontId="5" fillId="0" borderId="27" xfId="11" applyNumberFormat="1" applyFont="1" applyBorder="1"/>
    <xf numFmtId="3" fontId="5" fillId="0" borderId="28" xfId="11" applyNumberFormat="1" applyFont="1" applyBorder="1"/>
    <xf numFmtId="3" fontId="5" fillId="0" borderId="27" xfId="11" applyNumberFormat="1" applyFont="1" applyBorder="1"/>
    <xf numFmtId="3" fontId="75" fillId="0" borderId="15" xfId="11" applyNumberFormat="1" applyFont="1" applyBorder="1"/>
    <xf numFmtId="0" fontId="73" fillId="0" borderId="0" xfId="11" applyFont="1"/>
    <xf numFmtId="3" fontId="73" fillId="0" borderId="0" xfId="11" applyNumberFormat="1" applyFont="1"/>
    <xf numFmtId="3" fontId="26" fillId="0" borderId="0" xfId="11" applyNumberFormat="1" applyFont="1"/>
    <xf numFmtId="167" fontId="26" fillId="0" borderId="0" xfId="11" applyNumberFormat="1" applyFont="1"/>
    <xf numFmtId="3" fontId="41" fillId="0" borderId="0" xfId="23" applyNumberFormat="1" applyFont="1"/>
    <xf numFmtId="3" fontId="75" fillId="0" borderId="0" xfId="23" applyNumberFormat="1" applyFont="1"/>
    <xf numFmtId="167" fontId="75" fillId="0" borderId="0" xfId="11" applyNumberFormat="1" applyFont="1"/>
    <xf numFmtId="0" fontId="18" fillId="0" borderId="0" xfId="20" applyFont="1" applyAlignment="1">
      <alignment horizontal="center"/>
    </xf>
    <xf numFmtId="0" fontId="5" fillId="0" borderId="0" xfId="20" applyFont="1" applyAlignment="1">
      <alignment horizontal="right"/>
    </xf>
    <xf numFmtId="173" fontId="5" fillId="0" borderId="0" xfId="19" applyNumberFormat="1" applyFont="1"/>
    <xf numFmtId="0" fontId="132" fillId="0" borderId="0" xfId="25" applyFont="1"/>
    <xf numFmtId="0" fontId="133" fillId="0" borderId="0" xfId="25" applyFont="1"/>
    <xf numFmtId="169" fontId="96" fillId="0" borderId="0" xfId="36" applyNumberFormat="1" applyFont="1"/>
    <xf numFmtId="0" fontId="13" fillId="0" borderId="0" xfId="14" applyFont="1"/>
    <xf numFmtId="0" fontId="29" fillId="0" borderId="0" xfId="14" applyFont="1" applyAlignment="1">
      <alignment horizontal="left"/>
    </xf>
    <xf numFmtId="9" fontId="115" fillId="0" borderId="0" xfId="14" applyNumberFormat="1" applyFont="1"/>
    <xf numFmtId="0" fontId="81" fillId="0" borderId="43" xfId="13" applyFont="1" applyBorder="1"/>
    <xf numFmtId="9" fontId="81" fillId="0" borderId="0" xfId="36" applyFont="1" applyFill="1"/>
    <xf numFmtId="9" fontId="135" fillId="0" borderId="0" xfId="14" applyNumberFormat="1" applyFont="1"/>
    <xf numFmtId="0" fontId="132" fillId="0" borderId="0" xfId="13" applyFont="1"/>
    <xf numFmtId="167" fontId="25" fillId="4" borderId="0" xfId="17" applyNumberFormat="1" applyFont="1" applyFill="1"/>
    <xf numFmtId="0" fontId="132" fillId="4" borderId="0" xfId="33" applyFont="1" applyFill="1"/>
    <xf numFmtId="44" fontId="132" fillId="4" borderId="0" xfId="4" applyFont="1" applyFill="1"/>
    <xf numFmtId="3" fontId="140" fillId="4" borderId="0" xfId="32" applyNumberFormat="1" applyFont="1" applyFill="1"/>
    <xf numFmtId="164" fontId="140" fillId="4" borderId="0" xfId="32" applyNumberFormat="1" applyFont="1" applyFill="1" applyAlignment="1">
      <alignment horizontal="right"/>
    </xf>
    <xf numFmtId="0" fontId="134" fillId="4" borderId="0" xfId="32" applyFont="1" applyFill="1"/>
    <xf numFmtId="167" fontId="134" fillId="4" borderId="0" xfId="38" applyNumberFormat="1" applyFont="1" applyFill="1"/>
    <xf numFmtId="3" fontId="25" fillId="4" borderId="14" xfId="32" applyNumberFormat="1" applyFont="1" applyFill="1" applyBorder="1" applyAlignment="1">
      <alignment horizontal="left"/>
    </xf>
    <xf numFmtId="0" fontId="18" fillId="4" borderId="14" xfId="32" applyFont="1" applyFill="1" applyBorder="1" applyAlignment="1">
      <alignment horizontal="right" wrapText="1"/>
    </xf>
    <xf numFmtId="167" fontId="5" fillId="4" borderId="0" xfId="32" applyNumberFormat="1" applyFont="1" applyFill="1"/>
    <xf numFmtId="3" fontId="5" fillId="4" borderId="0" xfId="32" applyNumberFormat="1" applyFont="1" applyFill="1"/>
    <xf numFmtId="179" fontId="5" fillId="0" borderId="0" xfId="0" applyNumberFormat="1" applyFont="1"/>
    <xf numFmtId="0" fontId="74" fillId="0" borderId="19" xfId="84" applyFont="1" applyBorder="1" applyAlignment="1">
      <alignment horizontal="centerContinuous" vertical="center" wrapText="1"/>
    </xf>
    <xf numFmtId="0" fontId="98" fillId="0" borderId="0" xfId="8" applyFont="1"/>
    <xf numFmtId="0" fontId="98" fillId="0" borderId="0" xfId="8" applyFont="1" applyAlignment="1">
      <alignment horizontal="left"/>
    </xf>
    <xf numFmtId="0" fontId="129" fillId="0" borderId="0" xfId="8" applyFont="1"/>
    <xf numFmtId="0" fontId="129" fillId="0" borderId="0" xfId="8" applyFont="1" applyAlignment="1">
      <alignment horizontal="center"/>
    </xf>
    <xf numFmtId="0" fontId="145" fillId="0" borderId="0" xfId="8" applyFont="1"/>
    <xf numFmtId="2" fontId="98" fillId="0" borderId="0" xfId="8" applyNumberFormat="1" applyFont="1"/>
    <xf numFmtId="172" fontId="98" fillId="0" borderId="0" xfId="8" applyNumberFormat="1" applyFont="1"/>
    <xf numFmtId="0" fontId="98" fillId="0" borderId="0" xfId="8" applyFont="1" applyAlignment="1">
      <alignment horizontal="center"/>
    </xf>
    <xf numFmtId="3" fontId="98" fillId="0" borderId="0" xfId="8" applyNumberFormat="1" applyFont="1"/>
    <xf numFmtId="10" fontId="98" fillId="0" borderId="0" xfId="38" applyNumberFormat="1" applyFont="1" applyFill="1"/>
    <xf numFmtId="166" fontId="98" fillId="0" borderId="0" xfId="8" applyNumberFormat="1" applyFont="1" applyAlignment="1">
      <alignment horizontal="left"/>
    </xf>
    <xf numFmtId="10" fontId="131" fillId="0" borderId="0" xfId="38" applyNumberFormat="1" applyFont="1" applyFill="1"/>
    <xf numFmtId="0" fontId="126" fillId="0" borderId="0" xfId="0" applyFont="1" applyAlignment="1">
      <alignment horizontal="center"/>
    </xf>
    <xf numFmtId="0" fontId="121" fillId="0" borderId="0" xfId="16" applyFont="1"/>
    <xf numFmtId="7" fontId="121" fillId="0" borderId="0" xfId="16" applyNumberFormat="1" applyFont="1"/>
    <xf numFmtId="10" fontId="149" fillId="0" borderId="0" xfId="36" applyNumberFormat="1" applyFont="1"/>
    <xf numFmtId="10" fontId="129" fillId="0" borderId="0" xfId="0" applyNumberFormat="1" applyFont="1" applyAlignment="1">
      <alignment horizontal="center"/>
    </xf>
    <xf numFmtId="10" fontId="98" fillId="0" borderId="0" xfId="0" applyNumberFormat="1" applyFont="1" applyAlignment="1">
      <alignment horizontal="center"/>
    </xf>
    <xf numFmtId="2" fontId="96" fillId="0" borderId="0" xfId="0" applyNumberFormat="1" applyFont="1" applyAlignment="1">
      <alignment horizontal="center"/>
    </xf>
    <xf numFmtId="10" fontId="96" fillId="0" borderId="0" xfId="0" applyNumberFormat="1" applyFont="1" applyAlignment="1">
      <alignment horizontal="center"/>
    </xf>
    <xf numFmtId="169" fontId="96" fillId="0" borderId="0" xfId="0" applyNumberFormat="1" applyFont="1" applyAlignment="1">
      <alignment horizontal="right"/>
    </xf>
    <xf numFmtId="169" fontId="96" fillId="0" borderId="0" xfId="36" applyNumberFormat="1" applyFont="1" applyAlignment="1">
      <alignment horizontal="right"/>
    </xf>
    <xf numFmtId="0" fontId="150" fillId="0" borderId="0" xfId="0" applyFont="1"/>
    <xf numFmtId="2" fontId="150" fillId="0" borderId="0" xfId="0" applyNumberFormat="1" applyFont="1"/>
    <xf numFmtId="2" fontId="96" fillId="0" borderId="0" xfId="0" applyNumberFormat="1" applyFont="1"/>
    <xf numFmtId="10" fontId="96" fillId="0" borderId="0" xfId="0" applyNumberFormat="1" applyFont="1"/>
    <xf numFmtId="0" fontId="96" fillId="0" borderId="0" xfId="21" applyFont="1" applyAlignment="1">
      <alignment horizontal="left"/>
    </xf>
    <xf numFmtId="3" fontId="151" fillId="0" borderId="0" xfId="16" quotePrefix="1" applyNumberFormat="1" applyFont="1" applyAlignment="1">
      <alignment horizontal="center"/>
    </xf>
    <xf numFmtId="37" fontId="151" fillId="0" borderId="0" xfId="16" quotePrefix="1" applyNumberFormat="1" applyFont="1"/>
    <xf numFmtId="5" fontId="96" fillId="0" borderId="0" xfId="16" applyNumberFormat="1" applyFont="1"/>
    <xf numFmtId="37" fontId="96" fillId="0" borderId="0" xfId="16" applyNumberFormat="1" applyFont="1"/>
    <xf numFmtId="37" fontId="151" fillId="0" borderId="0" xfId="16" applyNumberFormat="1" applyFont="1"/>
    <xf numFmtId="0" fontId="86" fillId="3" borderId="9" xfId="16" applyFont="1" applyFill="1" applyBorder="1" applyAlignment="1">
      <alignment horizontal="center" wrapText="1"/>
    </xf>
    <xf numFmtId="0" fontId="26" fillId="0" borderId="9" xfId="16" applyFont="1" applyBorder="1" applyAlignment="1">
      <alignment horizontal="center" wrapText="1"/>
    </xf>
    <xf numFmtId="3" fontId="5" fillId="0" borderId="0" xfId="36" applyNumberFormat="1" applyFont="1" applyFill="1" applyBorder="1" applyAlignment="1"/>
    <xf numFmtId="3" fontId="96" fillId="0" borderId="0" xfId="36" applyNumberFormat="1" applyFont="1" applyFill="1"/>
    <xf numFmtId="5" fontId="5" fillId="0" borderId="0" xfId="16" applyNumberFormat="1" applyFont="1"/>
    <xf numFmtId="0" fontId="153" fillId="0" borderId="0" xfId="16" applyFont="1" applyAlignment="1">
      <alignment wrapText="1"/>
    </xf>
    <xf numFmtId="3" fontId="147" fillId="0" borderId="0" xfId="16" applyNumberFormat="1" applyFont="1"/>
    <xf numFmtId="0" fontId="147" fillId="0" borderId="0" xfId="16" applyFont="1"/>
    <xf numFmtId="7" fontId="147" fillId="0" borderId="0" xfId="16" applyNumberFormat="1" applyFont="1"/>
    <xf numFmtId="169" fontId="147" fillId="0" borderId="0" xfId="36" applyNumberFormat="1" applyFont="1" applyFill="1" applyAlignment="1">
      <alignment horizontal="center"/>
    </xf>
    <xf numFmtId="0" fontId="155" fillId="0" borderId="0" xfId="16" applyFont="1" applyAlignment="1">
      <alignment horizontal="center" wrapText="1"/>
    </xf>
    <xf numFmtId="3" fontId="155" fillId="0" borderId="0" xfId="16" applyNumberFormat="1" applyFont="1" applyAlignment="1">
      <alignment horizontal="center" wrapText="1"/>
    </xf>
    <xf numFmtId="1" fontId="147" fillId="0" borderId="0" xfId="16" applyNumberFormat="1" applyFont="1"/>
    <xf numFmtId="3" fontId="147" fillId="0" borderId="0" xfId="16" applyNumberFormat="1" applyFont="1" applyAlignment="1">
      <alignment horizontal="centerContinuous"/>
    </xf>
    <xf numFmtId="3" fontId="156" fillId="0" borderId="0" xfId="16" applyNumberFormat="1" applyFont="1" applyAlignment="1">
      <alignment horizontal="centerContinuous"/>
    </xf>
    <xf numFmtId="3" fontId="132" fillId="0" borderId="0" xfId="16" applyNumberFormat="1" applyFont="1"/>
    <xf numFmtId="3" fontId="137" fillId="0" borderId="44" xfId="16" applyNumberFormat="1" applyFont="1" applyBorder="1" applyAlignment="1">
      <alignment horizontal="centerContinuous"/>
    </xf>
    <xf numFmtId="3" fontId="132" fillId="0" borderId="44" xfId="16" applyNumberFormat="1" applyFont="1" applyBorder="1" applyAlignment="1">
      <alignment horizontal="centerContinuous"/>
    </xf>
    <xf numFmtId="0" fontId="132" fillId="0" borderId="0" xfId="16" applyFont="1"/>
    <xf numFmtId="3" fontId="157" fillId="0" borderId="0" xfId="16" applyNumberFormat="1" applyFont="1" applyAlignment="1">
      <alignment horizontal="center" wrapText="1"/>
    </xf>
    <xf numFmtId="0" fontId="157" fillId="0" borderId="0" xfId="16" applyFont="1" applyAlignment="1">
      <alignment horizontal="center" wrapText="1"/>
    </xf>
    <xf numFmtId="1" fontId="132" fillId="0" borderId="0" xfId="16" applyNumberFormat="1" applyFont="1"/>
    <xf numFmtId="169" fontId="132" fillId="0" borderId="0" xfId="36" applyNumberFormat="1" applyFont="1" applyFill="1" applyBorder="1" applyAlignment="1">
      <alignment horizontal="center"/>
    </xf>
    <xf numFmtId="0" fontId="8" fillId="0" borderId="0" xfId="14" applyFont="1" applyAlignment="1">
      <alignment horizontal="left"/>
    </xf>
    <xf numFmtId="0" fontId="18" fillId="0" borderId="0" xfId="14" applyFont="1" applyAlignment="1">
      <alignment horizontal="left"/>
    </xf>
    <xf numFmtId="37" fontId="18" fillId="0" borderId="43" xfId="14" applyNumberFormat="1" applyFont="1" applyBorder="1"/>
    <xf numFmtId="37" fontId="18" fillId="0" borderId="43" xfId="14" applyNumberFormat="1" applyFont="1" applyBorder="1" applyAlignment="1">
      <alignment horizontal="center"/>
    </xf>
    <xf numFmtId="3" fontId="96" fillId="0" borderId="41" xfId="10" applyNumberFormat="1" applyFont="1" applyBorder="1"/>
    <xf numFmtId="3" fontId="151" fillId="0" borderId="41" xfId="10" applyNumberFormat="1" applyFont="1" applyBorder="1"/>
    <xf numFmtId="168" fontId="96" fillId="0" borderId="0" xfId="10" applyNumberFormat="1" applyFont="1"/>
    <xf numFmtId="4" fontId="96" fillId="0" borderId="0" xfId="10" applyNumberFormat="1" applyFont="1"/>
    <xf numFmtId="4" fontId="96" fillId="0" borderId="41" xfId="10" applyNumberFormat="1" applyFont="1" applyBorder="1"/>
    <xf numFmtId="0" fontId="5" fillId="0" borderId="0" xfId="87"/>
    <xf numFmtId="0" fontId="5" fillId="0" borderId="0" xfId="87" applyAlignment="1">
      <alignment horizontal="center"/>
    </xf>
    <xf numFmtId="167" fontId="5" fillId="0" borderId="0" xfId="87" applyNumberFormat="1"/>
    <xf numFmtId="168" fontId="5" fillId="0" borderId="0" xfId="87" applyNumberFormat="1"/>
    <xf numFmtId="3" fontId="5" fillId="0" borderId="0" xfId="87" applyNumberFormat="1"/>
    <xf numFmtId="0" fontId="107" fillId="0" borderId="0" xfId="87" applyFont="1"/>
    <xf numFmtId="178" fontId="75" fillId="0" borderId="0" xfId="88" applyNumberFormat="1" applyFont="1" applyFill="1" applyAlignment="1"/>
    <xf numFmtId="3" fontId="75" fillId="0" borderId="0" xfId="87" applyNumberFormat="1" applyFont="1"/>
    <xf numFmtId="0" fontId="24" fillId="0" borderId="0" xfId="87" applyFont="1"/>
    <xf numFmtId="0" fontId="24" fillId="0" borderId="0" xfId="87" applyFont="1" applyAlignment="1">
      <alignment horizontal="center"/>
    </xf>
    <xf numFmtId="0" fontId="26" fillId="0" borderId="18" xfId="87" applyFont="1" applyBorder="1" applyAlignment="1">
      <alignment horizontal="left"/>
    </xf>
    <xf numFmtId="0" fontId="115" fillId="0" borderId="18" xfId="87" applyFont="1" applyBorder="1" applyAlignment="1">
      <alignment horizontal="left"/>
    </xf>
    <xf numFmtId="0" fontId="26" fillId="0" borderId="0" xfId="87" applyFont="1" applyAlignment="1">
      <alignment horizontal="center"/>
    </xf>
    <xf numFmtId="167" fontId="24" fillId="0" borderId="0" xfId="87" applyNumberFormat="1" applyFont="1"/>
    <xf numFmtId="3" fontId="24" fillId="0" borderId="0" xfId="87" applyNumberFormat="1" applyFont="1"/>
    <xf numFmtId="3" fontId="158" fillId="0" borderId="0" xfId="87" applyNumberFormat="1" applyFont="1"/>
    <xf numFmtId="3" fontId="24" fillId="0" borderId="0" xfId="90" applyNumberFormat="1" applyFont="1" applyFill="1"/>
    <xf numFmtId="3" fontId="24" fillId="0" borderId="0" xfId="91" applyNumberFormat="1" applyFont="1"/>
    <xf numFmtId="0" fontId="24" fillId="0" borderId="0" xfId="91" applyFont="1" applyAlignment="1">
      <alignment horizontal="center"/>
    </xf>
    <xf numFmtId="5" fontId="24" fillId="0" borderId="0" xfId="90" applyNumberFormat="1" applyFont="1" applyFill="1"/>
    <xf numFmtId="0" fontId="26" fillId="0" borderId="15" xfId="87" applyFont="1" applyBorder="1" applyAlignment="1">
      <alignment horizontal="center"/>
    </xf>
    <xf numFmtId="42" fontId="26" fillId="0" borderId="0" xfId="87" applyNumberFormat="1" applyFont="1"/>
    <xf numFmtId="0" fontId="26" fillId="0" borderId="0" xfId="87" applyFont="1"/>
    <xf numFmtId="0" fontId="158" fillId="0" borderId="0" xfId="87" applyFont="1" applyAlignment="1">
      <alignment horizontal="center"/>
    </xf>
    <xf numFmtId="0" fontId="78" fillId="0" borderId="0" xfId="87" applyFont="1"/>
    <xf numFmtId="167" fontId="24" fillId="0" borderId="15" xfId="87" applyNumberFormat="1" applyFont="1" applyBorder="1"/>
    <xf numFmtId="0" fontId="24" fillId="0" borderId="15" xfId="87" applyFont="1" applyBorder="1" applyAlignment="1">
      <alignment horizontal="center"/>
    </xf>
    <xf numFmtId="178" fontId="24" fillId="0" borderId="0" xfId="88" applyNumberFormat="1" applyFont="1" applyFill="1"/>
    <xf numFmtId="178" fontId="24" fillId="0" borderId="0" xfId="87" applyNumberFormat="1" applyFont="1"/>
    <xf numFmtId="0" fontId="18" fillId="0" borderId="0" xfId="87" applyFont="1"/>
    <xf numFmtId="10" fontId="24" fillId="0" borderId="0" xfId="87" applyNumberFormat="1" applyFont="1"/>
    <xf numFmtId="167" fontId="26" fillId="0" borderId="0" xfId="87" applyNumberFormat="1" applyFont="1"/>
    <xf numFmtId="3" fontId="26" fillId="0" borderId="0" xfId="87" applyNumberFormat="1" applyFont="1"/>
    <xf numFmtId="0" fontId="26" fillId="0" borderId="0" xfId="87" applyFont="1" applyAlignment="1">
      <alignment horizontal="left"/>
    </xf>
    <xf numFmtId="10" fontId="26" fillId="0" borderId="0" xfId="89" applyNumberFormat="1" applyFont="1" applyFill="1" applyAlignment="1">
      <alignment horizontal="left"/>
    </xf>
    <xf numFmtId="10" fontId="26" fillId="0" borderId="0" xfId="89" applyNumberFormat="1" applyFont="1" applyFill="1" applyBorder="1" applyAlignment="1">
      <alignment horizontal="left"/>
    </xf>
    <xf numFmtId="0" fontId="24" fillId="0" borderId="0" xfId="87" applyFont="1" applyAlignment="1">
      <alignment horizontal="right"/>
    </xf>
    <xf numFmtId="0" fontId="24" fillId="0" borderId="0" xfId="91" applyFont="1"/>
    <xf numFmtId="0" fontId="24" fillId="0" borderId="0" xfId="91" applyFont="1" applyAlignment="1">
      <alignment horizontal="left"/>
    </xf>
    <xf numFmtId="3" fontId="24" fillId="0" borderId="18" xfId="87" applyNumberFormat="1" applyFont="1" applyBorder="1"/>
    <xf numFmtId="167" fontId="118" fillId="0" borderId="0" xfId="87" applyNumberFormat="1" applyFont="1"/>
    <xf numFmtId="10" fontId="24" fillId="0" borderId="0" xfId="89" applyNumberFormat="1" applyFont="1" applyFill="1" applyAlignment="1">
      <alignment horizontal="left"/>
    </xf>
    <xf numFmtId="0" fontId="116" fillId="0" borderId="0" xfId="87" applyFont="1"/>
    <xf numFmtId="4" fontId="96" fillId="0" borderId="0" xfId="87" applyNumberFormat="1" applyFont="1"/>
    <xf numFmtId="0" fontId="16" fillId="0" borderId="0" xfId="0" applyFont="1"/>
    <xf numFmtId="0" fontId="106" fillId="0" borderId="0" xfId="0" applyFont="1"/>
    <xf numFmtId="0" fontId="120" fillId="0" borderId="0" xfId="0" applyFont="1" applyAlignment="1">
      <alignment horizontal="center"/>
    </xf>
    <xf numFmtId="164" fontId="6" fillId="0" borderId="0" xfId="0" applyNumberFormat="1" applyFont="1"/>
    <xf numFmtId="9" fontId="122" fillId="0" borderId="0" xfId="36" applyFont="1" applyFill="1" applyAlignment="1"/>
    <xf numFmtId="3" fontId="6" fillId="0" borderId="0" xfId="0" applyNumberFormat="1" applyFont="1"/>
    <xf numFmtId="3" fontId="77" fillId="0" borderId="0" xfId="0" applyNumberFormat="1" applyFont="1"/>
    <xf numFmtId="164" fontId="121" fillId="0" borderId="0" xfId="0" applyNumberFormat="1" applyFont="1"/>
    <xf numFmtId="0" fontId="9" fillId="0" borderId="2" xfId="0" applyFont="1" applyBorder="1"/>
    <xf numFmtId="165" fontId="121" fillId="0" borderId="0" xfId="0" applyNumberFormat="1" applyFont="1"/>
    <xf numFmtId="0" fontId="132" fillId="0" borderId="0" xfId="0" applyFont="1"/>
    <xf numFmtId="0" fontId="132" fillId="0" borderId="0" xfId="84" applyFont="1"/>
    <xf numFmtId="0" fontId="133" fillId="0" borderId="0" xfId="0" applyFont="1" applyAlignment="1">
      <alignment vertical="top" wrapText="1"/>
    </xf>
    <xf numFmtId="0" fontId="132" fillId="0" borderId="0" xfId="0" applyFont="1" applyAlignment="1">
      <alignment vertical="top" wrapText="1"/>
    </xf>
    <xf numFmtId="0" fontId="25" fillId="0" borderId="19" xfId="30" applyFont="1" applyBorder="1" applyAlignment="1">
      <alignment horizontal="center"/>
    </xf>
    <xf numFmtId="0" fontId="159" fillId="0" borderId="0" xfId="87" applyFont="1"/>
    <xf numFmtId="0" fontId="118" fillId="0" borderId="0" xfId="87" applyFont="1"/>
    <xf numFmtId="0" fontId="102" fillId="0" borderId="18" xfId="87" applyFont="1" applyBorder="1" applyAlignment="1">
      <alignment horizontal="left"/>
    </xf>
    <xf numFmtId="0" fontId="102" fillId="0" borderId="41" xfId="87" applyFont="1" applyBorder="1" applyAlignment="1">
      <alignment horizontal="center"/>
    </xf>
    <xf numFmtId="3" fontId="118" fillId="0" borderId="0" xfId="87" applyNumberFormat="1" applyFont="1"/>
    <xf numFmtId="3" fontId="118" fillId="0" borderId="0" xfId="91" applyNumberFormat="1" applyFont="1"/>
    <xf numFmtId="167" fontId="102" fillId="0" borderId="15" xfId="87" applyNumberFormat="1" applyFont="1" applyBorder="1"/>
    <xf numFmtId="0" fontId="102" fillId="0" borderId="0" xfId="87" applyFont="1" applyAlignment="1">
      <alignment horizontal="center"/>
    </xf>
    <xf numFmtId="0" fontId="118" fillId="0" borderId="15" xfId="87" applyFont="1" applyBorder="1"/>
    <xf numFmtId="167" fontId="118" fillId="0" borderId="15" xfId="87" applyNumberFormat="1" applyFont="1" applyBorder="1"/>
    <xf numFmtId="178" fontId="118" fillId="0" borderId="0" xfId="88" applyNumberFormat="1" applyFont="1" applyFill="1"/>
    <xf numFmtId="178" fontId="118" fillId="0" borderId="0" xfId="87" applyNumberFormat="1" applyFont="1"/>
    <xf numFmtId="0" fontId="102" fillId="0" borderId="0" xfId="87" applyFont="1"/>
    <xf numFmtId="0" fontId="102" fillId="0" borderId="43" xfId="87" applyFont="1" applyBorder="1" applyAlignment="1">
      <alignment horizontal="center"/>
    </xf>
    <xf numFmtId="167" fontId="118" fillId="0" borderId="0" xfId="91" applyNumberFormat="1" applyFont="1"/>
    <xf numFmtId="10" fontId="118" fillId="0" borderId="0" xfId="91" applyNumberFormat="1" applyFont="1"/>
    <xf numFmtId="10" fontId="118" fillId="0" borderId="0" xfId="87" applyNumberFormat="1" applyFont="1"/>
    <xf numFmtId="0" fontId="102" fillId="0" borderId="15" xfId="87" applyFont="1" applyBorder="1"/>
    <xf numFmtId="10" fontId="102" fillId="0" borderId="15" xfId="89" applyNumberFormat="1" applyFont="1" applyFill="1" applyBorder="1"/>
    <xf numFmtId="0" fontId="102" fillId="0" borderId="13" xfId="87" applyFont="1" applyBorder="1"/>
    <xf numFmtId="167" fontId="102" fillId="0" borderId="13" xfId="87" applyNumberFormat="1" applyFont="1" applyBorder="1"/>
    <xf numFmtId="10" fontId="102" fillId="0" borderId="13" xfId="89" applyNumberFormat="1" applyFont="1" applyFill="1" applyBorder="1"/>
    <xf numFmtId="0" fontId="118" fillId="0" borderId="18" xfId="87" applyFont="1" applyBorder="1"/>
    <xf numFmtId="167" fontId="102" fillId="0" borderId="0" xfId="87" applyNumberFormat="1" applyFont="1"/>
    <xf numFmtId="10" fontId="102" fillId="0" borderId="0" xfId="36" applyNumberFormat="1" applyFont="1" applyFill="1" applyBorder="1"/>
    <xf numFmtId="10" fontId="118" fillId="0" borderId="0" xfId="36" applyNumberFormat="1" applyFont="1" applyFill="1"/>
    <xf numFmtId="3" fontId="102" fillId="0" borderId="0" xfId="87" applyNumberFormat="1" applyFont="1"/>
    <xf numFmtId="0" fontId="103" fillId="0" borderId="0" xfId="87" applyFont="1" applyAlignment="1">
      <alignment horizontal="left"/>
    </xf>
    <xf numFmtId="0" fontId="102" fillId="0" borderId="0" xfId="87" applyFont="1" applyAlignment="1">
      <alignment horizontal="left"/>
    </xf>
    <xf numFmtId="0" fontId="102" fillId="0" borderId="41" xfId="87" applyFont="1" applyBorder="1"/>
    <xf numFmtId="3" fontId="102" fillId="0" borderId="41" xfId="87" applyNumberFormat="1" applyFont="1" applyBorder="1" applyAlignment="1">
      <alignment horizontal="center"/>
    </xf>
    <xf numFmtId="167" fontId="118" fillId="0" borderId="0" xfId="91" quotePrefix="1" applyNumberFormat="1" applyFont="1" applyAlignment="1">
      <alignment horizontal="right"/>
    </xf>
    <xf numFmtId="167" fontId="118" fillId="0" borderId="0" xfId="87" applyNumberFormat="1" applyFont="1" applyAlignment="1">
      <alignment horizontal="right"/>
    </xf>
    <xf numFmtId="3" fontId="118" fillId="0" borderId="0" xfId="91" quotePrefix="1" applyNumberFormat="1" applyFont="1" applyAlignment="1">
      <alignment horizontal="right"/>
    </xf>
    <xf numFmtId="3" fontId="118" fillId="0" borderId="0" xfId="87" applyNumberFormat="1" applyFont="1" applyAlignment="1">
      <alignment horizontal="right"/>
    </xf>
    <xf numFmtId="0" fontId="118" fillId="0" borderId="0" xfId="87" applyFont="1" applyAlignment="1">
      <alignment horizontal="right"/>
    </xf>
    <xf numFmtId="3" fontId="118" fillId="0" borderId="0" xfId="91" applyNumberFormat="1" applyFont="1" applyAlignment="1">
      <alignment horizontal="right"/>
    </xf>
    <xf numFmtId="0" fontId="118" fillId="0" borderId="0" xfId="91" applyFont="1"/>
    <xf numFmtId="0" fontId="118" fillId="0" borderId="0" xfId="91" quotePrefix="1" applyFont="1" applyAlignment="1">
      <alignment horizontal="right"/>
    </xf>
    <xf numFmtId="0" fontId="118" fillId="0" borderId="0" xfId="91" applyFont="1" applyAlignment="1">
      <alignment horizontal="left"/>
    </xf>
    <xf numFmtId="0" fontId="118" fillId="0" borderId="0" xfId="91" applyFont="1" applyAlignment="1">
      <alignment horizontal="right"/>
    </xf>
    <xf numFmtId="3" fontId="118" fillId="0" borderId="18" xfId="87" applyNumberFormat="1" applyFont="1" applyBorder="1"/>
    <xf numFmtId="167" fontId="118" fillId="0" borderId="0" xfId="91" applyNumberFormat="1" applyFont="1" applyAlignment="1">
      <alignment horizontal="right"/>
    </xf>
    <xf numFmtId="0" fontId="118" fillId="0" borderId="0" xfId="87" applyFont="1" applyAlignment="1">
      <alignment horizontal="left"/>
    </xf>
    <xf numFmtId="10" fontId="118" fillId="0" borderId="0" xfId="89" applyNumberFormat="1" applyFont="1" applyFill="1"/>
    <xf numFmtId="42" fontId="102" fillId="0" borderId="0" xfId="87" applyNumberFormat="1" applyFont="1"/>
    <xf numFmtId="0" fontId="158" fillId="0" borderId="0" xfId="87" applyFont="1"/>
    <xf numFmtId="10" fontId="78" fillId="0" borderId="0" xfId="89" applyNumberFormat="1" applyFont="1" applyFill="1" applyAlignment="1">
      <alignment horizontal="left"/>
    </xf>
    <xf numFmtId="10" fontId="90" fillId="0" borderId="0" xfId="89" applyNumberFormat="1" applyFont="1" applyFill="1" applyBorder="1" applyAlignment="1">
      <alignment horizontal="left"/>
    </xf>
    <xf numFmtId="10" fontId="78" fillId="0" borderId="0" xfId="89" applyNumberFormat="1" applyFont="1" applyFill="1" applyBorder="1" applyAlignment="1">
      <alignment horizontal="left"/>
    </xf>
    <xf numFmtId="3" fontId="24" fillId="0" borderId="0" xfId="87" applyNumberFormat="1" applyFont="1" applyAlignment="1">
      <alignment horizontal="left"/>
    </xf>
    <xf numFmtId="0" fontId="158" fillId="0" borderId="0" xfId="87" applyFont="1" applyAlignment="1">
      <alignment horizontal="right"/>
    </xf>
    <xf numFmtId="0" fontId="161" fillId="0" borderId="0" xfId="87" applyFont="1" applyAlignment="1">
      <alignment horizontal="center"/>
    </xf>
    <xf numFmtId="167" fontId="24" fillId="0" borderId="0" xfId="90" applyNumberFormat="1" applyFont="1" applyFill="1"/>
    <xf numFmtId="3" fontId="24" fillId="0" borderId="0" xfId="90" applyNumberFormat="1" applyFont="1" applyFill="1" applyBorder="1"/>
    <xf numFmtId="167" fontId="161" fillId="0" borderId="0" xfId="87" applyNumberFormat="1" applyFont="1"/>
    <xf numFmtId="167" fontId="161" fillId="0" borderId="0" xfId="90" applyNumberFormat="1" applyFont="1" applyFill="1"/>
    <xf numFmtId="0" fontId="102" fillId="0" borderId="0" xfId="87" applyFont="1" applyAlignment="1">
      <alignment horizontal="right"/>
    </xf>
    <xf numFmtId="0" fontId="103" fillId="0" borderId="0" xfId="87" applyFont="1" applyAlignment="1">
      <alignment horizontal="right"/>
    </xf>
    <xf numFmtId="10" fontId="118" fillId="0" borderId="0" xfId="89" applyNumberFormat="1" applyFont="1" applyFill="1" applyAlignment="1">
      <alignment horizontal="right"/>
    </xf>
    <xf numFmtId="0" fontId="96" fillId="0" borderId="0" xfId="87" applyFont="1" applyAlignment="1">
      <alignment horizontal="right"/>
    </xf>
    <xf numFmtId="10" fontId="24" fillId="0" borderId="15" xfId="89" applyNumberFormat="1" applyFont="1" applyFill="1" applyBorder="1"/>
    <xf numFmtId="0" fontId="137" fillId="0" borderId="41" xfId="87" applyFont="1" applyBorder="1" applyAlignment="1">
      <alignment horizontal="center"/>
    </xf>
    <xf numFmtId="0" fontId="18" fillId="0" borderId="43" xfId="87" applyFont="1" applyBorder="1" applyAlignment="1">
      <alignment horizontal="center"/>
    </xf>
    <xf numFmtId="0" fontId="137" fillId="0" borderId="43" xfId="87" applyFont="1" applyBorder="1" applyAlignment="1">
      <alignment horizontal="center"/>
    </xf>
    <xf numFmtId="0" fontId="18" fillId="0" borderId="0" xfId="87" applyFont="1" applyAlignment="1">
      <alignment horizontal="center"/>
    </xf>
    <xf numFmtId="0" fontId="137" fillId="0" borderId="0" xfId="87" applyFont="1" applyAlignment="1">
      <alignment horizontal="center"/>
    </xf>
    <xf numFmtId="0" fontId="18" fillId="0" borderId="41" xfId="87" applyFont="1" applyBorder="1" applyAlignment="1">
      <alignment horizontal="center"/>
    </xf>
    <xf numFmtId="167" fontId="78" fillId="0" borderId="15" xfId="87" applyNumberFormat="1" applyFont="1" applyBorder="1"/>
    <xf numFmtId="0" fontId="78" fillId="0" borderId="15" xfId="87" applyFont="1" applyBorder="1"/>
    <xf numFmtId="3" fontId="96" fillId="0" borderId="0" xfId="87" applyNumberFormat="1" applyFont="1"/>
    <xf numFmtId="0" fontId="132" fillId="0" borderId="0" xfId="28" applyFont="1"/>
    <xf numFmtId="0" fontId="132" fillId="0" borderId="0" xfId="28" applyFont="1" applyAlignment="1">
      <alignment horizontal="left"/>
    </xf>
    <xf numFmtId="0" fontId="148" fillId="4" borderId="0" xfId="33" applyFont="1" applyFill="1" applyAlignment="1">
      <alignment horizontal="left"/>
    </xf>
    <xf numFmtId="0" fontId="148" fillId="0" borderId="0" xfId="33" applyFont="1" applyAlignment="1">
      <alignment horizontal="left"/>
    </xf>
    <xf numFmtId="0" fontId="147" fillId="0" borderId="0" xfId="8" applyFont="1" applyAlignment="1">
      <alignment horizontal="left" vertical="center"/>
    </xf>
    <xf numFmtId="3" fontId="132" fillId="0" borderId="0" xfId="0" applyNumberFormat="1" applyFont="1"/>
    <xf numFmtId="0" fontId="147" fillId="0" borderId="0" xfId="0" applyFont="1"/>
    <xf numFmtId="0" fontId="163" fillId="0" borderId="0" xfId="0" applyFont="1"/>
    <xf numFmtId="175" fontId="5" fillId="0" borderId="0" xfId="22" applyNumberFormat="1" applyFont="1" applyAlignment="1">
      <alignment horizontal="center" vertical="center"/>
    </xf>
    <xf numFmtId="175" fontId="18" fillId="0" borderId="15" xfId="22" applyNumberFormat="1" applyFont="1" applyBorder="1" applyAlignment="1">
      <alignment horizontal="center" vertical="center"/>
    </xf>
    <xf numFmtId="0" fontId="21" fillId="0" borderId="0" xfId="22" applyFont="1" applyAlignment="1">
      <alignment horizontal="center"/>
    </xf>
    <xf numFmtId="0" fontId="132" fillId="0" borderId="0" xfId="84" applyFont="1" applyAlignment="1">
      <alignment horizontal="center"/>
    </xf>
    <xf numFmtId="0" fontId="132" fillId="0" borderId="0" xfId="11" applyFont="1"/>
    <xf numFmtId="0" fontId="132" fillId="0" borderId="0" xfId="25" applyFont="1" applyAlignment="1">
      <alignment horizontal="right"/>
    </xf>
    <xf numFmtId="0" fontId="137" fillId="0" borderId="0" xfId="25" applyFont="1"/>
    <xf numFmtId="0" fontId="18" fillId="0" borderId="41" xfId="0" applyFont="1" applyBorder="1" applyAlignment="1">
      <alignment horizontal="left" wrapText="1"/>
    </xf>
    <xf numFmtId="0" fontId="29" fillId="0" borderId="13" xfId="21" applyFont="1" applyBorder="1" applyAlignment="1">
      <alignment horizontal="left"/>
    </xf>
    <xf numFmtId="0" fontId="29" fillId="0" borderId="0" xfId="21" applyFont="1" applyAlignment="1">
      <alignment horizontal="left"/>
    </xf>
    <xf numFmtId="0" fontId="132" fillId="0" borderId="0" xfId="16" applyFont="1" applyAlignment="1">
      <alignment horizontal="left" vertical="center"/>
    </xf>
    <xf numFmtId="37" fontId="132" fillId="0" borderId="0" xfId="16" applyNumberFormat="1" applyFont="1" applyAlignment="1">
      <alignment vertical="center"/>
    </xf>
    <xf numFmtId="37" fontId="147" fillId="0" borderId="0" xfId="16" applyNumberFormat="1" applyFont="1" applyAlignment="1">
      <alignment vertical="center"/>
    </xf>
    <xf numFmtId="0" fontId="132" fillId="0" borderId="0" xfId="16" applyFont="1" applyAlignment="1">
      <alignment vertical="center"/>
    </xf>
    <xf numFmtId="3" fontId="147" fillId="0" borderId="0" xfId="16" applyNumberFormat="1" applyFont="1" applyAlignment="1">
      <alignment vertical="center"/>
    </xf>
    <xf numFmtId="0" fontId="147" fillId="0" borderId="0" xfId="16" applyFont="1" applyAlignment="1">
      <alignment vertical="center"/>
    </xf>
    <xf numFmtId="0" fontId="148" fillId="0" borderId="0" xfId="16" applyFont="1" applyAlignment="1">
      <alignment vertical="center"/>
    </xf>
    <xf numFmtId="10" fontId="132" fillId="0" borderId="0" xfId="36" applyNumberFormat="1" applyFont="1" applyAlignment="1">
      <alignment vertical="center"/>
    </xf>
    <xf numFmtId="2" fontId="132" fillId="0" borderId="0" xfId="16" applyNumberFormat="1" applyFont="1" applyAlignment="1">
      <alignment vertical="center"/>
    </xf>
    <xf numFmtId="0" fontId="133" fillId="0" borderId="0" xfId="16" applyFont="1" applyAlignment="1">
      <alignment vertical="center"/>
    </xf>
    <xf numFmtId="0" fontId="133" fillId="0" borderId="0" xfId="0" applyFont="1" applyAlignment="1">
      <alignment vertical="center"/>
    </xf>
    <xf numFmtId="0" fontId="133" fillId="0" borderId="0" xfId="16" applyFont="1" applyAlignment="1">
      <alignment horizontal="left" vertical="center"/>
    </xf>
    <xf numFmtId="0" fontId="133" fillId="0" borderId="0" xfId="16" applyFont="1" applyAlignment="1">
      <alignment horizontal="left" vertical="center" wrapText="1"/>
    </xf>
    <xf numFmtId="37" fontId="6" fillId="0" borderId="0" xfId="16" applyNumberFormat="1"/>
    <xf numFmtId="9" fontId="6" fillId="0" borderId="0" xfId="36" applyFont="1"/>
    <xf numFmtId="167" fontId="151" fillId="0" borderId="0" xfId="16" applyNumberFormat="1" applyFont="1" applyAlignment="1">
      <alignment horizontal="center"/>
    </xf>
    <xf numFmtId="3" fontId="151" fillId="0" borderId="0" xfId="16" applyNumberFormat="1" applyFont="1" applyAlignment="1">
      <alignment horizontal="center"/>
    </xf>
    <xf numFmtId="41" fontId="24" fillId="0" borderId="0" xfId="87" applyNumberFormat="1" applyFont="1"/>
    <xf numFmtId="0" fontId="18" fillId="0" borderId="41" xfId="87" applyFont="1" applyBorder="1"/>
    <xf numFmtId="0" fontId="5" fillId="0" borderId="41" xfId="87" applyBorder="1"/>
    <xf numFmtId="0" fontId="164" fillId="0" borderId="0" xfId="87" applyFont="1"/>
    <xf numFmtId="0" fontId="8" fillId="0" borderId="0" xfId="87" applyFont="1"/>
    <xf numFmtId="0" fontId="18" fillId="0" borderId="45" xfId="87" applyFont="1" applyBorder="1" applyAlignment="1">
      <alignment horizontal="center" vertical="center" wrapText="1"/>
    </xf>
    <xf numFmtId="42" fontId="26" fillId="0" borderId="15" xfId="87" applyNumberFormat="1" applyFont="1" applyBorder="1"/>
    <xf numFmtId="167" fontId="26" fillId="0" borderId="15" xfId="87" applyNumberFormat="1" applyFont="1" applyBorder="1"/>
    <xf numFmtId="0" fontId="26" fillId="0" borderId="15" xfId="87" applyFont="1" applyBorder="1"/>
    <xf numFmtId="42" fontId="26" fillId="0" borderId="15" xfId="87" applyNumberFormat="1" applyFont="1" applyBorder="1" applyAlignment="1">
      <alignment horizontal="center"/>
    </xf>
    <xf numFmtId="164" fontId="11" fillId="0" borderId="1" xfId="0" applyNumberFormat="1" applyFont="1" applyBorder="1" applyAlignment="1">
      <alignment horizontal="center"/>
    </xf>
    <xf numFmtId="0" fontId="0" fillId="0" borderId="0" xfId="0" applyAlignment="1">
      <alignment horizontal="right" indent="3"/>
    </xf>
    <xf numFmtId="167" fontId="13" fillId="0" borderId="0" xfId="35" applyNumberFormat="1" applyAlignment="1">
      <alignment horizontal="right" vertical="top"/>
    </xf>
    <xf numFmtId="0" fontId="31" fillId="0" borderId="15" xfId="35" applyFont="1" applyBorder="1" applyAlignment="1">
      <alignment horizontal="centerContinuous" wrapText="1"/>
    </xf>
    <xf numFmtId="0" fontId="31" fillId="0" borderId="15" xfId="35" applyFont="1" applyBorder="1" applyAlignment="1">
      <alignment horizontal="right" wrapText="1"/>
    </xf>
    <xf numFmtId="0" fontId="31" fillId="0" borderId="15" xfId="35" applyFont="1" applyBorder="1" applyAlignment="1">
      <alignment horizontal="right"/>
    </xf>
    <xf numFmtId="0" fontId="31" fillId="0" borderId="15" xfId="35" applyFont="1" applyBorder="1" applyAlignment="1">
      <alignment horizontal="right" indent="1"/>
    </xf>
    <xf numFmtId="0" fontId="17" fillId="0" borderId="6" xfId="14" applyFont="1" applyBorder="1" applyAlignment="1">
      <alignment horizontal="left"/>
    </xf>
    <xf numFmtId="0" fontId="17" fillId="0" borderId="0" xfId="14" applyFont="1" applyAlignment="1">
      <alignment horizontal="left"/>
    </xf>
    <xf numFmtId="0" fontId="19" fillId="0" borderId="0" xfId="14" applyFont="1" applyAlignment="1">
      <alignment horizontal="left"/>
    </xf>
    <xf numFmtId="0" fontId="18" fillId="0" borderId="43" xfId="14" applyFont="1" applyBorder="1" applyAlignment="1">
      <alignment horizontal="left"/>
    </xf>
    <xf numFmtId="0" fontId="93" fillId="0" borderId="0" xfId="86" applyFill="1" applyAlignment="1" applyProtection="1"/>
    <xf numFmtId="0" fontId="18" fillId="0" borderId="19" xfId="11" applyFont="1" applyBorder="1" applyAlignment="1">
      <alignment horizontal="center"/>
    </xf>
    <xf numFmtId="0" fontId="18" fillId="0" borderId="45" xfId="11" applyFont="1" applyBorder="1"/>
    <xf numFmtId="3" fontId="18" fillId="0" borderId="41" xfId="11" applyNumberFormat="1" applyFont="1" applyBorder="1" applyAlignment="1">
      <alignment horizontal="center"/>
    </xf>
    <xf numFmtId="3" fontId="89" fillId="0" borderId="41" xfId="11" applyNumberFormat="1" applyFont="1" applyBorder="1" applyAlignment="1">
      <alignment horizontal="center"/>
    </xf>
    <xf numFmtId="0" fontId="89" fillId="0" borderId="41" xfId="11" applyFont="1" applyBorder="1" applyAlignment="1">
      <alignment horizontal="center"/>
    </xf>
    <xf numFmtId="3" fontId="5" fillId="0" borderId="41" xfId="11" applyNumberFormat="1" applyFont="1" applyBorder="1"/>
    <xf numFmtId="3" fontId="75" fillId="0" borderId="41" xfId="11" applyNumberFormat="1" applyFont="1" applyBorder="1"/>
    <xf numFmtId="164" fontId="5" fillId="0" borderId="41" xfId="11" applyNumberFormat="1" applyFont="1" applyBorder="1"/>
    <xf numFmtId="0" fontId="5" fillId="0" borderId="41" xfId="11" applyFont="1" applyBorder="1"/>
    <xf numFmtId="0" fontId="75" fillId="0" borderId="41" xfId="11" applyFont="1" applyBorder="1"/>
    <xf numFmtId="3" fontId="18" fillId="0" borderId="29" xfId="11" applyNumberFormat="1" applyFont="1" applyBorder="1" applyAlignment="1">
      <alignment horizontal="centerContinuous"/>
    </xf>
    <xf numFmtId="0" fontId="18" fillId="0" borderId="0" xfId="87" applyFont="1" applyAlignment="1">
      <alignment horizontal="left"/>
    </xf>
    <xf numFmtId="0" fontId="93" fillId="0" borderId="0" xfId="86" applyAlignment="1" applyProtection="1">
      <alignment horizontal="right"/>
    </xf>
    <xf numFmtId="0" fontId="0" fillId="0" borderId="0" xfId="0" applyAlignment="1">
      <alignment wrapText="1"/>
    </xf>
    <xf numFmtId="0" fontId="23" fillId="0" borderId="0" xfId="8" applyFont="1"/>
    <xf numFmtId="0" fontId="5" fillId="0" borderId="0" xfId="0" applyFont="1" applyAlignment="1">
      <alignment horizontal="left" wrapText="1"/>
    </xf>
    <xf numFmtId="3" fontId="5" fillId="0" borderId="0" xfId="40" applyNumberFormat="1" applyAlignment="1">
      <alignment horizontal="right"/>
    </xf>
    <xf numFmtId="0" fontId="5" fillId="0" borderId="0" xfId="91" applyFont="1" applyAlignment="1">
      <alignment wrapText="1"/>
    </xf>
    <xf numFmtId="0" fontId="165" fillId="0" borderId="0" xfId="16" applyFont="1" applyAlignment="1">
      <alignment vertical="center"/>
    </xf>
    <xf numFmtId="0" fontId="165" fillId="0" borderId="0" xfId="8" applyFont="1" applyAlignment="1">
      <alignment horizontal="left" vertical="center"/>
    </xf>
    <xf numFmtId="41" fontId="151" fillId="36" borderId="0" xfId="16" quotePrefix="1" applyNumberFormat="1" applyFont="1" applyFill="1"/>
    <xf numFmtId="41" fontId="13" fillId="0" borderId="0" xfId="16" applyNumberFormat="1" applyFont="1"/>
    <xf numFmtId="41" fontId="13" fillId="36" borderId="0" xfId="16" applyNumberFormat="1" applyFont="1" applyFill="1"/>
    <xf numFmtId="41" fontId="5" fillId="0" borderId="0" xfId="16" applyNumberFormat="1" applyFont="1" applyAlignment="1">
      <alignment horizontal="center"/>
    </xf>
    <xf numFmtId="41" fontId="96" fillId="0" borderId="0" xfId="16" applyNumberFormat="1" applyFont="1"/>
    <xf numFmtId="41" fontId="5" fillId="0" borderId="0" xfId="16" quotePrefix="1" applyNumberFormat="1" applyFont="1"/>
    <xf numFmtId="41" fontId="5" fillId="36" borderId="0" xfId="16" quotePrefix="1" applyNumberFormat="1" applyFont="1" applyFill="1"/>
    <xf numFmtId="41" fontId="166" fillId="36" borderId="0" xfId="16" quotePrefix="1" applyNumberFormat="1" applyFont="1" applyFill="1"/>
    <xf numFmtId="41" fontId="5" fillId="0" borderId="0" xfId="16" applyNumberFormat="1" applyFont="1"/>
    <xf numFmtId="41" fontId="5" fillId="0" borderId="0" xfId="16" quotePrefix="1" applyNumberFormat="1" applyFont="1" applyAlignment="1">
      <alignment horizontal="center"/>
    </xf>
    <xf numFmtId="0" fontId="26" fillId="3" borderId="9" xfId="16" applyFont="1" applyFill="1" applyBorder="1" applyAlignment="1">
      <alignment horizontal="center" wrapText="1"/>
    </xf>
    <xf numFmtId="42" fontId="13" fillId="0" borderId="0" xfId="16" applyNumberFormat="1" applyFont="1"/>
    <xf numFmtId="42" fontId="166" fillId="36" borderId="0" xfId="16" quotePrefix="1" applyNumberFormat="1" applyFont="1" applyFill="1"/>
    <xf numFmtId="42" fontId="5" fillId="0" borderId="0" xfId="16" applyNumberFormat="1" applyFont="1" applyAlignment="1">
      <alignment horizontal="center"/>
    </xf>
    <xf numFmtId="42" fontId="13" fillId="36" borderId="0" xfId="16" applyNumberFormat="1" applyFont="1" applyFill="1"/>
    <xf numFmtId="42" fontId="96" fillId="0" borderId="0" xfId="16" applyNumberFormat="1" applyFont="1"/>
    <xf numFmtId="0" fontId="26" fillId="0" borderId="17" xfId="16" applyFont="1" applyBorder="1" applyAlignment="1">
      <alignment horizontal="centerContinuous"/>
    </xf>
    <xf numFmtId="0" fontId="0" fillId="0" borderId="17" xfId="0" applyBorder="1" applyAlignment="1">
      <alignment horizontal="centerContinuous"/>
    </xf>
    <xf numFmtId="0" fontId="86" fillId="0" borderId="9" xfId="16" applyFont="1" applyBorder="1" applyAlignment="1">
      <alignment horizontal="center" wrapText="1"/>
    </xf>
    <xf numFmtId="0" fontId="13" fillId="0" borderId="0" xfId="16" applyFont="1" applyAlignment="1">
      <alignment horizontal="right" indent="1"/>
    </xf>
    <xf numFmtId="0" fontId="53" fillId="0" borderId="0" xfId="16" applyFont="1" applyAlignment="1">
      <alignment horizontal="right" indent="1"/>
    </xf>
    <xf numFmtId="3" fontId="18" fillId="0" borderId="41" xfId="11" applyNumberFormat="1" applyFont="1" applyBorder="1"/>
    <xf numFmtId="3" fontId="89" fillId="0" borderId="41" xfId="11" applyNumberFormat="1" applyFont="1" applyBorder="1"/>
    <xf numFmtId="0" fontId="5" fillId="0" borderId="0" xfId="91" applyFont="1"/>
    <xf numFmtId="37" fontId="23" fillId="0" borderId="0" xfId="17" applyNumberFormat="1" applyFont="1" applyAlignment="1">
      <alignment horizontal="left"/>
    </xf>
    <xf numFmtId="37" fontId="28" fillId="0" borderId="0" xfId="17" applyNumberFormat="1" applyFont="1"/>
    <xf numFmtId="0" fontId="28" fillId="0" borderId="0" xfId="17" applyFont="1"/>
    <xf numFmtId="37" fontId="13" fillId="0" borderId="0" xfId="17" applyNumberFormat="1" applyFont="1" applyAlignment="1">
      <alignment horizontal="centerContinuous"/>
    </xf>
    <xf numFmtId="0" fontId="93" fillId="0" borderId="0" xfId="86" applyFill="1" applyAlignment="1" applyProtection="1">
      <alignment horizontal="right"/>
    </xf>
    <xf numFmtId="0" fontId="142" fillId="0" borderId="0" xfId="17" applyFont="1"/>
    <xf numFmtId="3" fontId="142" fillId="0" borderId="0" xfId="17" applyNumberFormat="1" applyFont="1"/>
    <xf numFmtId="37" fontId="141" fillId="0" borderId="0" xfId="17" applyNumberFormat="1" applyFont="1"/>
    <xf numFmtId="0" fontId="141" fillId="0" borderId="0" xfId="17" applyFont="1"/>
    <xf numFmtId="37" fontId="18" fillId="0" borderId="0" xfId="17" applyNumberFormat="1" applyFont="1" applyAlignment="1">
      <alignment horizontal="left"/>
    </xf>
    <xf numFmtId="37" fontId="82" fillId="0" borderId="0" xfId="17" applyNumberFormat="1" applyFont="1" applyAlignment="1">
      <alignment horizontal="left"/>
    </xf>
    <xf numFmtId="5" fontId="32" fillId="0" borderId="9" xfId="17" applyNumberFormat="1" applyFont="1" applyBorder="1" applyAlignment="1">
      <alignment wrapText="1"/>
    </xf>
    <xf numFmtId="0" fontId="32" fillId="0" borderId="0" xfId="17" applyFont="1"/>
    <xf numFmtId="37" fontId="32" fillId="0" borderId="0" xfId="17" applyNumberFormat="1" applyFont="1" applyAlignment="1">
      <alignment horizontal="center"/>
    </xf>
    <xf numFmtId="5" fontId="32" fillId="0" borderId="17" xfId="17" applyNumberFormat="1" applyFont="1" applyBorder="1" applyAlignment="1">
      <alignment horizontal="center"/>
    </xf>
    <xf numFmtId="5" fontId="33" fillId="0" borderId="0" xfId="17" applyNumberFormat="1" applyFont="1"/>
    <xf numFmtId="10" fontId="34" fillId="0" borderId="0" xfId="38" applyNumberFormat="1" applyFont="1" applyFill="1" applyBorder="1" applyProtection="1"/>
    <xf numFmtId="0" fontId="33" fillId="0" borderId="0" xfId="17" applyFont="1"/>
    <xf numFmtId="5" fontId="92" fillId="0" borderId="0" xfId="17" applyNumberFormat="1" applyFont="1"/>
    <xf numFmtId="0" fontId="14" fillId="0" borderId="0" xfId="17" applyFont="1"/>
    <xf numFmtId="5" fontId="32" fillId="0" borderId="8" xfId="17" applyNumberFormat="1" applyFont="1" applyBorder="1" applyAlignment="1">
      <alignment vertical="center"/>
    </xf>
    <xf numFmtId="5" fontId="33" fillId="0" borderId="1" xfId="17" applyNumberFormat="1" applyFont="1" applyBorder="1"/>
    <xf numFmtId="0" fontId="33" fillId="0" borderId="1" xfId="17" applyFont="1" applyBorder="1"/>
    <xf numFmtId="37" fontId="13" fillId="0" borderId="0" xfId="17" applyNumberFormat="1" applyFont="1"/>
    <xf numFmtId="0" fontId="13" fillId="0" borderId="0" xfId="17" applyFont="1"/>
    <xf numFmtId="0" fontId="32" fillId="0" borderId="8" xfId="17" applyFont="1" applyBorder="1"/>
    <xf numFmtId="5" fontId="32" fillId="0" borderId="8" xfId="17" applyNumberFormat="1" applyFont="1" applyBorder="1"/>
    <xf numFmtId="0" fontId="82" fillId="0" borderId="0" xfId="17" applyFont="1"/>
    <xf numFmtId="0" fontId="26" fillId="0" borderId="45" xfId="87" applyFont="1" applyBorder="1" applyAlignment="1">
      <alignment horizontal="center" vertical="center" wrapText="1"/>
    </xf>
    <xf numFmtId="0" fontId="162" fillId="0" borderId="0" xfId="87" applyFont="1" applyAlignment="1">
      <alignment horizontal="left"/>
    </xf>
    <xf numFmtId="0" fontId="162" fillId="0" borderId="43" xfId="87" applyFont="1" applyBorder="1" applyAlignment="1">
      <alignment horizontal="centerContinuous"/>
    </xf>
    <xf numFmtId="0" fontId="26" fillId="0" borderId="0" xfId="87" applyFont="1" applyAlignment="1">
      <alignment horizontal="right" indent="1"/>
    </xf>
    <xf numFmtId="0" fontId="18" fillId="0" borderId="0" xfId="87" applyFont="1" applyAlignment="1">
      <alignment horizontal="right" indent="1"/>
    </xf>
    <xf numFmtId="0" fontId="24" fillId="0" borderId="0" xfId="87" applyFont="1" applyAlignment="1">
      <alignment horizontal="right" indent="1"/>
    </xf>
    <xf numFmtId="167" fontId="24" fillId="0" borderId="0" xfId="87" applyNumberFormat="1" applyFont="1" applyAlignment="1">
      <alignment horizontal="right" indent="1"/>
    </xf>
    <xf numFmtId="167" fontId="24" fillId="0" borderId="15" xfId="87" applyNumberFormat="1" applyFont="1" applyBorder="1" applyAlignment="1">
      <alignment horizontal="right" indent="1"/>
    </xf>
    <xf numFmtId="0" fontId="162" fillId="0" borderId="43" xfId="87" applyFont="1" applyBorder="1" applyAlignment="1">
      <alignment horizontal="centerContinuous" vertical="center"/>
    </xf>
    <xf numFmtId="0" fontId="18" fillId="0" borderId="0" xfId="87" applyFont="1" applyAlignment="1">
      <alignment horizontal="left" vertical="top"/>
    </xf>
    <xf numFmtId="0" fontId="24" fillId="0" borderId="13" xfId="87" applyFont="1" applyBorder="1"/>
    <xf numFmtId="167" fontId="24" fillId="0" borderId="13" xfId="87" applyNumberFormat="1" applyFont="1" applyBorder="1"/>
    <xf numFmtId="167" fontId="24" fillId="0" borderId="13" xfId="87" applyNumberFormat="1" applyFont="1" applyBorder="1" applyAlignment="1">
      <alignment horizontal="right" indent="1"/>
    </xf>
    <xf numFmtId="10" fontId="24" fillId="0" borderId="13" xfId="89" applyNumberFormat="1" applyFont="1" applyFill="1" applyBorder="1"/>
    <xf numFmtId="167" fontId="26" fillId="0" borderId="0" xfId="87" applyNumberFormat="1" applyFont="1" applyAlignment="1">
      <alignment horizontal="right" indent="1"/>
    </xf>
    <xf numFmtId="10" fontId="26" fillId="0" borderId="0" xfId="89" applyNumberFormat="1" applyFont="1" applyFill="1" applyBorder="1"/>
    <xf numFmtId="0" fontId="24" fillId="0" borderId="0" xfId="87" applyFont="1" applyAlignment="1">
      <alignment vertical="top"/>
    </xf>
    <xf numFmtId="10" fontId="26" fillId="0" borderId="0" xfId="89" applyNumberFormat="1" applyFont="1" applyFill="1" applyBorder="1" applyAlignment="1">
      <alignment horizontal="left" vertical="top"/>
    </xf>
    <xf numFmtId="0" fontId="18" fillId="0" borderId="43" xfId="87" applyFont="1" applyBorder="1"/>
    <xf numFmtId="0" fontId="170" fillId="0" borderId="0" xfId="87" applyFont="1" applyAlignment="1">
      <alignment horizontal="left" vertical="center"/>
    </xf>
    <xf numFmtId="3" fontId="30" fillId="0" borderId="43" xfId="87" applyNumberFormat="1" applyFont="1" applyBorder="1" applyAlignment="1">
      <alignment horizontal="centerContinuous" vertical="top"/>
    </xf>
    <xf numFmtId="3" fontId="30" fillId="0" borderId="0" xfId="87" applyNumberFormat="1" applyFont="1" applyAlignment="1">
      <alignment horizontal="centerContinuous" vertical="top"/>
    </xf>
    <xf numFmtId="169" fontId="5" fillId="0" borderId="0" xfId="36" applyNumberFormat="1" applyFont="1" applyAlignment="1">
      <alignment horizontal="center"/>
    </xf>
    <xf numFmtId="41" fontId="14" fillId="4" borderId="0" xfId="33" applyNumberFormat="1" applyFont="1" applyFill="1"/>
    <xf numFmtId="0" fontId="18" fillId="4" borderId="45" xfId="33" applyFont="1" applyFill="1" applyBorder="1" applyAlignment="1">
      <alignment horizontal="left"/>
    </xf>
    <xf numFmtId="0" fontId="103" fillId="4" borderId="45" xfId="33" applyFont="1" applyFill="1" applyBorder="1" applyAlignment="1">
      <alignment horizontal="center"/>
    </xf>
    <xf numFmtId="4" fontId="18" fillId="4" borderId="45" xfId="33" applyNumberFormat="1" applyFont="1" applyFill="1" applyBorder="1" applyAlignment="1">
      <alignment horizontal="right"/>
    </xf>
    <xf numFmtId="0" fontId="5" fillId="0" borderId="0" xfId="84" applyFont="1"/>
    <xf numFmtId="3" fontId="171" fillId="0" borderId="0" xfId="8" applyNumberFormat="1" applyFont="1"/>
    <xf numFmtId="3" fontId="172" fillId="0" borderId="0" xfId="8" applyNumberFormat="1" applyFont="1" applyAlignment="1">
      <alignment horizontal="right"/>
    </xf>
    <xf numFmtId="164" fontId="171" fillId="0" borderId="0" xfId="8" applyNumberFormat="1" applyFont="1"/>
    <xf numFmtId="0" fontId="171" fillId="0" borderId="0" xfId="8" applyFont="1"/>
    <xf numFmtId="167" fontId="171" fillId="0" borderId="0" xfId="12" applyNumberFormat="1" applyFont="1"/>
    <xf numFmtId="3" fontId="171" fillId="0" borderId="0" xfId="12" applyNumberFormat="1" applyFont="1"/>
    <xf numFmtId="0" fontId="23" fillId="4" borderId="0" xfId="32" applyFont="1" applyFill="1" applyAlignment="1">
      <alignment horizontal="left"/>
    </xf>
    <xf numFmtId="37" fontId="18" fillId="0" borderId="6" xfId="14" applyNumberFormat="1" applyFont="1" applyBorder="1" applyAlignment="1">
      <alignment horizontal="centerContinuous"/>
    </xf>
    <xf numFmtId="0" fontId="0" fillId="0" borderId="6" xfId="0" applyBorder="1" applyAlignment="1">
      <alignment horizontal="centerContinuous"/>
    </xf>
    <xf numFmtId="37" fontId="18" fillId="0" borderId="0" xfId="14" applyNumberFormat="1" applyFont="1" applyAlignment="1">
      <alignment horizontal="centerContinuous"/>
    </xf>
    <xf numFmtId="0" fontId="0" fillId="0" borderId="0" xfId="0" applyAlignment="1">
      <alignment horizontal="centerContinuous"/>
    </xf>
    <xf numFmtId="0" fontId="17" fillId="0" borderId="7" xfId="14" applyFont="1" applyBorder="1" applyAlignment="1">
      <alignment horizontal="left" wrapText="1"/>
    </xf>
    <xf numFmtId="37" fontId="18" fillId="0" borderId="7" xfId="14" applyNumberFormat="1" applyFont="1" applyBorder="1" applyAlignment="1">
      <alignment horizontal="right" wrapText="1"/>
    </xf>
    <xf numFmtId="37" fontId="18" fillId="0" borderId="7" xfId="14" applyNumberFormat="1" applyFont="1" applyBorder="1" applyAlignment="1">
      <alignment horizontal="center" wrapText="1"/>
    </xf>
    <xf numFmtId="39" fontId="18" fillId="0" borderId="7" xfId="14" applyNumberFormat="1" applyFont="1" applyBorder="1" applyAlignment="1">
      <alignment horizontal="center" wrapText="1"/>
    </xf>
    <xf numFmtId="0" fontId="5" fillId="0" borderId="0" xfId="14" applyFont="1" applyAlignment="1">
      <alignment horizontal="left" vertical="center"/>
    </xf>
    <xf numFmtId="1" fontId="5" fillId="0" borderId="0" xfId="14" applyNumberFormat="1" applyFont="1" applyAlignment="1">
      <alignment vertical="center"/>
    </xf>
    <xf numFmtId="3" fontId="5" fillId="0" borderId="0" xfId="41" applyNumberFormat="1" applyFont="1" applyBorder="1" applyAlignment="1" applyProtection="1">
      <alignment vertical="center"/>
    </xf>
    <xf numFmtId="0" fontId="5" fillId="0" borderId="0" xfId="13" applyAlignment="1">
      <alignment vertical="center"/>
    </xf>
    <xf numFmtId="0" fontId="19" fillId="0" borderId="0" xfId="14" applyFont="1" applyAlignment="1">
      <alignment horizontal="left" vertical="top"/>
    </xf>
    <xf numFmtId="3" fontId="5" fillId="0" borderId="0" xfId="14" applyNumberFormat="1" applyFont="1" applyAlignment="1">
      <alignment vertical="top"/>
    </xf>
    <xf numFmtId="37" fontId="5" fillId="0" borderId="0" xfId="14" applyNumberFormat="1" applyFont="1" applyAlignment="1">
      <alignment vertical="top"/>
    </xf>
    <xf numFmtId="0" fontId="5" fillId="0" borderId="8" xfId="14" applyFont="1" applyBorder="1" applyAlignment="1">
      <alignment horizontal="left" vertical="center"/>
    </xf>
    <xf numFmtId="0" fontId="18" fillId="0" borderId="42" xfId="14" applyFont="1" applyBorder="1" applyAlignment="1">
      <alignment horizontal="left" vertical="center"/>
    </xf>
    <xf numFmtId="0" fontId="0" fillId="0" borderId="46" xfId="0" applyBorder="1" applyAlignment="1">
      <alignment horizontal="centerContinuous"/>
    </xf>
    <xf numFmtId="39" fontId="18" fillId="0" borderId="47" xfId="14" applyNumberFormat="1" applyFont="1" applyBorder="1" applyAlignment="1">
      <alignment horizontal="center"/>
    </xf>
    <xf numFmtId="37" fontId="18" fillId="0" borderId="48" xfId="14" applyNumberFormat="1" applyFont="1" applyBorder="1" applyAlignment="1">
      <alignment horizontal="centerContinuous"/>
    </xf>
    <xf numFmtId="0" fontId="0" fillId="0" borderId="49" xfId="0" applyBorder="1" applyAlignment="1">
      <alignment horizontal="centerContinuous"/>
    </xf>
    <xf numFmtId="39" fontId="18" fillId="0" borderId="50" xfId="14" applyNumberFormat="1" applyFont="1" applyBorder="1" applyAlignment="1">
      <alignment horizontal="center"/>
    </xf>
    <xf numFmtId="37" fontId="18" fillId="0" borderId="51" xfId="14" applyNumberFormat="1" applyFont="1" applyBorder="1" applyAlignment="1">
      <alignment horizontal="centerContinuous"/>
    </xf>
    <xf numFmtId="39" fontId="18" fillId="0" borderId="52" xfId="14" applyNumberFormat="1" applyFont="1" applyBorder="1" applyAlignment="1">
      <alignment horizontal="center" wrapText="1"/>
    </xf>
    <xf numFmtId="37" fontId="18" fillId="0" borderId="53" xfId="14" applyNumberFormat="1" applyFont="1" applyBorder="1" applyAlignment="1">
      <alignment horizontal="right" wrapText="1"/>
    </xf>
    <xf numFmtId="169" fontId="5" fillId="0" borderId="50" xfId="36" applyNumberFormat="1" applyFont="1" applyBorder="1"/>
    <xf numFmtId="3" fontId="5" fillId="0" borderId="51" xfId="14" applyNumberFormat="1" applyFont="1" applyBorder="1"/>
    <xf numFmtId="169" fontId="5" fillId="0" borderId="50" xfId="36" applyNumberFormat="1" applyFont="1" applyBorder="1" applyAlignment="1">
      <alignment vertical="top"/>
    </xf>
    <xf numFmtId="3" fontId="5" fillId="0" borderId="51" xfId="14" applyNumberFormat="1" applyFont="1" applyBorder="1" applyAlignment="1">
      <alignment vertical="top"/>
    </xf>
    <xf numFmtId="1" fontId="5" fillId="0" borderId="51" xfId="14" applyNumberFormat="1" applyFont="1" applyBorder="1" applyAlignment="1">
      <alignment vertical="center"/>
    </xf>
    <xf numFmtId="167" fontId="5" fillId="4" borderId="0" xfId="38" applyNumberFormat="1" applyFont="1" applyFill="1"/>
    <xf numFmtId="3" fontId="5" fillId="4" borderId="0" xfId="38" applyNumberFormat="1" applyFont="1" applyFill="1"/>
    <xf numFmtId="3" fontId="5" fillId="0" borderId="0" xfId="38" applyNumberFormat="1" applyFont="1" applyFill="1"/>
    <xf numFmtId="3" fontId="5" fillId="4" borderId="40" xfId="38" applyNumberFormat="1" applyFont="1" applyFill="1" applyBorder="1"/>
    <xf numFmtId="0" fontId="134" fillId="0" borderId="0" xfId="17" applyFont="1"/>
    <xf numFmtId="3" fontId="134" fillId="0" borderId="0" xfId="17" applyNumberFormat="1" applyFont="1"/>
    <xf numFmtId="0" fontId="17" fillId="0" borderId="17" xfId="14" applyFont="1" applyBorder="1" applyAlignment="1">
      <alignment horizontal="left" wrapText="1"/>
    </xf>
    <xf numFmtId="37" fontId="18" fillId="0" borderId="17" xfId="14" applyNumberFormat="1" applyFont="1" applyBorder="1" applyAlignment="1">
      <alignment horizontal="right" wrapText="1"/>
    </xf>
    <xf numFmtId="39" fontId="18" fillId="0" borderId="17" xfId="14" applyNumberFormat="1" applyFont="1" applyBorder="1" applyAlignment="1">
      <alignment horizontal="right" wrapText="1"/>
    </xf>
    <xf numFmtId="37" fontId="18" fillId="0" borderId="17" xfId="14" applyNumberFormat="1" applyFont="1" applyBorder="1" applyAlignment="1">
      <alignment horizontal="center" wrapText="1"/>
    </xf>
    <xf numFmtId="37" fontId="18" fillId="0" borderId="17" xfId="14" applyNumberFormat="1" applyFont="1" applyBorder="1" applyAlignment="1">
      <alignment horizontal="right" wrapText="1" indent="2"/>
    </xf>
    <xf numFmtId="0" fontId="29" fillId="0" borderId="0" xfId="14" applyFont="1" applyAlignment="1">
      <alignment horizontal="left" vertical="top"/>
    </xf>
    <xf numFmtId="169" fontId="96" fillId="0" borderId="0" xfId="36" applyNumberFormat="1" applyFont="1" applyAlignment="1">
      <alignment vertical="top"/>
    </xf>
    <xf numFmtId="0" fontId="13" fillId="0" borderId="0" xfId="14" applyFont="1" applyAlignment="1">
      <alignment horizontal="left" vertical="center"/>
    </xf>
    <xf numFmtId="169" fontId="96" fillId="0" borderId="0" xfId="36" applyNumberFormat="1" applyFont="1" applyAlignment="1" applyProtection="1">
      <alignment vertical="center"/>
    </xf>
    <xf numFmtId="0" fontId="13" fillId="0" borderId="8" xfId="14" applyFont="1" applyBorder="1" applyAlignment="1">
      <alignment horizontal="left" vertical="center"/>
    </xf>
    <xf numFmtId="0" fontId="25" fillId="0" borderId="29" xfId="20" applyFont="1" applyBorder="1" applyAlignment="1">
      <alignment horizontal="center"/>
    </xf>
    <xf numFmtId="0" fontId="25" fillId="0" borderId="1" xfId="25" applyFont="1" applyBorder="1" applyAlignment="1">
      <alignment horizontal="right" indent="1"/>
    </xf>
    <xf numFmtId="0" fontId="5" fillId="0" borderId="0" xfId="25" applyFont="1" applyAlignment="1">
      <alignment vertical="top"/>
    </xf>
    <xf numFmtId="0" fontId="41" fillId="0" borderId="0" xfId="25" applyAlignment="1">
      <alignment vertical="top"/>
    </xf>
    <xf numFmtId="178" fontId="41" fillId="0" borderId="0" xfId="41" applyNumberFormat="1" applyFont="1" applyFill="1" applyAlignment="1">
      <alignment horizontal="right" vertical="top"/>
    </xf>
    <xf numFmtId="178" fontId="41" fillId="0" borderId="0" xfId="41" applyNumberFormat="1" applyFont="1" applyFill="1" applyAlignment="1">
      <alignment vertical="top"/>
    </xf>
    <xf numFmtId="0" fontId="41" fillId="0" borderId="15" xfId="25" applyBorder="1" applyAlignment="1">
      <alignment vertical="center"/>
    </xf>
    <xf numFmtId="0" fontId="25" fillId="0" borderId="15" xfId="25" applyFont="1" applyBorder="1" applyAlignment="1">
      <alignment vertical="center"/>
    </xf>
    <xf numFmtId="0" fontId="18" fillId="0" borderId="1" xfId="25" applyFont="1" applyBorder="1" applyAlignment="1">
      <alignment horizontal="right" vertical="top" wrapText="1"/>
    </xf>
    <xf numFmtId="3" fontId="18" fillId="0" borderId="45" xfId="11" applyNumberFormat="1" applyFont="1" applyBorder="1" applyAlignment="1">
      <alignment horizontal="left" vertical="center"/>
    </xf>
    <xf numFmtId="3" fontId="18" fillId="0" borderId="45" xfId="11" applyNumberFormat="1" applyFont="1" applyBorder="1" applyAlignment="1">
      <alignment horizontal="center" vertical="center" wrapText="1"/>
    </xf>
    <xf numFmtId="3" fontId="138" fillId="0" borderId="45" xfId="11" applyNumberFormat="1" applyFont="1" applyBorder="1" applyAlignment="1">
      <alignment horizontal="center" vertical="center"/>
    </xf>
    <xf numFmtId="3" fontId="138" fillId="0" borderId="0" xfId="11" applyNumberFormat="1" applyFont="1" applyAlignment="1">
      <alignment horizontal="center"/>
    </xf>
    <xf numFmtId="3" fontId="132" fillId="0" borderId="0" xfId="11" applyNumberFormat="1" applyFont="1"/>
    <xf numFmtId="3" fontId="137" fillId="0" borderId="15" xfId="11" applyNumberFormat="1" applyFont="1" applyBorder="1"/>
    <xf numFmtId="3" fontId="132" fillId="0" borderId="59" xfId="11" applyNumberFormat="1" applyFont="1" applyBorder="1"/>
    <xf numFmtId="0" fontId="173" fillId="0" borderId="0" xfId="11" applyFont="1" applyAlignment="1">
      <alignment horizontal="center"/>
    </xf>
    <xf numFmtId="3" fontId="137" fillId="0" borderId="0" xfId="11" applyNumberFormat="1" applyFont="1"/>
    <xf numFmtId="0" fontId="138" fillId="0" borderId="0" xfId="11" applyFont="1" applyAlignment="1">
      <alignment horizontal="center"/>
    </xf>
    <xf numFmtId="0" fontId="18" fillId="0" borderId="45" xfId="11" applyFont="1" applyBorder="1" applyAlignment="1">
      <alignment horizontal="centerContinuous"/>
    </xf>
    <xf numFmtId="3" fontId="18" fillId="0" borderId="45" xfId="11" applyNumberFormat="1" applyFont="1" applyBorder="1" applyAlignment="1">
      <alignment horizontal="centerContinuous"/>
    </xf>
    <xf numFmtId="0" fontId="89" fillId="0" borderId="45" xfId="11" applyFont="1" applyBorder="1" applyAlignment="1">
      <alignment horizontal="centerContinuous"/>
    </xf>
    <xf numFmtId="0" fontId="77" fillId="0" borderId="45" xfId="11" applyFont="1" applyBorder="1" applyAlignment="1">
      <alignment horizontal="centerContinuous"/>
    </xf>
    <xf numFmtId="0" fontId="89" fillId="0" borderId="59" xfId="11" applyFont="1" applyBorder="1" applyAlignment="1">
      <alignment horizontal="center" vertical="center" wrapText="1"/>
    </xf>
    <xf numFmtId="0" fontId="18" fillId="0" borderId="59" xfId="11" applyFont="1" applyBorder="1" applyAlignment="1">
      <alignment horizontal="center" vertical="center"/>
    </xf>
    <xf numFmtId="3" fontId="18" fillId="0" borderId="59" xfId="11" applyNumberFormat="1" applyFont="1" applyBorder="1" applyAlignment="1">
      <alignment horizontal="center" vertical="center"/>
    </xf>
    <xf numFmtId="3" fontId="18" fillId="0" borderId="23" xfId="11" applyNumberFormat="1" applyFont="1" applyBorder="1" applyAlignment="1">
      <alignment horizontal="center" vertical="center"/>
    </xf>
    <xf numFmtId="3" fontId="18" fillId="0" borderId="59" xfId="11" applyNumberFormat="1" applyFont="1" applyBorder="1" applyAlignment="1">
      <alignment horizontal="center" vertical="center" wrapText="1"/>
    </xf>
    <xf numFmtId="3" fontId="18" fillId="0" borderId="24" xfId="11" applyNumberFormat="1" applyFont="1" applyBorder="1" applyAlignment="1">
      <alignment horizontal="center" vertical="center"/>
    </xf>
    <xf numFmtId="3" fontId="89" fillId="0" borderId="59" xfId="11" applyNumberFormat="1" applyFont="1" applyBorder="1" applyAlignment="1">
      <alignment horizontal="center" vertical="center"/>
    </xf>
    <xf numFmtId="3" fontId="89" fillId="0" borderId="59" xfId="11" applyNumberFormat="1" applyFont="1" applyBorder="1" applyAlignment="1">
      <alignment horizontal="center" vertical="center" wrapText="1"/>
    </xf>
    <xf numFmtId="0" fontId="18" fillId="0" borderId="59" xfId="11" applyFont="1" applyBorder="1" applyAlignment="1">
      <alignment horizontal="left" vertical="center"/>
    </xf>
    <xf numFmtId="0" fontId="138" fillId="0" borderId="59" xfId="11" applyFont="1" applyBorder="1" applyAlignment="1">
      <alignment horizontal="center" vertical="center"/>
    </xf>
    <xf numFmtId="0" fontId="136" fillId="0" borderId="0" xfId="11" applyFont="1" applyAlignment="1">
      <alignment horizontal="center"/>
    </xf>
    <xf numFmtId="3" fontId="136" fillId="0" borderId="0" xfId="11" applyNumberFormat="1" applyFont="1" applyAlignment="1">
      <alignment horizontal="center"/>
    </xf>
    <xf numFmtId="0" fontId="138" fillId="0" borderId="45" xfId="11" applyFont="1" applyBorder="1" applyAlignment="1">
      <alignment horizontal="center"/>
    </xf>
    <xf numFmtId="167" fontId="138" fillId="0" borderId="0" xfId="11" applyNumberFormat="1" applyFont="1" applyAlignment="1">
      <alignment horizontal="center"/>
    </xf>
    <xf numFmtId="0" fontId="136" fillId="0" borderId="15" xfId="11" applyFont="1" applyBorder="1" applyAlignment="1">
      <alignment horizontal="center"/>
    </xf>
    <xf numFmtId="164" fontId="138" fillId="0" borderId="59" xfId="11" applyNumberFormat="1" applyFont="1" applyBorder="1" applyAlignment="1">
      <alignment horizontal="center"/>
    </xf>
    <xf numFmtId="0" fontId="138" fillId="0" borderId="0" xfId="33" applyFont="1" applyAlignment="1">
      <alignment horizontal="center"/>
    </xf>
    <xf numFmtId="0" fontId="138" fillId="0" borderId="15" xfId="11" applyFont="1" applyBorder="1" applyAlignment="1">
      <alignment horizontal="center"/>
    </xf>
    <xf numFmtId="3" fontId="31" fillId="0" borderId="0" xfId="11" applyNumberFormat="1" applyFont="1"/>
    <xf numFmtId="3" fontId="25" fillId="0" borderId="19" xfId="11" applyNumberFormat="1" applyFont="1" applyBorder="1" applyAlignment="1">
      <alignment horizontal="left" vertical="center"/>
    </xf>
    <xf numFmtId="0" fontId="118" fillId="0" borderId="0" xfId="11" applyFont="1"/>
    <xf numFmtId="164" fontId="24" fillId="0" borderId="0" xfId="11" applyNumberFormat="1" applyFont="1" applyAlignment="1">
      <alignment horizontal="center"/>
    </xf>
    <xf numFmtId="164" fontId="118" fillId="0" borderId="0" xfId="11" applyNumberFormat="1" applyFont="1" applyAlignment="1">
      <alignment horizontal="center"/>
    </xf>
    <xf numFmtId="164" fontId="18" fillId="0" borderId="19" xfId="11" applyNumberFormat="1" applyFont="1" applyBorder="1" applyAlignment="1">
      <alignment horizontal="center" wrapText="1"/>
    </xf>
    <xf numFmtId="0" fontId="18" fillId="0" borderId="19" xfId="11" applyFont="1" applyBorder="1" applyAlignment="1">
      <alignment horizontal="left" vertical="center"/>
    </xf>
    <xf numFmtId="164" fontId="18" fillId="0" borderId="19" xfId="11" applyNumberFormat="1" applyFont="1" applyBorder="1" applyAlignment="1">
      <alignment horizontal="center" vertical="center"/>
    </xf>
    <xf numFmtId="0" fontId="138" fillId="0" borderId="19" xfId="11" applyFont="1" applyBorder="1" applyAlignment="1">
      <alignment horizontal="center" vertical="center"/>
    </xf>
    <xf numFmtId="0" fontId="174" fillId="0" borderId="0" xfId="11" applyFont="1" applyAlignment="1">
      <alignment horizontal="center"/>
    </xf>
    <xf numFmtId="0" fontId="175" fillId="0" borderId="0" xfId="11" applyFont="1" applyAlignment="1">
      <alignment horizontal="center"/>
    </xf>
    <xf numFmtId="3" fontId="175" fillId="0" borderId="0" xfId="11" applyNumberFormat="1" applyFont="1" applyAlignment="1">
      <alignment horizontal="center"/>
    </xf>
    <xf numFmtId="0" fontId="136" fillId="0" borderId="59" xfId="11" applyFont="1" applyBorder="1" applyAlignment="1">
      <alignment horizontal="center"/>
    </xf>
    <xf numFmtId="3" fontId="23" fillId="0" borderId="0" xfId="11" applyNumberFormat="1" applyFont="1" applyAlignment="1">
      <alignment vertical="top"/>
    </xf>
    <xf numFmtId="3" fontId="8" fillId="0" borderId="0" xfId="11" applyNumberFormat="1" applyFont="1" applyAlignment="1">
      <alignment vertical="top"/>
    </xf>
    <xf numFmtId="3" fontId="31" fillId="0" borderId="0" xfId="11" applyNumberFormat="1" applyFont="1" applyAlignment="1">
      <alignment vertical="top"/>
    </xf>
    <xf numFmtId="3" fontId="5" fillId="0" borderId="0" xfId="11" applyNumberFormat="1" applyFont="1" applyAlignment="1">
      <alignment vertical="center"/>
    </xf>
    <xf numFmtId="3" fontId="138" fillId="0" borderId="0" xfId="11" applyNumberFormat="1" applyFont="1" applyAlignment="1">
      <alignment horizontal="center" vertical="center"/>
    </xf>
    <xf numFmtId="3" fontId="13" fillId="0" borderId="0" xfId="11" applyNumberFormat="1" applyFont="1" applyAlignment="1">
      <alignment vertical="center"/>
    </xf>
    <xf numFmtId="0" fontId="6" fillId="0" borderId="0" xfId="11" applyAlignment="1">
      <alignment vertical="center"/>
    </xf>
    <xf numFmtId="3" fontId="75" fillId="0" borderId="0" xfId="11" applyNumberFormat="1" applyFont="1" applyAlignment="1">
      <alignment vertical="center"/>
    </xf>
    <xf numFmtId="167" fontId="5" fillId="0" borderId="0" xfId="11" applyNumberFormat="1" applyFont="1" applyAlignment="1">
      <alignment vertical="center"/>
    </xf>
    <xf numFmtId="3" fontId="25" fillId="0" borderId="15" xfId="11" applyNumberFormat="1" applyFont="1" applyBorder="1" applyAlignment="1">
      <alignment vertical="center"/>
    </xf>
    <xf numFmtId="3" fontId="137" fillId="0" borderId="15" xfId="11" applyNumberFormat="1" applyFont="1" applyBorder="1" applyAlignment="1">
      <alignment vertical="center"/>
    </xf>
    <xf numFmtId="167" fontId="25" fillId="0" borderId="15" xfId="11" applyNumberFormat="1" applyFont="1" applyBorder="1" applyAlignment="1">
      <alignment vertical="center"/>
    </xf>
    <xf numFmtId="3" fontId="138" fillId="0" borderId="0" xfId="11" applyNumberFormat="1" applyFont="1" applyAlignment="1">
      <alignment vertical="center"/>
    </xf>
    <xf numFmtId="0" fontId="8" fillId="0" borderId="45" xfId="35" applyFont="1" applyBorder="1" applyAlignment="1">
      <alignment horizontal="centerContinuous" wrapText="1"/>
    </xf>
    <xf numFmtId="3" fontId="8" fillId="0" borderId="45" xfId="35" applyNumberFormat="1" applyFont="1" applyBorder="1" applyAlignment="1">
      <alignment horizontal="centerContinuous" wrapText="1"/>
    </xf>
    <xf numFmtId="0" fontId="8" fillId="0" borderId="45" xfId="35" applyFont="1" applyBorder="1" applyAlignment="1">
      <alignment horizontal="center" wrapText="1"/>
    </xf>
    <xf numFmtId="167" fontId="13" fillId="0" borderId="0" xfId="35" applyNumberFormat="1" applyAlignment="1">
      <alignment vertical="top"/>
    </xf>
    <xf numFmtId="3" fontId="13" fillId="0" borderId="0" xfId="35" applyNumberFormat="1" applyAlignment="1">
      <alignment horizontal="center" vertical="top"/>
    </xf>
    <xf numFmtId="3" fontId="5" fillId="0" borderId="0" xfId="22" applyNumberFormat="1" applyFont="1" applyAlignment="1">
      <alignment horizontal="right" vertical="top"/>
    </xf>
    <xf numFmtId="175" fontId="5" fillId="0" borderId="0" xfId="22" applyNumberFormat="1" applyFont="1" applyAlignment="1">
      <alignment horizontal="center" vertical="top"/>
    </xf>
    <xf numFmtId="167" fontId="5" fillId="0" borderId="0" xfId="22" applyNumberFormat="1" applyFont="1" applyAlignment="1">
      <alignment horizontal="right"/>
    </xf>
    <xf numFmtId="175" fontId="5" fillId="0" borderId="0" xfId="22" applyNumberFormat="1" applyFont="1" applyAlignment="1">
      <alignment horizontal="center"/>
    </xf>
    <xf numFmtId="167" fontId="129" fillId="0" borderId="2" xfId="0" applyNumberFormat="1" applyFont="1" applyBorder="1"/>
    <xf numFmtId="164" fontId="98" fillId="0" borderId="0" xfId="0" applyNumberFormat="1" applyFont="1" applyAlignment="1">
      <alignment horizontal="right"/>
    </xf>
    <xf numFmtId="3" fontId="98" fillId="0" borderId="0" xfId="0" applyNumberFormat="1" applyFont="1" applyAlignment="1">
      <alignment horizontal="right"/>
    </xf>
    <xf numFmtId="164" fontId="129" fillId="0" borderId="2" xfId="0" applyNumberFormat="1" applyFont="1" applyBorder="1"/>
    <xf numFmtId="164" fontId="98" fillId="0" borderId="0" xfId="0" applyNumberFormat="1" applyFont="1"/>
    <xf numFmtId="165" fontId="129" fillId="0" borderId="0" xfId="0" applyNumberFormat="1" applyFont="1"/>
    <xf numFmtId="10" fontId="98" fillId="0" borderId="0" xfId="8" applyNumberFormat="1" applyFont="1"/>
    <xf numFmtId="0" fontId="138" fillId="0" borderId="0" xfId="84" applyFont="1"/>
    <xf numFmtId="164" fontId="175" fillId="0" borderId="0" xfId="8" applyNumberFormat="1" applyFont="1"/>
    <xf numFmtId="164" fontId="129" fillId="0" borderId="0" xfId="8" applyNumberFormat="1" applyFont="1"/>
    <xf numFmtId="164" fontId="176" fillId="0" borderId="0" xfId="8" applyNumberFormat="1" applyFont="1" applyAlignment="1">
      <alignment horizontal="right"/>
    </xf>
    <xf numFmtId="164" fontId="98" fillId="0" borderId="0" xfId="8" applyNumberFormat="1" applyFont="1" applyAlignment="1">
      <alignment horizontal="right"/>
    </xf>
    <xf numFmtId="164" fontId="175" fillId="0" borderId="15" xfId="8" applyNumberFormat="1" applyFont="1" applyBorder="1"/>
    <xf numFmtId="164" fontId="129" fillId="0" borderId="15" xfId="8" applyNumberFormat="1" applyFont="1" applyBorder="1"/>
    <xf numFmtId="0" fontId="103" fillId="0" borderId="13" xfId="29" applyFont="1" applyBorder="1"/>
    <xf numFmtId="0" fontId="6" fillId="0" borderId="0" xfId="0" applyFont="1" applyAlignment="1">
      <alignment vertical="top"/>
    </xf>
    <xf numFmtId="3" fontId="6" fillId="0" borderId="0" xfId="0" applyNumberFormat="1" applyFont="1" applyAlignment="1">
      <alignment vertical="top"/>
    </xf>
    <xf numFmtId="0" fontId="74" fillId="0" borderId="0" xfId="84" applyFont="1" applyAlignment="1">
      <alignment horizontal="right" indent="1"/>
    </xf>
    <xf numFmtId="3" fontId="116" fillId="0" borderId="0" xfId="0" applyNumberFormat="1" applyFont="1"/>
    <xf numFmtId="5" fontId="75" fillId="0" borderId="0" xfId="14" applyNumberFormat="1" applyFont="1"/>
    <xf numFmtId="0" fontId="134" fillId="0" borderId="0" xfId="87" applyFont="1" applyAlignment="1">
      <alignment vertical="center"/>
    </xf>
    <xf numFmtId="0" fontId="173" fillId="0" borderId="0" xfId="87" applyFont="1" applyAlignment="1">
      <alignment vertical="center"/>
    </xf>
    <xf numFmtId="0" fontId="134" fillId="0" borderId="0" xfId="87" applyFont="1" applyAlignment="1">
      <alignment horizontal="left" vertical="center"/>
    </xf>
    <xf numFmtId="0" fontId="134" fillId="0" borderId="0" xfId="87" applyFont="1" applyAlignment="1">
      <alignment horizontal="center" vertical="center"/>
    </xf>
    <xf numFmtId="0" fontId="179" fillId="0" borderId="0" xfId="33" applyFont="1" applyAlignment="1">
      <alignment horizontal="left"/>
    </xf>
    <xf numFmtId="0" fontId="134" fillId="0" borderId="0" xfId="87" applyFont="1"/>
    <xf numFmtId="0" fontId="173" fillId="0" borderId="0" xfId="87" applyFont="1" applyAlignment="1">
      <alignment horizontal="right"/>
    </xf>
    <xf numFmtId="167" fontId="134" fillId="0" borderId="0" xfId="87" applyNumberFormat="1" applyFont="1"/>
    <xf numFmtId="10" fontId="134" fillId="0" borderId="0" xfId="36" applyNumberFormat="1" applyFont="1" applyFill="1"/>
    <xf numFmtId="0" fontId="180" fillId="0" borderId="0" xfId="87" applyFont="1" applyAlignment="1">
      <alignment horizontal="right"/>
    </xf>
    <xf numFmtId="10" fontId="134" fillId="0" borderId="0" xfId="89" applyNumberFormat="1" applyFont="1" applyFill="1" applyBorder="1" applyAlignment="1">
      <alignment horizontal="left"/>
    </xf>
    <xf numFmtId="10" fontId="134" fillId="0" borderId="0" xfId="89" applyNumberFormat="1" applyFont="1" applyFill="1" applyBorder="1" applyAlignment="1">
      <alignment horizontal="left" vertical="center"/>
    </xf>
    <xf numFmtId="10" fontId="134" fillId="0" borderId="0" xfId="89" applyNumberFormat="1" applyFont="1" applyFill="1" applyAlignment="1">
      <alignment horizontal="left" vertical="center"/>
    </xf>
    <xf numFmtId="10" fontId="177" fillId="0" borderId="0" xfId="89" applyNumberFormat="1" applyFont="1" applyFill="1" applyAlignment="1">
      <alignment horizontal="left" vertical="center"/>
    </xf>
    <xf numFmtId="10" fontId="134" fillId="0" borderId="0" xfId="89" applyNumberFormat="1" applyFont="1" applyFill="1" applyAlignment="1">
      <alignment horizontal="left"/>
    </xf>
    <xf numFmtId="0" fontId="177" fillId="0" borderId="0" xfId="0" applyFont="1" applyAlignment="1">
      <alignment vertical="top" wrapText="1"/>
    </xf>
    <xf numFmtId="0" fontId="134" fillId="0" borderId="0" xfId="0" applyFont="1" applyAlignment="1">
      <alignment vertical="top" wrapText="1"/>
    </xf>
    <xf numFmtId="0" fontId="134" fillId="0" borderId="0" xfId="84" applyFont="1"/>
    <xf numFmtId="0" fontId="18" fillId="4" borderId="14" xfId="32" applyFont="1" applyFill="1" applyBorder="1" applyAlignment="1">
      <alignment horizontal="right" vertical="center" wrapText="1"/>
    </xf>
    <xf numFmtId="170" fontId="25" fillId="4" borderId="0" xfId="32" applyNumberFormat="1" applyFont="1" applyFill="1" applyAlignment="1">
      <alignment horizontal="left" vertical="center"/>
    </xf>
    <xf numFmtId="0" fontId="13" fillId="4" borderId="0" xfId="32" applyFill="1" applyAlignment="1">
      <alignment vertical="center"/>
    </xf>
    <xf numFmtId="167" fontId="13" fillId="4" borderId="0" xfId="38" applyNumberFormat="1" applyFont="1" applyFill="1" applyAlignment="1">
      <alignment vertical="center"/>
    </xf>
    <xf numFmtId="0" fontId="181" fillId="0" borderId="0" xfId="11" applyFont="1"/>
    <xf numFmtId="0" fontId="134" fillId="0" borderId="0" xfId="11" applyFont="1"/>
    <xf numFmtId="3" fontId="134" fillId="0" borderId="0" xfId="11" applyNumberFormat="1" applyFont="1"/>
    <xf numFmtId="167" fontId="134" fillId="0" borderId="0" xfId="11" applyNumberFormat="1" applyFont="1"/>
    <xf numFmtId="0" fontId="181" fillId="0" borderId="0" xfId="11" applyFont="1" applyAlignment="1">
      <alignment vertical="center"/>
    </xf>
    <xf numFmtId="0" fontId="134" fillId="0" borderId="0" xfId="11" applyFont="1" applyAlignment="1">
      <alignment vertical="center"/>
    </xf>
    <xf numFmtId="3" fontId="134" fillId="0" borderId="0" xfId="11" applyNumberFormat="1" applyFont="1" applyAlignment="1">
      <alignment vertical="center"/>
    </xf>
    <xf numFmtId="0" fontId="177" fillId="0" borderId="0" xfId="11" applyFont="1"/>
    <xf numFmtId="178" fontId="177" fillId="0" borderId="0" xfId="41" applyNumberFormat="1" applyFont="1" applyFill="1" applyAlignment="1"/>
    <xf numFmtId="0" fontId="181" fillId="0" borderId="0" xfId="0" applyFont="1"/>
    <xf numFmtId="0" fontId="181" fillId="0" borderId="0" xfId="8" applyFont="1" applyAlignment="1">
      <alignment horizontal="left" vertical="center"/>
    </xf>
    <xf numFmtId="0" fontId="134" fillId="0" borderId="0" xfId="0" applyFont="1"/>
    <xf numFmtId="42" fontId="134" fillId="0" borderId="0" xfId="0" applyNumberFormat="1" applyFont="1"/>
    <xf numFmtId="0" fontId="134" fillId="0" borderId="0" xfId="0" applyFont="1" applyAlignment="1">
      <alignment horizontal="center"/>
    </xf>
    <xf numFmtId="0" fontId="184" fillId="0" borderId="0" xfId="0" applyFont="1"/>
    <xf numFmtId="0" fontId="177" fillId="0" borderId="0" xfId="0" applyFont="1"/>
    <xf numFmtId="4" fontId="177" fillId="0" borderId="0" xfId="0" applyNumberFormat="1" applyFont="1"/>
    <xf numFmtId="2" fontId="177" fillId="0" borderId="0" xfId="0" applyNumberFormat="1" applyFont="1"/>
    <xf numFmtId="4" fontId="134" fillId="0" borderId="0" xfId="0" applyNumberFormat="1" applyFont="1"/>
    <xf numFmtId="3" fontId="181" fillId="0" borderId="0" xfId="35" applyNumberFormat="1" applyFont="1"/>
    <xf numFmtId="0" fontId="140" fillId="0" borderId="0" xfId="35" applyFont="1"/>
    <xf numFmtId="3" fontId="140" fillId="0" borderId="0" xfId="35" applyNumberFormat="1" applyFont="1" applyAlignment="1">
      <alignment horizontal="right"/>
    </xf>
    <xf numFmtId="164" fontId="140" fillId="0" borderId="0" xfId="35" applyNumberFormat="1" applyFont="1" applyAlignment="1">
      <alignment horizontal="right"/>
    </xf>
    <xf numFmtId="10" fontId="140" fillId="0" borderId="0" xfId="35" applyNumberFormat="1" applyFont="1" applyAlignment="1">
      <alignment horizontal="right"/>
    </xf>
    <xf numFmtId="10" fontId="140" fillId="0" borderId="0" xfId="36" applyNumberFormat="1" applyFont="1" applyFill="1" applyBorder="1" applyAlignment="1">
      <alignment horizontal="right"/>
    </xf>
    <xf numFmtId="177" fontId="140" fillId="0" borderId="0" xfId="36" applyNumberFormat="1" applyFont="1" applyFill="1" applyBorder="1" applyAlignment="1">
      <alignment horizontal="center"/>
    </xf>
    <xf numFmtId="0" fontId="134" fillId="0" borderId="0" xfId="35" applyFont="1"/>
    <xf numFmtId="3" fontId="140" fillId="0" borderId="0" xfId="35" applyNumberFormat="1" applyFont="1"/>
    <xf numFmtId="169" fontId="134" fillId="0" borderId="0" xfId="35" applyNumberFormat="1" applyFont="1"/>
    <xf numFmtId="3" fontId="134" fillId="0" borderId="0" xfId="35" applyNumberFormat="1" applyFont="1" applyAlignment="1">
      <alignment horizontal="right"/>
    </xf>
    <xf numFmtId="0" fontId="134" fillId="0" borderId="0" xfId="35" applyFont="1" applyAlignment="1">
      <alignment horizontal="center"/>
    </xf>
    <xf numFmtId="0" fontId="181" fillId="0" borderId="0" xfId="35" applyFont="1"/>
    <xf numFmtId="0" fontId="140" fillId="0" borderId="0" xfId="35" applyFont="1" applyAlignment="1">
      <alignment horizontal="center"/>
    </xf>
    <xf numFmtId="0" fontId="134" fillId="0" borderId="0" xfId="22" applyFont="1"/>
    <xf numFmtId="0" fontId="134" fillId="0" borderId="0" xfId="22" applyFont="1" applyAlignment="1">
      <alignment horizontal="center"/>
    </xf>
    <xf numFmtId="164" fontId="18" fillId="0" borderId="19" xfId="11" applyNumberFormat="1" applyFont="1" applyBorder="1" applyAlignment="1">
      <alignment horizontal="center" vertical="center" wrapText="1"/>
    </xf>
    <xf numFmtId="0" fontId="134" fillId="0" borderId="0" xfId="25" applyFont="1"/>
    <xf numFmtId="0" fontId="134" fillId="0" borderId="0" xfId="0" applyFont="1" applyAlignment="1">
      <alignment horizontal="left" wrapText="1"/>
    </xf>
    <xf numFmtId="0" fontId="186" fillId="0" borderId="0" xfId="0" applyFont="1" applyAlignment="1">
      <alignment horizontal="left" wrapText="1"/>
    </xf>
    <xf numFmtId="0" fontId="134" fillId="0" borderId="0" xfId="25" applyFont="1" applyAlignment="1">
      <alignment horizontal="right"/>
    </xf>
    <xf numFmtId="0" fontId="140" fillId="0" borderId="0" xfId="25" applyFont="1" applyAlignment="1">
      <alignment horizontal="center"/>
    </xf>
    <xf numFmtId="0" fontId="134" fillId="0" borderId="0" xfId="20" applyFont="1" applyAlignment="1">
      <alignment horizontal="left" wrapText="1"/>
    </xf>
    <xf numFmtId="0" fontId="134" fillId="0" borderId="0" xfId="20" applyFont="1" applyAlignment="1">
      <alignment horizontal="left"/>
    </xf>
    <xf numFmtId="0" fontId="140" fillId="0" borderId="0" xfId="25" applyFont="1"/>
    <xf numFmtId="0" fontId="134" fillId="0" borderId="0" xfId="0" applyFont="1" applyAlignment="1">
      <alignment horizontal="left"/>
    </xf>
    <xf numFmtId="0" fontId="134" fillId="0" borderId="0" xfId="21" applyFont="1"/>
    <xf numFmtId="0" fontId="13" fillId="0" borderId="16" xfId="21" applyFont="1" applyBorder="1" applyAlignment="1">
      <alignment vertical="center"/>
    </xf>
    <xf numFmtId="0" fontId="25" fillId="0" borderId="6" xfId="21" applyFont="1" applyBorder="1" applyAlignment="1">
      <alignment horizontal="center" vertical="center" wrapText="1"/>
    </xf>
    <xf numFmtId="0" fontId="25" fillId="0" borderId="1" xfId="21" applyFont="1" applyBorder="1" applyAlignment="1">
      <alignment vertical="center"/>
    </xf>
    <xf numFmtId="0" fontId="25" fillId="0" borderId="1" xfId="21" applyFont="1" applyBorder="1" applyAlignment="1">
      <alignment horizontal="right" vertical="center"/>
    </xf>
    <xf numFmtId="0" fontId="18" fillId="0" borderId="17" xfId="21" quotePrefix="1" applyFont="1" applyBorder="1" applyAlignment="1">
      <alignment horizontal="centerContinuous" vertical="center"/>
    </xf>
    <xf numFmtId="0" fontId="5" fillId="0" borderId="17" xfId="40" applyBorder="1" applyAlignment="1">
      <alignment horizontal="centerContinuous" vertical="center"/>
    </xf>
    <xf numFmtId="0" fontId="181" fillId="0" borderId="0" xfId="21" applyFont="1" applyAlignment="1">
      <alignment vertical="center"/>
    </xf>
    <xf numFmtId="3" fontId="187" fillId="0" borderId="0" xfId="21" applyNumberFormat="1" applyFont="1" applyAlignment="1">
      <alignment vertical="center"/>
    </xf>
    <xf numFmtId="164" fontId="187" fillId="0" borderId="0" xfId="21" applyNumberFormat="1" applyFont="1" applyAlignment="1">
      <alignment vertical="center"/>
    </xf>
    <xf numFmtId="167" fontId="187" fillId="0" borderId="0" xfId="21" applyNumberFormat="1" applyFont="1" applyAlignment="1">
      <alignment vertical="center"/>
    </xf>
    <xf numFmtId="0" fontId="134" fillId="0" borderId="0" xfId="26" applyFont="1"/>
    <xf numFmtId="0" fontId="181" fillId="0" borderId="0" xfId="26" applyFont="1"/>
    <xf numFmtId="39" fontId="18" fillId="0" borderId="0" xfId="14" applyNumberFormat="1" applyFont="1" applyAlignment="1">
      <alignment horizontal="right" wrapText="1"/>
    </xf>
    <xf numFmtId="169" fontId="96" fillId="0" borderId="0" xfId="14" applyNumberFormat="1" applyFont="1" applyAlignment="1">
      <alignment vertical="center"/>
    </xf>
    <xf numFmtId="169" fontId="103" fillId="0" borderId="0" xfId="14" applyNumberFormat="1" applyFont="1"/>
    <xf numFmtId="9" fontId="187" fillId="0" borderId="0" xfId="14" applyNumberFormat="1" applyFont="1" applyAlignment="1">
      <alignment vertical="center"/>
    </xf>
    <xf numFmtId="0" fontId="181" fillId="0" borderId="0" xfId="13" applyFont="1" applyAlignment="1">
      <alignment vertical="center"/>
    </xf>
    <xf numFmtId="39" fontId="181" fillId="0" borderId="0" xfId="14" applyNumberFormat="1" applyFont="1" applyAlignment="1">
      <alignment vertical="center"/>
    </xf>
    <xf numFmtId="0" fontId="134" fillId="0" borderId="0" xfId="0" applyFont="1" applyAlignment="1">
      <alignment vertical="center"/>
    </xf>
    <xf numFmtId="0" fontId="134" fillId="0" borderId="0" xfId="0" applyFont="1" applyAlignment="1">
      <alignment horizontal="left" vertical="center"/>
    </xf>
    <xf numFmtId="3" fontId="134" fillId="0" borderId="0" xfId="0" applyNumberFormat="1" applyFont="1" applyAlignment="1">
      <alignment vertical="center"/>
    </xf>
    <xf numFmtId="0" fontId="134" fillId="0" borderId="0" xfId="40" applyFont="1" applyAlignment="1">
      <alignment horizontal="left" vertical="center"/>
    </xf>
    <xf numFmtId="0" fontId="134" fillId="0" borderId="0" xfId="84" applyFont="1" applyAlignment="1">
      <alignment vertical="center"/>
    </xf>
    <xf numFmtId="37" fontId="134" fillId="0" borderId="0" xfId="16" applyNumberFormat="1" applyFont="1" applyAlignment="1">
      <alignment vertical="center"/>
    </xf>
    <xf numFmtId="37" fontId="184" fillId="0" borderId="0" xfId="16" applyNumberFormat="1" applyFont="1" applyAlignment="1">
      <alignment vertical="center"/>
    </xf>
    <xf numFmtId="0" fontId="134" fillId="0" borderId="0" xfId="16" applyFont="1" applyAlignment="1">
      <alignment vertical="center"/>
    </xf>
    <xf numFmtId="3" fontId="184" fillId="0" borderId="0" xfId="16" applyNumberFormat="1" applyFont="1" applyAlignment="1">
      <alignment vertical="center"/>
    </xf>
    <xf numFmtId="0" fontId="184" fillId="0" borderId="0" xfId="16" applyFont="1" applyAlignment="1">
      <alignment vertical="center"/>
    </xf>
    <xf numFmtId="2" fontId="134" fillId="0" borderId="0" xfId="16" applyNumberFormat="1" applyFont="1" applyAlignment="1">
      <alignment vertical="center"/>
    </xf>
    <xf numFmtId="0" fontId="177" fillId="0" borderId="0" xfId="16" applyFont="1" applyAlignment="1">
      <alignment vertical="center"/>
    </xf>
    <xf numFmtId="41" fontId="177" fillId="0" borderId="0" xfId="16" applyNumberFormat="1" applyFont="1" applyAlignment="1">
      <alignment vertical="center"/>
    </xf>
    <xf numFmtId="41" fontId="134" fillId="0" borderId="0" xfId="36" applyNumberFormat="1" applyFont="1"/>
    <xf numFmtId="0" fontId="177" fillId="0" borderId="0" xfId="0" applyFont="1" applyAlignment="1">
      <alignment vertical="center"/>
    </xf>
    <xf numFmtId="0" fontId="177" fillId="0" borderId="0" xfId="16" applyFont="1" applyAlignment="1">
      <alignment horizontal="left" vertical="center"/>
    </xf>
    <xf numFmtId="0" fontId="177" fillId="0" borderId="0" xfId="16" applyFont="1" applyAlignment="1">
      <alignment horizontal="left" vertical="center" wrapText="1"/>
    </xf>
    <xf numFmtId="0" fontId="142" fillId="0" borderId="0" xfId="8" applyFont="1" applyAlignment="1">
      <alignment horizontal="left" vertical="center"/>
    </xf>
    <xf numFmtId="0" fontId="181" fillId="0" borderId="0" xfId="16" applyFont="1" applyAlignment="1">
      <alignment horizontal="left" vertical="center"/>
    </xf>
    <xf numFmtId="0" fontId="181" fillId="0" borderId="0" xfId="16" applyFont="1" applyAlignment="1">
      <alignment vertical="center"/>
    </xf>
    <xf numFmtId="0" fontId="134" fillId="0" borderId="0" xfId="28" applyFont="1"/>
    <xf numFmtId="0" fontId="181" fillId="0" borderId="0" xfId="28" applyFont="1"/>
    <xf numFmtId="0" fontId="181" fillId="0" borderId="0" xfId="0" applyFont="1" applyAlignment="1">
      <alignment horizontal="left" vertical="center"/>
    </xf>
    <xf numFmtId="0" fontId="181" fillId="0" borderId="0" xfId="0" applyFont="1" applyAlignment="1">
      <alignment vertical="center"/>
    </xf>
    <xf numFmtId="0" fontId="181" fillId="0" borderId="0" xfId="28" applyFont="1" applyAlignment="1">
      <alignment horizontal="left" vertical="center"/>
    </xf>
    <xf numFmtId="0" fontId="181" fillId="0" borderId="0" xfId="28" applyFont="1" applyAlignment="1">
      <alignment vertical="center"/>
    </xf>
    <xf numFmtId="0" fontId="50" fillId="0" borderId="19" xfId="28" applyFont="1" applyBorder="1" applyAlignment="1">
      <alignment horizontal="right" indent="2"/>
    </xf>
    <xf numFmtId="0" fontId="148" fillId="0" borderId="0" xfId="28" applyFont="1" applyAlignment="1">
      <alignment horizontal="left" vertical="center"/>
    </xf>
    <xf numFmtId="0" fontId="181" fillId="0" borderId="0" xfId="10" applyFont="1" applyAlignment="1">
      <alignment vertical="center"/>
    </xf>
    <xf numFmtId="37" fontId="181" fillId="0" borderId="0" xfId="17" applyNumberFormat="1" applyFont="1" applyAlignment="1">
      <alignment vertical="center"/>
    </xf>
    <xf numFmtId="0" fontId="181" fillId="0" borderId="0" xfId="17" applyFont="1" applyAlignment="1">
      <alignment vertical="center"/>
    </xf>
    <xf numFmtId="3" fontId="181" fillId="0" borderId="0" xfId="17" applyNumberFormat="1" applyFont="1" applyAlignment="1">
      <alignment vertical="center"/>
    </xf>
    <xf numFmtId="0" fontId="17" fillId="0" borderId="10" xfId="0" applyFont="1" applyBorder="1" applyAlignment="1">
      <alignment horizontal="right"/>
    </xf>
    <xf numFmtId="0" fontId="18" fillId="0" borderId="10" xfId="0" applyFont="1" applyBorder="1" applyAlignment="1">
      <alignment horizontal="right"/>
    </xf>
    <xf numFmtId="0" fontId="36" fillId="0" borderId="10" xfId="0" applyFont="1" applyBorder="1" applyAlignment="1">
      <alignment horizontal="right"/>
    </xf>
    <xf numFmtId="0" fontId="17" fillId="0" borderId="1" xfId="0" applyFont="1" applyBorder="1" applyAlignment="1">
      <alignment horizontal="right" indent="2"/>
    </xf>
    <xf numFmtId="0" fontId="17" fillId="0" borderId="1" xfId="0" applyFont="1" applyBorder="1" applyAlignment="1">
      <alignment horizontal="right" indent="1"/>
    </xf>
    <xf numFmtId="0" fontId="36" fillId="0" borderId="1" xfId="0" applyFont="1" applyBorder="1" applyAlignment="1">
      <alignment horizontal="right" indent="2"/>
    </xf>
    <xf numFmtId="0" fontId="25" fillId="0" borderId="10" xfId="0" applyFont="1" applyBorder="1" applyAlignment="1">
      <alignment horizontal="right" indent="1"/>
    </xf>
    <xf numFmtId="4" fontId="18" fillId="0" borderId="1" xfId="0" applyNumberFormat="1" applyFont="1" applyBorder="1" applyAlignment="1">
      <alignment horizontal="right" indent="2"/>
    </xf>
    <xf numFmtId="167" fontId="25" fillId="0" borderId="1" xfId="0" applyNumberFormat="1" applyFont="1" applyBorder="1" applyAlignment="1">
      <alignment horizontal="right" indent="1"/>
    </xf>
    <xf numFmtId="0" fontId="17" fillId="0" borderId="10" xfId="0" applyFont="1" applyBorder="1" applyAlignment="1">
      <alignment horizontal="right" indent="1"/>
    </xf>
    <xf numFmtId="167" fontId="18" fillId="0" borderId="1" xfId="0" applyNumberFormat="1" applyFont="1" applyBorder="1" applyAlignment="1">
      <alignment horizontal="right" indent="2"/>
    </xf>
    <xf numFmtId="0" fontId="36" fillId="0" borderId="10" xfId="0" applyFont="1" applyBorder="1" applyAlignment="1">
      <alignment horizontal="right" indent="2"/>
    </xf>
    <xf numFmtId="3" fontId="5" fillId="0" borderId="0" xfId="0" applyNumberFormat="1" applyFont="1" applyAlignment="1">
      <alignment horizontal="right" indent="1"/>
    </xf>
    <xf numFmtId="3" fontId="5" fillId="0" borderId="0" xfId="36" applyNumberFormat="1" applyFont="1" applyFill="1" applyBorder="1" applyAlignment="1">
      <alignment horizontal="right" indent="1"/>
    </xf>
    <xf numFmtId="167" fontId="5" fillId="0" borderId="0" xfId="16" applyNumberFormat="1" applyFont="1" applyAlignment="1">
      <alignment horizontal="right" indent="2"/>
    </xf>
    <xf numFmtId="3" fontId="5" fillId="0" borderId="0" xfId="16" applyNumberFormat="1" applyFont="1" applyAlignment="1">
      <alignment horizontal="right" indent="2"/>
    </xf>
    <xf numFmtId="3" fontId="5" fillId="0" borderId="0" xfId="0" applyNumberFormat="1" applyFont="1" applyAlignment="1">
      <alignment horizontal="right" indent="2"/>
    </xf>
    <xf numFmtId="3" fontId="5" fillId="0" borderId="0" xfId="36" applyNumberFormat="1" applyFont="1" applyFill="1" applyBorder="1" applyAlignment="1">
      <alignment horizontal="right" indent="2"/>
    </xf>
    <xf numFmtId="0" fontId="134" fillId="0" borderId="0" xfId="0" applyFont="1" applyAlignment="1">
      <alignment vertical="top"/>
    </xf>
    <xf numFmtId="3" fontId="181" fillId="0" borderId="0" xfId="0" applyNumberFormat="1" applyFont="1"/>
    <xf numFmtId="0" fontId="181" fillId="0" borderId="0" xfId="0" applyFont="1" applyAlignment="1">
      <alignment vertical="top"/>
    </xf>
    <xf numFmtId="1" fontId="19" fillId="0" borderId="0" xfId="0" applyNumberFormat="1" applyFont="1" applyAlignment="1">
      <alignment horizontal="right" indent="1"/>
    </xf>
    <xf numFmtId="0" fontId="83" fillId="0" borderId="0" xfId="9" applyFont="1"/>
    <xf numFmtId="0" fontId="81" fillId="0" borderId="0" xfId="9" applyFont="1"/>
    <xf numFmtId="0" fontId="5" fillId="0" borderId="0" xfId="9" applyFont="1"/>
    <xf numFmtId="0" fontId="17" fillId="0" borderId="14" xfId="9" applyFont="1" applyBorder="1" applyAlignment="1">
      <alignment horizontal="right" vertical="center" wrapText="1"/>
    </xf>
    <xf numFmtId="0" fontId="18" fillId="0" borderId="14" xfId="9" applyFont="1" applyBorder="1" applyAlignment="1">
      <alignment horizontal="right" vertical="center" wrapText="1"/>
    </xf>
    <xf numFmtId="0" fontId="103" fillId="0" borderId="15" xfId="29" applyFont="1" applyBorder="1" applyAlignment="1">
      <alignment vertical="center"/>
    </xf>
    <xf numFmtId="0" fontId="41" fillId="0" borderId="0" xfId="29" applyAlignment="1">
      <alignment vertical="center"/>
    </xf>
    <xf numFmtId="0" fontId="41" fillId="0" borderId="15" xfId="29" applyBorder="1" applyAlignment="1">
      <alignment vertical="center"/>
    </xf>
    <xf numFmtId="0" fontId="25" fillId="0" borderId="15" xfId="29" applyFont="1" applyBorder="1" applyAlignment="1">
      <alignment horizontal="center" vertical="center"/>
    </xf>
    <xf numFmtId="0" fontId="23" fillId="0" borderId="0" xfId="29" applyFont="1" applyAlignment="1">
      <alignment vertical="center"/>
    </xf>
    <xf numFmtId="0" fontId="93" fillId="0" borderId="0" xfId="86" applyAlignment="1" applyProtection="1">
      <alignment horizontal="right" vertical="center"/>
    </xf>
    <xf numFmtId="0" fontId="8" fillId="0" borderId="0" xfId="29" applyFont="1" applyAlignment="1">
      <alignment vertical="center"/>
    </xf>
    <xf numFmtId="0" fontId="181" fillId="4" borderId="0" xfId="10" applyFont="1" applyFill="1"/>
    <xf numFmtId="0" fontId="181" fillId="4" borderId="0" xfId="32" applyFont="1" applyFill="1"/>
    <xf numFmtId="167" fontId="181" fillId="4" borderId="0" xfId="38" applyNumberFormat="1" applyFont="1" applyFill="1"/>
    <xf numFmtId="0" fontId="181" fillId="4" borderId="39" xfId="10" applyFont="1" applyFill="1" applyBorder="1"/>
    <xf numFmtId="0" fontId="134" fillId="4" borderId="0" xfId="33" applyFont="1" applyFill="1" applyAlignment="1">
      <alignment vertical="top"/>
    </xf>
    <xf numFmtId="10" fontId="134" fillId="4" borderId="0" xfId="38" applyNumberFormat="1" applyFont="1" applyFill="1" applyAlignment="1">
      <alignment vertical="top"/>
    </xf>
    <xf numFmtId="0" fontId="134" fillId="4" borderId="0" xfId="33" applyFont="1" applyFill="1" applyAlignment="1">
      <alignment horizontal="left" vertical="top"/>
    </xf>
    <xf numFmtId="44" fontId="134" fillId="4" borderId="0" xfId="4" applyFont="1" applyFill="1" applyAlignment="1">
      <alignment vertical="top"/>
    </xf>
    <xf numFmtId="3" fontId="186" fillId="4" borderId="0" xfId="33" applyNumberFormat="1" applyFont="1" applyFill="1" applyAlignment="1">
      <alignment vertical="top"/>
    </xf>
    <xf numFmtId="0" fontId="186" fillId="4" borderId="0" xfId="33" applyFont="1" applyFill="1" applyAlignment="1">
      <alignment vertical="top"/>
    </xf>
    <xf numFmtId="3" fontId="134" fillId="4" borderId="0" xfId="33" applyNumberFormat="1" applyFont="1" applyFill="1" applyAlignment="1">
      <alignment vertical="top"/>
    </xf>
    <xf numFmtId="0" fontId="134" fillId="0" borderId="0" xfId="13" applyFont="1"/>
    <xf numFmtId="0" fontId="19" fillId="0" borderId="0" xfId="14" applyFont="1" applyAlignment="1">
      <alignment horizontal="left" vertical="center"/>
    </xf>
    <xf numFmtId="3" fontId="5" fillId="0" borderId="0" xfId="14" applyNumberFormat="1" applyFont="1" applyAlignment="1">
      <alignment vertical="center"/>
    </xf>
    <xf numFmtId="37" fontId="5" fillId="0" borderId="0" xfId="14" applyNumberFormat="1" applyFont="1" applyAlignment="1">
      <alignment vertical="center"/>
    </xf>
    <xf numFmtId="169" fontId="5" fillId="0" borderId="50" xfId="36" applyNumberFormat="1" applyFont="1" applyBorder="1" applyAlignment="1">
      <alignment vertical="center"/>
    </xf>
    <xf numFmtId="3" fontId="5" fillId="0" borderId="51" xfId="14" applyNumberFormat="1" applyFont="1" applyBorder="1" applyAlignment="1">
      <alignment vertical="center"/>
    </xf>
    <xf numFmtId="0" fontId="178" fillId="0" borderId="0" xfId="87" applyFont="1"/>
    <xf numFmtId="0" fontId="26" fillId="0" borderId="45" xfId="87" applyFont="1" applyBorder="1" applyAlignment="1">
      <alignment horizontal="left" vertical="center"/>
    </xf>
    <xf numFmtId="0" fontId="26" fillId="0" borderId="45" xfId="87" applyFont="1" applyBorder="1" applyAlignment="1">
      <alignment horizontal="right" vertical="center" wrapText="1"/>
    </xf>
    <xf numFmtId="0" fontId="26" fillId="0" borderId="45" xfId="87" applyFont="1" applyBorder="1" applyAlignment="1">
      <alignment horizontal="right" vertical="center" wrapText="1" indent="1"/>
    </xf>
    <xf numFmtId="0" fontId="181" fillId="0" borderId="0" xfId="87" applyFont="1" applyAlignment="1">
      <alignment horizontal="left" vertical="center"/>
    </xf>
    <xf numFmtId="0" fontId="181" fillId="0" borderId="0" xfId="87" applyFont="1" applyAlignment="1">
      <alignment vertical="center"/>
    </xf>
    <xf numFmtId="0" fontId="18" fillId="0" borderId="41" xfId="87" applyFont="1" applyBorder="1" applyAlignment="1">
      <alignment horizontal="left"/>
    </xf>
    <xf numFmtId="0" fontId="137" fillId="0" borderId="41" xfId="87" applyFont="1" applyBorder="1" applyAlignment="1">
      <alignment horizontal="center" vertical="center" wrapText="1"/>
    </xf>
    <xf numFmtId="3" fontId="18" fillId="0" borderId="41" xfId="87" applyNumberFormat="1" applyFont="1" applyBorder="1" applyAlignment="1">
      <alignment horizontal="right" vertical="center" indent="1"/>
    </xf>
    <xf numFmtId="3" fontId="18" fillId="0" borderId="41" xfId="87" applyNumberFormat="1" applyFont="1" applyBorder="1" applyAlignment="1">
      <alignment horizontal="right" vertical="center" indent="2"/>
    </xf>
    <xf numFmtId="3" fontId="18" fillId="0" borderId="41" xfId="87" applyNumberFormat="1" applyFont="1" applyBorder="1" applyAlignment="1">
      <alignment horizontal="right" vertical="center" indent="3"/>
    </xf>
    <xf numFmtId="0" fontId="18" fillId="0" borderId="41" xfId="87" applyFont="1" applyBorder="1" applyAlignment="1">
      <alignment vertical="center"/>
    </xf>
    <xf numFmtId="0" fontId="181" fillId="0" borderId="0" xfId="87" applyFont="1" applyAlignment="1">
      <alignment horizontal="left"/>
    </xf>
    <xf numFmtId="178" fontId="181" fillId="0" borderId="0" xfId="88" applyNumberFormat="1" applyFont="1" applyFill="1" applyAlignment="1">
      <alignment vertical="center"/>
    </xf>
    <xf numFmtId="9" fontId="188" fillId="0" borderId="0" xfId="36" applyFont="1" applyFill="1"/>
    <xf numFmtId="0" fontId="178" fillId="0" borderId="0" xfId="84" applyFont="1" applyAlignment="1">
      <alignment horizontal="center"/>
    </xf>
    <xf numFmtId="0" fontId="134" fillId="0" borderId="0" xfId="84" applyFont="1" applyAlignment="1">
      <alignment vertical="center" wrapText="1"/>
    </xf>
    <xf numFmtId="0" fontId="190" fillId="0" borderId="0" xfId="8" applyFont="1"/>
    <xf numFmtId="3" fontId="132" fillId="0" borderId="0" xfId="84" applyNumberFormat="1" applyFont="1"/>
    <xf numFmtId="41" fontId="96" fillId="0" borderId="0" xfId="35" applyNumberFormat="1" applyFont="1"/>
    <xf numFmtId="9" fontId="5" fillId="0" borderId="0" xfId="36" applyFont="1" applyAlignment="1"/>
    <xf numFmtId="0" fontId="6" fillId="0" borderId="0" xfId="16" applyAlignment="1">
      <alignment horizontal="center"/>
    </xf>
    <xf numFmtId="0" fontId="18" fillId="0" borderId="1" xfId="25" applyFont="1" applyBorder="1" applyAlignment="1">
      <alignment horizontal="right" indent="1"/>
    </xf>
    <xf numFmtId="0" fontId="75" fillId="0" borderId="0" xfId="0" applyFont="1" applyAlignment="1">
      <alignment wrapText="1"/>
    </xf>
    <xf numFmtId="0" fontId="75" fillId="0" borderId="0" xfId="0" applyFont="1" applyAlignment="1">
      <alignment horizontal="left" wrapText="1"/>
    </xf>
    <xf numFmtId="3" fontId="75" fillId="0" borderId="0" xfId="40" applyNumberFormat="1" applyFont="1" applyAlignment="1">
      <alignment horizontal="right"/>
    </xf>
    <xf numFmtId="0" fontId="6" fillId="0" borderId="0" xfId="8" applyFont="1" applyAlignment="1">
      <alignment horizontal="left"/>
    </xf>
    <xf numFmtId="3" fontId="6" fillId="0" borderId="0" xfId="12" applyNumberFormat="1"/>
    <xf numFmtId="3" fontId="5" fillId="0" borderId="0" xfId="22" applyNumberFormat="1" applyFont="1" applyAlignment="1">
      <alignment horizontal="right"/>
    </xf>
    <xf numFmtId="0" fontId="192" fillId="0" borderId="0" xfId="25" applyFont="1"/>
    <xf numFmtId="0" fontId="37" fillId="0" borderId="0" xfId="0" applyFont="1" applyAlignment="1">
      <alignment horizontal="left"/>
    </xf>
    <xf numFmtId="0" fontId="22" fillId="0" borderId="0" xfId="0" applyFont="1" applyAlignment="1">
      <alignment horizontal="left" indent="1"/>
    </xf>
    <xf numFmtId="0" fontId="93" fillId="0" borderId="0" xfId="86" applyBorder="1" applyAlignment="1" applyProtection="1">
      <alignment horizontal="left" indent="1"/>
    </xf>
    <xf numFmtId="0" fontId="94" fillId="0" borderId="0" xfId="0" applyFont="1" applyAlignment="1">
      <alignment horizontal="left" vertical="center" wrapText="1"/>
    </xf>
    <xf numFmtId="3" fontId="134" fillId="0" borderId="0" xfId="0" applyNumberFormat="1" applyFont="1" applyAlignment="1">
      <alignment horizontal="right" vertical="center"/>
    </xf>
    <xf numFmtId="0" fontId="93" fillId="0" borderId="0" xfId="86" applyAlignment="1" applyProtection="1">
      <alignment horizontal="left" vertical="center" wrapText="1" indent="1"/>
    </xf>
    <xf numFmtId="0" fontId="181" fillId="0" borderId="0" xfId="14" applyFont="1" applyAlignment="1">
      <alignment horizontal="left"/>
    </xf>
    <xf numFmtId="37" fontId="181" fillId="0" borderId="0" xfId="14" applyNumberFormat="1" applyFont="1"/>
    <xf numFmtId="37" fontId="187" fillId="0" borderId="0" xfId="14" applyNumberFormat="1" applyFont="1"/>
    <xf numFmtId="9" fontId="187" fillId="0" borderId="0" xfId="14" applyNumberFormat="1" applyFont="1"/>
    <xf numFmtId="0" fontId="181" fillId="0" borderId="0" xfId="13" applyFont="1"/>
    <xf numFmtId="0" fontId="181" fillId="0" borderId="0" xfId="14" applyFont="1" applyAlignment="1">
      <alignment horizontal="left" vertical="top"/>
    </xf>
    <xf numFmtId="37" fontId="181" fillId="0" borderId="0" xfId="14" applyNumberFormat="1" applyFont="1" applyAlignment="1">
      <alignment vertical="top"/>
    </xf>
    <xf numFmtId="39" fontId="181" fillId="0" borderId="0" xfId="14" applyNumberFormat="1" applyFont="1" applyAlignment="1">
      <alignment vertical="top"/>
    </xf>
    <xf numFmtId="174" fontId="181" fillId="0" borderId="0" xfId="14" applyNumberFormat="1" applyFont="1" applyAlignment="1">
      <alignment vertical="top"/>
    </xf>
    <xf numFmtId="0" fontId="181" fillId="0" borderId="0" xfId="14" applyFont="1" applyAlignment="1">
      <alignment vertical="top"/>
    </xf>
    <xf numFmtId="0" fontId="181" fillId="0" borderId="0" xfId="16" applyFont="1"/>
    <xf numFmtId="3" fontId="181" fillId="0" borderId="0" xfId="16" applyNumberFormat="1" applyFont="1"/>
    <xf numFmtId="0" fontId="173" fillId="0" borderId="0" xfId="84" applyFont="1"/>
    <xf numFmtId="0" fontId="173" fillId="4" borderId="39" xfId="10" applyFont="1" applyFill="1" applyBorder="1"/>
    <xf numFmtId="167" fontId="173" fillId="4" borderId="0" xfId="38" applyNumberFormat="1" applyFont="1" applyFill="1"/>
    <xf numFmtId="0" fontId="173" fillId="0" borderId="0" xfId="17" applyFont="1"/>
    <xf numFmtId="37" fontId="96" fillId="0" borderId="0" xfId="17" applyNumberFormat="1" applyFont="1"/>
    <xf numFmtId="0" fontId="173" fillId="0" borderId="0" xfId="17" applyFont="1" applyAlignment="1">
      <alignment vertical="center"/>
    </xf>
    <xf numFmtId="0" fontId="96" fillId="0" borderId="0" xfId="17" applyFont="1"/>
    <xf numFmtId="0" fontId="173" fillId="0" borderId="0" xfId="0" applyFont="1" applyAlignment="1">
      <alignment vertical="center"/>
    </xf>
    <xf numFmtId="0" fontId="173" fillId="0" borderId="0" xfId="10" applyFont="1" applyAlignment="1">
      <alignment vertical="center"/>
    </xf>
    <xf numFmtId="3" fontId="173" fillId="0" borderId="0" xfId="17" applyNumberFormat="1" applyFont="1"/>
    <xf numFmtId="0" fontId="173" fillId="0" borderId="0" xfId="97" applyFont="1" applyAlignment="1">
      <alignment vertical="center"/>
    </xf>
    <xf numFmtId="0" fontId="173" fillId="4" borderId="0" xfId="32" applyFont="1" applyFill="1"/>
    <xf numFmtId="3" fontId="173" fillId="0" borderId="0" xfId="17" applyNumberFormat="1" applyFont="1" applyAlignment="1">
      <alignment vertical="center"/>
    </xf>
    <xf numFmtId="0" fontId="173" fillId="0" borderId="0" xfId="11" applyFont="1"/>
    <xf numFmtId="3" fontId="173" fillId="0" borderId="0" xfId="11" applyNumberFormat="1" applyFont="1"/>
    <xf numFmtId="0" fontId="173" fillId="0" borderId="0" xfId="11" applyFont="1" applyAlignment="1">
      <alignment vertical="center"/>
    </xf>
    <xf numFmtId="3" fontId="173" fillId="0" borderId="0" xfId="11" applyNumberFormat="1" applyFont="1" applyAlignment="1">
      <alignment vertical="center"/>
    </xf>
    <xf numFmtId="0" fontId="193" fillId="0" borderId="0" xfId="8" applyFont="1"/>
    <xf numFmtId="3" fontId="106" fillId="0" borderId="0" xfId="8" applyNumberFormat="1" applyFont="1"/>
    <xf numFmtId="167" fontId="109" fillId="0" borderId="0" xfId="8" applyNumberFormat="1" applyFont="1"/>
    <xf numFmtId="0" fontId="106" fillId="0" borderId="0" xfId="8" applyFont="1"/>
    <xf numFmtId="10" fontId="106" fillId="0" borderId="0" xfId="8" applyNumberFormat="1" applyFont="1"/>
    <xf numFmtId="0" fontId="194" fillId="0" borderId="0" xfId="8" applyFont="1" applyAlignment="1">
      <alignment horizontal="center"/>
    </xf>
    <xf numFmtId="0" fontId="106" fillId="0" borderId="0" xfId="8" applyFont="1" applyAlignment="1">
      <alignment horizontal="left"/>
    </xf>
    <xf numFmtId="164" fontId="190" fillId="0" borderId="0" xfId="8" applyNumberFormat="1" applyFont="1"/>
    <xf numFmtId="0" fontId="17" fillId="0" borderId="14" xfId="91" applyFont="1" applyBorder="1" applyAlignment="1">
      <alignment horizontal="right" vertical="center" wrapText="1"/>
    </xf>
    <xf numFmtId="10" fontId="6" fillId="0" borderId="0" xfId="97" applyNumberFormat="1" applyFont="1" applyAlignment="1">
      <alignment horizontal="right" vertical="center"/>
    </xf>
    <xf numFmtId="10" fontId="170" fillId="0" borderId="0" xfId="97" applyNumberFormat="1" applyFont="1" applyAlignment="1">
      <alignment horizontal="center"/>
    </xf>
    <xf numFmtId="0" fontId="7" fillId="0" borderId="0" xfId="97" applyFont="1"/>
    <xf numFmtId="10" fontId="6" fillId="0" borderId="0" xfId="97" applyNumberFormat="1" applyFont="1"/>
    <xf numFmtId="9" fontId="98" fillId="37" borderId="0" xfId="97" applyNumberFormat="1" applyFont="1" applyFill="1" applyAlignment="1">
      <alignment horizontal="center" vertical="center"/>
    </xf>
    <xf numFmtId="9" fontId="98" fillId="38" borderId="0" xfId="97" applyNumberFormat="1" applyFont="1" applyFill="1" applyAlignment="1">
      <alignment horizontal="center" vertical="center"/>
    </xf>
    <xf numFmtId="9" fontId="98" fillId="39" borderId="0" xfId="97" applyNumberFormat="1" applyFont="1" applyFill="1" applyAlignment="1">
      <alignment horizontal="center" vertical="center"/>
    </xf>
    <xf numFmtId="10" fontId="7" fillId="0" borderId="0" xfId="97" applyNumberFormat="1" applyFont="1"/>
    <xf numFmtId="10" fontId="8" fillId="0" borderId="0" xfId="97" applyNumberFormat="1" applyFont="1" applyAlignment="1">
      <alignment horizontal="right" vertical="center"/>
    </xf>
    <xf numFmtId="0" fontId="145" fillId="0" borderId="0" xfId="97" applyFont="1"/>
    <xf numFmtId="3" fontId="98" fillId="0" borderId="0" xfId="97" applyNumberFormat="1" applyFont="1"/>
    <xf numFmtId="10" fontId="106" fillId="0" borderId="0" xfId="97" applyNumberFormat="1" applyFont="1"/>
    <xf numFmtId="9" fontId="98" fillId="40" borderId="0" xfId="97" applyNumberFormat="1" applyFont="1" applyFill="1" applyAlignment="1">
      <alignment horizontal="center" vertical="center"/>
    </xf>
    <xf numFmtId="10" fontId="8" fillId="0" borderId="0" xfId="0" applyNumberFormat="1" applyFont="1" applyAlignment="1">
      <alignment horizontal="center"/>
    </xf>
    <xf numFmtId="10" fontId="148" fillId="0" borderId="0" xfId="91" applyNumberFormat="1" applyFont="1" applyAlignment="1">
      <alignment horizontal="right"/>
    </xf>
    <xf numFmtId="10" fontId="148" fillId="0" borderId="0" xfId="91" applyNumberFormat="1" applyFont="1" applyAlignment="1">
      <alignment horizontal="left"/>
    </xf>
    <xf numFmtId="169" fontId="148" fillId="0" borderId="0" xfId="91" applyNumberFormat="1" applyFont="1" applyAlignment="1">
      <alignment horizontal="right"/>
    </xf>
    <xf numFmtId="10" fontId="195" fillId="0" borderId="0" xfId="91" applyNumberFormat="1" applyFont="1" applyAlignment="1">
      <alignment horizontal="left"/>
    </xf>
    <xf numFmtId="10" fontId="196" fillId="0" borderId="0" xfId="0" applyNumberFormat="1" applyFont="1"/>
    <xf numFmtId="0" fontId="75" fillId="0" borderId="59" xfId="0" applyFont="1" applyBorder="1" applyAlignment="1">
      <alignment vertical="top"/>
    </xf>
    <xf numFmtId="0" fontId="75" fillId="0" borderId="59" xfId="0" applyFont="1" applyBorder="1" applyAlignment="1">
      <alignment vertical="top" wrapText="1"/>
    </xf>
    <xf numFmtId="0" fontId="75" fillId="0" borderId="59" xfId="0" applyFont="1" applyBorder="1" applyAlignment="1">
      <alignment horizontal="left" vertical="top" wrapText="1"/>
    </xf>
    <xf numFmtId="3" fontId="75" fillId="0" borderId="59" xfId="40" applyNumberFormat="1" applyFont="1" applyBorder="1" applyAlignment="1">
      <alignment horizontal="right" vertical="top"/>
    </xf>
    <xf numFmtId="0" fontId="75" fillId="0" borderId="59" xfId="0" applyFont="1" applyBorder="1"/>
    <xf numFmtId="0" fontId="75" fillId="0" borderId="59" xfId="0" applyFont="1" applyBorder="1" applyAlignment="1">
      <alignment wrapText="1"/>
    </xf>
    <xf numFmtId="0" fontId="75" fillId="0" borderId="59" xfId="0" applyFont="1" applyBorder="1" applyAlignment="1">
      <alignment horizontal="left" wrapText="1"/>
    </xf>
    <xf numFmtId="3" fontId="75" fillId="0" borderId="59" xfId="40" applyNumberFormat="1" applyFont="1" applyBorder="1" applyAlignment="1">
      <alignment horizontal="right"/>
    </xf>
    <xf numFmtId="0" fontId="5" fillId="0" borderId="59" xfId="0" applyFont="1" applyBorder="1"/>
    <xf numFmtId="0" fontId="5" fillId="0" borderId="59" xfId="0" applyFont="1" applyBorder="1" applyAlignment="1">
      <alignment wrapText="1"/>
    </xf>
    <xf numFmtId="0" fontId="5" fillId="0" borderId="59" xfId="0" applyFont="1" applyBorder="1" applyAlignment="1">
      <alignment horizontal="left" wrapText="1"/>
    </xf>
    <xf numFmtId="3" fontId="5" fillId="0" borderId="59" xfId="40" applyNumberFormat="1" applyBorder="1" applyAlignment="1">
      <alignment horizontal="right"/>
    </xf>
    <xf numFmtId="9" fontId="96" fillId="0" borderId="0" xfId="36" applyFont="1"/>
    <xf numFmtId="3" fontId="96" fillId="0" borderId="0" xfId="13" applyNumberFormat="1" applyFont="1"/>
    <xf numFmtId="3" fontId="41" fillId="0" borderId="0" xfId="25" applyNumberFormat="1" applyAlignment="1">
      <alignment horizontal="right" vertical="top"/>
    </xf>
    <xf numFmtId="3" fontId="41" fillId="0" borderId="0" xfId="25" applyNumberFormat="1" applyAlignment="1">
      <alignment vertical="top"/>
    </xf>
    <xf numFmtId="44" fontId="22" fillId="0" borderId="0" xfId="0" applyNumberFormat="1" applyFont="1" applyAlignment="1">
      <alignment vertical="center"/>
    </xf>
    <xf numFmtId="0" fontId="2" fillId="0" borderId="0" xfId="0" applyFont="1" applyAlignment="1">
      <alignment wrapText="1"/>
    </xf>
    <xf numFmtId="41" fontId="5" fillId="0" borderId="0" xfId="14" applyNumberFormat="1" applyFont="1"/>
    <xf numFmtId="39" fontId="18" fillId="0" borderId="17" xfId="14" applyNumberFormat="1" applyFont="1" applyBorder="1" applyAlignment="1">
      <alignment horizontal="center" wrapText="1"/>
    </xf>
    <xf numFmtId="41" fontId="198" fillId="0" borderId="0" xfId="14" applyNumberFormat="1" applyFont="1" applyAlignment="1">
      <alignment horizontal="left"/>
    </xf>
    <xf numFmtId="41" fontId="198" fillId="0" borderId="0" xfId="14" applyNumberFormat="1" applyFont="1"/>
    <xf numFmtId="0" fontId="198" fillId="0" borderId="0" xfId="13" applyFont="1"/>
    <xf numFmtId="0" fontId="198" fillId="0" borderId="0" xfId="14" applyFont="1" applyAlignment="1">
      <alignment horizontal="right"/>
    </xf>
    <xf numFmtId="37" fontId="198" fillId="0" borderId="0" xfId="14" applyNumberFormat="1" applyFont="1" applyAlignment="1">
      <alignment horizontal="left"/>
    </xf>
    <xf numFmtId="39" fontId="198" fillId="0" borderId="0" xfId="14" applyNumberFormat="1" applyFont="1"/>
    <xf numFmtId="37" fontId="198" fillId="0" borderId="0" xfId="14" applyNumberFormat="1" applyFont="1"/>
    <xf numFmtId="0" fontId="192" fillId="0" borderId="0" xfId="14" applyFont="1" applyAlignment="1">
      <alignment horizontal="left" vertical="center"/>
    </xf>
    <xf numFmtId="37" fontId="199" fillId="0" borderId="0" xfId="14" applyNumberFormat="1" applyFont="1" applyAlignment="1">
      <alignment vertical="center"/>
    </xf>
    <xf numFmtId="9" fontId="199" fillId="0" borderId="0" xfId="14" applyNumberFormat="1" applyFont="1" applyAlignment="1">
      <alignment vertical="center"/>
    </xf>
    <xf numFmtId="5" fontId="199" fillId="0" borderId="0" xfId="14" applyNumberFormat="1" applyFont="1" applyAlignment="1">
      <alignment vertical="center"/>
    </xf>
    <xf numFmtId="0" fontId="134" fillId="0" borderId="0" xfId="87" applyFont="1" applyAlignment="1">
      <alignment horizontal="left"/>
    </xf>
    <xf numFmtId="0" fontId="5" fillId="0" borderId="0" xfId="87" applyAlignment="1">
      <alignment horizontal="left" indent="1"/>
    </xf>
    <xf numFmtId="167" fontId="24" fillId="0" borderId="0" xfId="91" quotePrefix="1" applyNumberFormat="1" applyFont="1" applyAlignment="1">
      <alignment horizontal="right"/>
    </xf>
    <xf numFmtId="167" fontId="24" fillId="0" borderId="0" xfId="87" applyNumberFormat="1" applyFont="1" applyAlignment="1">
      <alignment horizontal="right"/>
    </xf>
    <xf numFmtId="3" fontId="24" fillId="0" borderId="0" xfId="91" quotePrefix="1" applyNumberFormat="1" applyFont="1" applyAlignment="1">
      <alignment horizontal="right"/>
    </xf>
    <xf numFmtId="3" fontId="24" fillId="0" borderId="0" xfId="87" applyNumberFormat="1" applyFont="1" applyAlignment="1">
      <alignment horizontal="right"/>
    </xf>
    <xf numFmtId="0" fontId="24" fillId="0" borderId="0" xfId="91" quotePrefix="1" applyFont="1" applyAlignment="1">
      <alignment horizontal="right"/>
    </xf>
    <xf numFmtId="0" fontId="24" fillId="0" borderId="0" xfId="91" applyFont="1" applyAlignment="1">
      <alignment horizontal="right"/>
    </xf>
    <xf numFmtId="3" fontId="24" fillId="0" borderId="0" xfId="91" applyNumberFormat="1" applyFont="1" applyAlignment="1">
      <alignment horizontal="right"/>
    </xf>
    <xf numFmtId="167" fontId="24" fillId="0" borderId="0" xfId="91" applyNumberFormat="1" applyFont="1" applyAlignment="1">
      <alignment horizontal="right"/>
    </xf>
    <xf numFmtId="167" fontId="134" fillId="0" borderId="0" xfId="87" applyNumberFormat="1" applyFont="1" applyAlignment="1">
      <alignment vertical="center"/>
    </xf>
    <xf numFmtId="3" fontId="134" fillId="0" borderId="0" xfId="87" applyNumberFormat="1" applyFont="1"/>
    <xf numFmtId="178" fontId="134" fillId="0" borderId="0" xfId="88" applyNumberFormat="1" applyFont="1" applyFill="1"/>
    <xf numFmtId="167" fontId="14" fillId="0" borderId="0" xfId="87" applyNumberFormat="1" applyFont="1"/>
    <xf numFmtId="9" fontId="134" fillId="0" borderId="0" xfId="36" applyFont="1" applyFill="1" applyAlignment="1">
      <alignment vertical="center"/>
    </xf>
    <xf numFmtId="3" fontId="200" fillId="0" borderId="0" xfId="87" applyNumberFormat="1" applyFont="1"/>
    <xf numFmtId="0" fontId="179" fillId="0" borderId="60" xfId="87" applyFont="1" applyBorder="1"/>
    <xf numFmtId="178" fontId="201" fillId="0" borderId="60" xfId="88" applyNumberFormat="1" applyFont="1" applyFill="1" applyBorder="1" applyAlignment="1"/>
    <xf numFmtId="0" fontId="201" fillId="0" borderId="0" xfId="87" applyFont="1"/>
    <xf numFmtId="41" fontId="201" fillId="0" borderId="0" xfId="87" applyNumberFormat="1" applyFont="1"/>
    <xf numFmtId="0" fontId="179" fillId="0" borderId="0" xfId="87" applyFont="1" applyAlignment="1">
      <alignment horizontal="right"/>
    </xf>
    <xf numFmtId="3" fontId="202" fillId="0" borderId="0" xfId="87" applyNumberFormat="1" applyFont="1"/>
    <xf numFmtId="4" fontId="202" fillId="0" borderId="0" xfId="87" applyNumberFormat="1" applyFont="1"/>
    <xf numFmtId="3" fontId="18" fillId="4" borderId="14" xfId="32" applyNumberFormat="1" applyFont="1" applyFill="1" applyBorder="1" applyAlignment="1">
      <alignment horizontal="left"/>
    </xf>
    <xf numFmtId="3" fontId="5" fillId="0" borderId="0" xfId="1" applyNumberFormat="1" applyFont="1" applyFill="1" applyAlignment="1">
      <alignment horizontal="center"/>
    </xf>
    <xf numFmtId="0" fontId="18" fillId="0" borderId="15" xfId="29" applyFont="1" applyBorder="1" applyAlignment="1">
      <alignment horizontal="center" vertical="center"/>
    </xf>
    <xf numFmtId="0" fontId="18" fillId="0" borderId="13" xfId="29" applyFont="1" applyBorder="1"/>
    <xf numFmtId="0" fontId="18" fillId="0" borderId="15" xfId="29" applyFont="1" applyBorder="1" applyAlignment="1">
      <alignment vertical="center"/>
    </xf>
    <xf numFmtId="0" fontId="207" fillId="0" borderId="0" xfId="28" applyFont="1"/>
    <xf numFmtId="0" fontId="208" fillId="0" borderId="0" xfId="28" applyFont="1"/>
    <xf numFmtId="41" fontId="207" fillId="0" borderId="0" xfId="28" applyNumberFormat="1" applyFont="1"/>
    <xf numFmtId="0" fontId="207" fillId="0" borderId="0" xfId="28" applyFont="1" applyAlignment="1">
      <alignment horizontal="right"/>
    </xf>
    <xf numFmtId="0" fontId="179" fillId="0" borderId="0" xfId="28" applyFont="1"/>
    <xf numFmtId="167" fontId="21" fillId="0" borderId="0" xfId="28" applyNumberFormat="1" applyFont="1"/>
    <xf numFmtId="3" fontId="88" fillId="0" borderId="0" xfId="28" applyNumberFormat="1" applyFont="1"/>
    <xf numFmtId="3" fontId="203" fillId="0" borderId="15" xfId="25" applyNumberFormat="1" applyFont="1" applyBorder="1" applyAlignment="1">
      <alignment horizontal="right" vertical="center"/>
    </xf>
    <xf numFmtId="167" fontId="203" fillId="0" borderId="15" xfId="25" applyNumberFormat="1" applyFont="1" applyBorder="1" applyAlignment="1">
      <alignment vertical="center"/>
    </xf>
    <xf numFmtId="0" fontId="203" fillId="0" borderId="15" xfId="25" applyFont="1" applyBorder="1" applyAlignment="1">
      <alignment vertical="center"/>
    </xf>
    <xf numFmtId="0" fontId="192" fillId="0" borderId="0" xfId="0" applyFont="1"/>
    <xf numFmtId="0" fontId="210" fillId="0" borderId="0" xfId="0" applyFont="1"/>
    <xf numFmtId="10" fontId="210" fillId="0" borderId="0" xfId="0" applyNumberFormat="1" applyFont="1"/>
    <xf numFmtId="10" fontId="132" fillId="0" borderId="0" xfId="0" applyNumberFormat="1" applyFont="1"/>
    <xf numFmtId="0" fontId="209" fillId="0" borderId="0" xfId="21" applyFont="1" applyAlignment="1">
      <alignment horizontal="left"/>
    </xf>
    <xf numFmtId="0" fontId="182" fillId="0" borderId="0" xfId="0" applyFont="1"/>
    <xf numFmtId="3" fontId="5" fillId="0" borderId="0" xfId="14" applyNumberFormat="1" applyFont="1" applyAlignment="1">
      <alignment horizontal="right" indent="1"/>
    </xf>
    <xf numFmtId="3" fontId="73" fillId="0" borderId="0" xfId="8" applyNumberFormat="1" applyFont="1"/>
    <xf numFmtId="164" fontId="212" fillId="0" borderId="0" xfId="8" applyNumberFormat="1" applyFont="1"/>
    <xf numFmtId="0" fontId="198" fillId="0" borderId="0" xfId="8" applyFont="1"/>
    <xf numFmtId="0" fontId="132" fillId="0" borderId="0" xfId="8" applyFont="1"/>
    <xf numFmtId="178" fontId="132" fillId="0" borderId="0" xfId="41" applyNumberFormat="1" applyFont="1" applyFill="1" applyAlignment="1"/>
    <xf numFmtId="3" fontId="138" fillId="0" borderId="0" xfId="8" applyNumberFormat="1" applyFont="1"/>
    <xf numFmtId="3" fontId="138" fillId="0" borderId="0" xfId="97" applyNumberFormat="1" applyFont="1"/>
    <xf numFmtId="0" fontId="138" fillId="0" borderId="0" xfId="8" applyFont="1"/>
    <xf numFmtId="166" fontId="138" fillId="0" borderId="0" xfId="8" applyNumberFormat="1" applyFont="1" applyAlignment="1">
      <alignment horizontal="left"/>
    </xf>
    <xf numFmtId="0" fontId="136" fillId="0" borderId="0" xfId="8" applyFont="1"/>
    <xf numFmtId="0" fontId="136" fillId="0" borderId="0" xfId="8" applyFont="1" applyAlignment="1">
      <alignment horizontal="center"/>
    </xf>
    <xf numFmtId="0" fontId="192" fillId="0" borderId="0" xfId="8" applyFont="1"/>
    <xf numFmtId="3" fontId="132" fillId="0" borderId="0" xfId="8" applyNumberFormat="1" applyFont="1"/>
    <xf numFmtId="10" fontId="138" fillId="0" borderId="0" xfId="8" applyNumberFormat="1" applyFont="1"/>
    <xf numFmtId="10" fontId="138" fillId="0" borderId="0" xfId="97" applyNumberFormat="1" applyFont="1"/>
    <xf numFmtId="0" fontId="138" fillId="0" borderId="0" xfId="8" applyFont="1" applyAlignment="1">
      <alignment horizontal="left"/>
    </xf>
    <xf numFmtId="0" fontId="132" fillId="0" borderId="0" xfId="8" applyFont="1" applyAlignment="1">
      <alignment horizontal="left" vertical="center"/>
    </xf>
    <xf numFmtId="0" fontId="138" fillId="0" borderId="0" xfId="8" applyFont="1" applyAlignment="1">
      <alignment horizontal="left" vertical="center"/>
    </xf>
    <xf numFmtId="0" fontId="138" fillId="0" borderId="0" xfId="97" applyFont="1" applyAlignment="1">
      <alignment horizontal="left" vertical="center"/>
    </xf>
    <xf numFmtId="4" fontId="138" fillId="0" borderId="0" xfId="8" applyNumberFormat="1" applyFont="1"/>
    <xf numFmtId="0" fontId="138" fillId="0" borderId="0" xfId="0" applyFont="1"/>
    <xf numFmtId="0" fontId="132" fillId="0" borderId="0" xfId="8" applyFont="1" applyAlignment="1">
      <alignment vertical="center" wrapText="1"/>
    </xf>
    <xf numFmtId="0" fontId="138" fillId="0" borderId="0" xfId="8" applyFont="1" applyAlignment="1">
      <alignment vertical="center" wrapText="1"/>
    </xf>
    <xf numFmtId="0" fontId="138" fillId="0" borderId="0" xfId="97" applyFont="1" applyAlignment="1">
      <alignment vertical="center" wrapText="1"/>
    </xf>
    <xf numFmtId="0" fontId="192" fillId="0" borderId="0" xfId="87" applyFont="1" applyAlignment="1">
      <alignment horizontal="left"/>
    </xf>
    <xf numFmtId="0" fontId="132" fillId="0" borderId="0" xfId="97" applyFont="1" applyAlignment="1">
      <alignment horizontal="left" vertical="center" wrapText="1"/>
    </xf>
    <xf numFmtId="0" fontId="132" fillId="0" borderId="0" xfId="97" applyFont="1" applyAlignment="1">
      <alignment vertical="center" wrapText="1"/>
    </xf>
    <xf numFmtId="0" fontId="138" fillId="0" borderId="0" xfId="97" applyFont="1"/>
    <xf numFmtId="0" fontId="138" fillId="0" borderId="0" xfId="97" applyFont="1" applyAlignment="1">
      <alignment horizontal="left"/>
    </xf>
    <xf numFmtId="0" fontId="132" fillId="0" borderId="0" xfId="97" applyFont="1"/>
    <xf numFmtId="167" fontId="210" fillId="0" borderId="0" xfId="36" applyNumberFormat="1" applyFont="1" applyAlignment="1"/>
    <xf numFmtId="10" fontId="210" fillId="0" borderId="0" xfId="0" applyNumberFormat="1" applyFont="1" applyAlignment="1">
      <alignment horizontal="center"/>
    </xf>
    <xf numFmtId="10" fontId="132" fillId="0" borderId="0" xfId="0" applyNumberFormat="1" applyFont="1" applyAlignment="1">
      <alignment horizontal="center"/>
    </xf>
    <xf numFmtId="2" fontId="210" fillId="0" borderId="0" xfId="0" applyNumberFormat="1" applyFont="1" applyAlignment="1">
      <alignment horizontal="center"/>
    </xf>
    <xf numFmtId="3" fontId="109" fillId="0" borderId="0" xfId="8" applyNumberFormat="1" applyFont="1"/>
    <xf numFmtId="0" fontId="126" fillId="0" borderId="0" xfId="0" applyFont="1" applyAlignment="1">
      <alignment horizontal="right"/>
    </xf>
    <xf numFmtId="3" fontId="15" fillId="0" borderId="0" xfId="0" applyNumberFormat="1" applyFont="1"/>
    <xf numFmtId="169" fontId="5" fillId="0" borderId="0" xfId="36" applyNumberFormat="1" applyFont="1"/>
    <xf numFmtId="0" fontId="173" fillId="0" borderId="0" xfId="0" applyFont="1"/>
    <xf numFmtId="0" fontId="173" fillId="0" borderId="0" xfId="97" applyFont="1" applyAlignment="1">
      <alignment horizontal="left" vertical="top"/>
    </xf>
    <xf numFmtId="0" fontId="173" fillId="0" borderId="0" xfId="0" applyFont="1" applyAlignment="1">
      <alignment horizontal="left" vertical="top"/>
    </xf>
    <xf numFmtId="0" fontId="213" fillId="0" borderId="0" xfId="0" applyFont="1"/>
    <xf numFmtId="0" fontId="214" fillId="0" borderId="0" xfId="0" applyFont="1"/>
    <xf numFmtId="41" fontId="215" fillId="0" borderId="0" xfId="22" applyNumberFormat="1" applyFont="1"/>
    <xf numFmtId="0" fontId="173" fillId="0" borderId="0" xfId="14" applyFont="1" applyAlignment="1">
      <alignment horizontal="left"/>
    </xf>
    <xf numFmtId="37" fontId="173" fillId="0" borderId="0" xfId="14" applyNumberFormat="1" applyFont="1"/>
    <xf numFmtId="37" fontId="183" fillId="0" borderId="0" xfId="14" applyNumberFormat="1" applyFont="1"/>
    <xf numFmtId="9" fontId="183" fillId="0" borderId="0" xfId="14" applyNumberFormat="1" applyFont="1"/>
    <xf numFmtId="0" fontId="173" fillId="0" borderId="0" xfId="13" applyFont="1"/>
    <xf numFmtId="0" fontId="173" fillId="0" borderId="0" xfId="14" applyFont="1" applyAlignment="1">
      <alignment horizontal="left" vertical="top"/>
    </xf>
    <xf numFmtId="0" fontId="173" fillId="0" borderId="0" xfId="0" applyFont="1" applyAlignment="1">
      <alignment vertical="top"/>
    </xf>
    <xf numFmtId="0" fontId="132" fillId="0" borderId="0" xfId="40" applyFont="1" applyAlignment="1">
      <alignment horizontal="left" vertical="center"/>
    </xf>
    <xf numFmtId="0" fontId="132" fillId="0" borderId="0" xfId="0" applyFont="1" applyAlignment="1">
      <alignment vertical="center"/>
    </xf>
    <xf numFmtId="0" fontId="132" fillId="0" borderId="0" xfId="0" applyFont="1" applyAlignment="1">
      <alignment horizontal="left" vertical="center"/>
    </xf>
    <xf numFmtId="0" fontId="134" fillId="0" borderId="0" xfId="14" applyFont="1" applyAlignment="1">
      <alignment vertical="top"/>
    </xf>
    <xf numFmtId="0" fontId="138" fillId="0" borderId="0" xfId="0" applyFont="1" applyAlignment="1">
      <alignment vertical="center"/>
    </xf>
    <xf numFmtId="0" fontId="217" fillId="0" borderId="0" xfId="0" applyFont="1" applyAlignment="1">
      <alignment vertical="center"/>
    </xf>
    <xf numFmtId="0" fontId="186" fillId="0" borderId="0" xfId="13" applyFont="1" applyAlignment="1">
      <alignment vertical="center"/>
    </xf>
    <xf numFmtId="41" fontId="216" fillId="0" borderId="0" xfId="14" applyNumberFormat="1" applyFont="1"/>
    <xf numFmtId="39" fontId="186" fillId="0" borderId="0" xfId="14" applyNumberFormat="1" applyFont="1" applyAlignment="1">
      <alignment vertical="center"/>
    </xf>
    <xf numFmtId="37" fontId="218" fillId="0" borderId="0" xfId="14" applyNumberFormat="1" applyFont="1" applyAlignment="1">
      <alignment horizontal="left"/>
    </xf>
    <xf numFmtId="41" fontId="148" fillId="0" borderId="0" xfId="13" applyNumberFormat="1" applyFont="1"/>
    <xf numFmtId="0" fontId="1" fillId="0" borderId="0" xfId="0" applyFont="1"/>
    <xf numFmtId="3" fontId="0" fillId="0" borderId="0" xfId="0" applyNumberFormat="1" applyAlignment="1">
      <alignment vertical="center"/>
    </xf>
    <xf numFmtId="3" fontId="0" fillId="0" borderId="12" xfId="0" applyNumberFormat="1" applyBorder="1"/>
    <xf numFmtId="3" fontId="0" fillId="0" borderId="12" xfId="0" applyNumberFormat="1" applyBorder="1" applyAlignment="1">
      <alignment vertical="center"/>
    </xf>
    <xf numFmtId="3" fontId="18" fillId="0" borderId="41" xfId="0" applyNumberFormat="1" applyFont="1" applyBorder="1" applyAlignment="1">
      <alignment horizontal="center" wrapText="1"/>
    </xf>
    <xf numFmtId="3" fontId="75" fillId="0" borderId="0" xfId="40" applyNumberFormat="1" applyFont="1" applyAlignment="1">
      <alignment horizontal="right" wrapText="1"/>
    </xf>
    <xf numFmtId="3" fontId="75" fillId="0" borderId="0" xfId="88" applyNumberFormat="1" applyFont="1" applyFill="1" applyBorder="1" applyAlignment="1">
      <alignment horizontal="right" wrapText="1"/>
    </xf>
    <xf numFmtId="3" fontId="5" fillId="0" borderId="0" xfId="40" applyNumberFormat="1" applyAlignment="1">
      <alignment horizontal="right" wrapText="1"/>
    </xf>
    <xf numFmtId="3" fontId="5" fillId="0" borderId="0" xfId="88" applyNumberFormat="1" applyFont="1" applyFill="1" applyBorder="1" applyAlignment="1">
      <alignment horizontal="right" wrapText="1"/>
    </xf>
    <xf numFmtId="3" fontId="5" fillId="0" borderId="0" xfId="88" applyNumberFormat="1" applyFont="1" applyBorder="1" applyAlignment="1">
      <alignment horizontal="right" wrapText="1"/>
    </xf>
    <xf numFmtId="3" fontId="134" fillId="0" borderId="0" xfId="40" applyNumberFormat="1" applyFont="1" applyAlignment="1">
      <alignment horizontal="left" vertical="center"/>
    </xf>
    <xf numFmtId="3" fontId="134" fillId="0" borderId="0" xfId="0" applyNumberFormat="1" applyFont="1" applyAlignment="1">
      <alignment horizontal="left" vertical="center"/>
    </xf>
    <xf numFmtId="3" fontId="132" fillId="0" borderId="0" xfId="0" applyNumberFormat="1" applyFont="1" applyAlignment="1">
      <alignment vertical="top" wrapText="1"/>
    </xf>
    <xf numFmtId="0" fontId="1" fillId="0" borderId="0" xfId="0" applyFont="1" applyAlignment="1">
      <alignment wrapText="1"/>
    </xf>
    <xf numFmtId="164" fontId="6" fillId="0" borderId="0" xfId="8" applyNumberFormat="1" applyFont="1"/>
    <xf numFmtId="41" fontId="216" fillId="0" borderId="0" xfId="0" applyNumberFormat="1" applyFont="1"/>
    <xf numFmtId="41" fontId="216" fillId="0" borderId="0" xfId="0" applyNumberFormat="1" applyFont="1" applyAlignment="1">
      <alignment vertical="top"/>
    </xf>
    <xf numFmtId="3" fontId="13" fillId="0" borderId="0" xfId="17" applyNumberFormat="1" applyFont="1" applyAlignment="1">
      <alignment horizontal="centerContinuous"/>
    </xf>
    <xf numFmtId="3" fontId="28" fillId="0" borderId="0" xfId="17" applyNumberFormat="1" applyFont="1"/>
    <xf numFmtId="3" fontId="99" fillId="0" borderId="17" xfId="17" applyNumberFormat="1" applyFont="1" applyBorder="1" applyAlignment="1">
      <alignment horizontal="center" vertical="center" wrapText="1"/>
    </xf>
    <xf numFmtId="3" fontId="32" fillId="0" borderId="17" xfId="17" applyNumberFormat="1" applyFont="1" applyBorder="1" applyAlignment="1">
      <alignment horizontal="center" vertical="center" wrapText="1"/>
    </xf>
    <xf numFmtId="3" fontId="92" fillId="0" borderId="0" xfId="27" applyNumberFormat="1" applyFont="1"/>
    <xf numFmtId="3" fontId="204" fillId="0" borderId="0" xfId="17" applyNumberFormat="1" applyFont="1"/>
    <xf numFmtId="3" fontId="33" fillId="0" borderId="0" xfId="17" applyNumberFormat="1" applyFont="1"/>
    <xf numFmtId="3" fontId="34" fillId="0" borderId="0" xfId="38" applyNumberFormat="1" applyFont="1" applyFill="1" applyProtection="1"/>
    <xf numFmtId="3" fontId="13" fillId="0" borderId="0" xfId="17" applyNumberFormat="1" applyFont="1"/>
    <xf numFmtId="3" fontId="99" fillId="0" borderId="9" xfId="17" applyNumberFormat="1" applyFont="1" applyBorder="1" applyAlignment="1">
      <alignment horizontal="center" wrapText="1"/>
    </xf>
    <xf numFmtId="3" fontId="32" fillId="0" borderId="9" xfId="17" applyNumberFormat="1" applyFont="1" applyBorder="1" applyAlignment="1">
      <alignment horizontal="center" wrapText="1"/>
    </xf>
    <xf numFmtId="3" fontId="14" fillId="0" borderId="0" xfId="27" applyNumberFormat="1" applyFont="1"/>
    <xf numFmtId="3" fontId="181" fillId="0" borderId="0" xfId="0" applyNumberFormat="1" applyFont="1" applyAlignment="1">
      <alignment vertical="center"/>
    </xf>
    <xf numFmtId="3" fontId="96" fillId="0" borderId="0" xfId="17" applyNumberFormat="1" applyFont="1"/>
    <xf numFmtId="3" fontId="141" fillId="0" borderId="0" xfId="17" applyNumberFormat="1" applyFont="1"/>
    <xf numFmtId="3" fontId="173" fillId="0" borderId="0" xfId="0" applyNumberFormat="1" applyFont="1" applyAlignment="1">
      <alignment vertical="center"/>
    </xf>
    <xf numFmtId="3" fontId="13" fillId="0" borderId="0" xfId="17" applyNumberFormat="1" applyFont="1" applyAlignment="1">
      <alignment horizontal="center"/>
    </xf>
    <xf numFmtId="3" fontId="92" fillId="0" borderId="1" xfId="27" applyNumberFormat="1" applyFont="1" applyBorder="1"/>
    <xf numFmtId="3" fontId="204" fillId="0" borderId="41" xfId="17" applyNumberFormat="1" applyFont="1" applyBorder="1"/>
    <xf numFmtId="3" fontId="13" fillId="0" borderId="0" xfId="17" applyNumberFormat="1" applyFont="1" applyAlignment="1">
      <alignment horizontal="left"/>
    </xf>
    <xf numFmtId="3" fontId="13" fillId="0" borderId="0" xfId="27" applyNumberFormat="1"/>
    <xf numFmtId="3" fontId="133" fillId="0" borderId="0" xfId="0" applyNumberFormat="1" applyFont="1" applyAlignment="1">
      <alignment vertical="top" wrapText="1"/>
    </xf>
    <xf numFmtId="167" fontId="205" fillId="0" borderId="8" xfId="17" applyNumberFormat="1" applyFont="1" applyBorder="1" applyAlignment="1">
      <alignment vertical="center"/>
    </xf>
    <xf numFmtId="167" fontId="205" fillId="0" borderId="8" xfId="17" applyNumberFormat="1" applyFont="1" applyBorder="1"/>
    <xf numFmtId="167" fontId="206" fillId="0" borderId="0" xfId="17" applyNumberFormat="1" applyFont="1"/>
    <xf numFmtId="167" fontId="33" fillId="0" borderId="0" xfId="17" applyNumberFormat="1" applyFont="1"/>
    <xf numFmtId="167" fontId="92" fillId="0" borderId="0" xfId="27" applyNumberFormat="1" applyFont="1"/>
    <xf numFmtId="167" fontId="204" fillId="0" borderId="0" xfId="17" applyNumberFormat="1" applyFont="1"/>
    <xf numFmtId="167" fontId="34" fillId="0" borderId="0" xfId="38" applyNumberFormat="1" applyFont="1" applyFill="1" applyBorder="1" applyProtection="1"/>
    <xf numFmtId="167" fontId="28" fillId="0" borderId="0" xfId="17" applyNumberFormat="1" applyFont="1"/>
    <xf numFmtId="167" fontId="134" fillId="0" borderId="0" xfId="17" applyNumberFormat="1" applyFont="1"/>
    <xf numFmtId="167" fontId="92" fillId="0" borderId="0" xfId="17" applyNumberFormat="1" applyFont="1"/>
    <xf numFmtId="0" fontId="192" fillId="0" borderId="0" xfId="97" applyFont="1"/>
    <xf numFmtId="0" fontId="192" fillId="0" borderId="0" xfId="97" applyFont="1" applyAlignment="1">
      <alignment horizontal="left" vertical="center"/>
    </xf>
    <xf numFmtId="0" fontId="192" fillId="0" borderId="0" xfId="87" applyFont="1" applyAlignment="1">
      <alignment horizontal="left" indent="1"/>
    </xf>
    <xf numFmtId="41" fontId="198" fillId="0" borderId="0" xfId="14" applyNumberFormat="1" applyFont="1" applyAlignment="1">
      <alignment vertical="top"/>
    </xf>
    <xf numFmtId="3" fontId="7" fillId="0" borderId="0" xfId="8" applyNumberFormat="1" applyFont="1"/>
    <xf numFmtId="3" fontId="5" fillId="0" borderId="13" xfId="11" applyNumberFormat="1" applyFont="1" applyBorder="1"/>
    <xf numFmtId="167" fontId="13" fillId="0" borderId="25" xfId="19" applyNumberFormat="1" applyFont="1" applyBorder="1"/>
    <xf numFmtId="167" fontId="25" fillId="0" borderId="15" xfId="21" applyNumberFormat="1" applyFont="1" applyBorder="1"/>
    <xf numFmtId="0" fontId="5" fillId="0" borderId="0" xfId="14" applyFont="1" applyAlignment="1">
      <alignment horizontal="left"/>
    </xf>
    <xf numFmtId="167" fontId="5" fillId="0" borderId="0" xfId="14" applyNumberFormat="1" applyFont="1" applyAlignment="1">
      <alignment horizontal="right"/>
    </xf>
    <xf numFmtId="169" fontId="5" fillId="0" borderId="0" xfId="14" applyNumberFormat="1" applyFont="1" applyAlignment="1">
      <alignment horizontal="right"/>
    </xf>
    <xf numFmtId="3" fontId="5" fillId="0" borderId="0" xfId="14" applyNumberFormat="1" applyFont="1" applyAlignment="1">
      <alignment horizontal="right"/>
    </xf>
    <xf numFmtId="0" fontId="5" fillId="0" borderId="0" xfId="14" applyFont="1" applyAlignment="1">
      <alignment horizontal="left" vertical="top"/>
    </xf>
    <xf numFmtId="169" fontId="5" fillId="0" borderId="0" xfId="36" applyNumberFormat="1" applyFont="1" applyAlignment="1">
      <alignment vertical="top"/>
    </xf>
    <xf numFmtId="3" fontId="5" fillId="0" borderId="0" xfId="14" applyNumberFormat="1" applyFont="1" applyAlignment="1">
      <alignment horizontal="right" vertical="top"/>
    </xf>
    <xf numFmtId="169" fontId="5" fillId="0" borderId="0" xfId="14" applyNumberFormat="1" applyFont="1" applyAlignment="1">
      <alignment horizontal="right" vertical="top"/>
    </xf>
    <xf numFmtId="3" fontId="5" fillId="0" borderId="8" xfId="14" applyNumberFormat="1" applyFont="1" applyBorder="1" applyAlignment="1">
      <alignment vertical="center"/>
    </xf>
    <xf numFmtId="169" fontId="5" fillId="0" borderId="8" xfId="14" applyNumberFormat="1" applyFont="1" applyBorder="1" applyAlignment="1">
      <alignment vertical="center"/>
    </xf>
    <xf numFmtId="167" fontId="5" fillId="0" borderId="8" xfId="14" applyNumberFormat="1" applyFont="1" applyBorder="1" applyAlignment="1">
      <alignment vertical="center"/>
    </xf>
    <xf numFmtId="169" fontId="5" fillId="0" borderId="0" xfId="14" applyNumberFormat="1" applyFont="1" applyAlignment="1">
      <alignment vertical="center"/>
    </xf>
    <xf numFmtId="10" fontId="5" fillId="0" borderId="0" xfId="14" applyNumberFormat="1" applyFont="1" applyAlignment="1">
      <alignment vertical="center"/>
    </xf>
    <xf numFmtId="169" fontId="5" fillId="0" borderId="0" xfId="36" applyNumberFormat="1" applyFont="1" applyAlignment="1" applyProtection="1">
      <alignment vertical="center"/>
    </xf>
    <xf numFmtId="0" fontId="18" fillId="0" borderId="8" xfId="14" applyFont="1" applyBorder="1" applyAlignment="1">
      <alignment horizontal="left"/>
    </xf>
    <xf numFmtId="37" fontId="18" fillId="0" borderId="8" xfId="14" applyNumberFormat="1" applyFont="1" applyBorder="1"/>
    <xf numFmtId="9" fontId="18" fillId="0" borderId="8" xfId="14" applyNumberFormat="1" applyFont="1" applyBorder="1"/>
    <xf numFmtId="167" fontId="18" fillId="0" borderId="8" xfId="14" applyNumberFormat="1" applyFont="1" applyBorder="1"/>
    <xf numFmtId="169" fontId="18" fillId="0" borderId="8" xfId="14" applyNumberFormat="1" applyFont="1" applyBorder="1"/>
    <xf numFmtId="167" fontId="75" fillId="0" borderId="0" xfId="40" applyNumberFormat="1" applyFont="1" applyAlignment="1">
      <alignment horizontal="right"/>
    </xf>
    <xf numFmtId="167" fontId="5" fillId="0" borderId="0" xfId="16" applyNumberFormat="1" applyFont="1" applyAlignment="1">
      <alignment horizontal="right"/>
    </xf>
    <xf numFmtId="3" fontId="5" fillId="0" borderId="0" xfId="16" applyNumberFormat="1" applyFont="1" applyAlignment="1">
      <alignment horizontal="right"/>
    </xf>
    <xf numFmtId="3" fontId="5" fillId="0" borderId="0" xfId="16" quotePrefix="1" applyNumberFormat="1" applyFont="1" applyAlignment="1">
      <alignment horizontal="right"/>
    </xf>
    <xf numFmtId="3" fontId="117" fillId="0" borderId="0" xfId="36" applyNumberFormat="1" applyFont="1" applyAlignment="1" applyProtection="1">
      <alignment horizontal="right"/>
    </xf>
    <xf numFmtId="3" fontId="55" fillId="0" borderId="0" xfId="36" applyNumberFormat="1" applyFont="1" applyAlignment="1" applyProtection="1">
      <alignment horizontal="right"/>
    </xf>
    <xf numFmtId="41" fontId="5" fillId="0" borderId="0" xfId="16" quotePrefix="1" applyNumberFormat="1" applyFont="1" applyAlignment="1">
      <alignment horizontal="right"/>
    </xf>
    <xf numFmtId="41" fontId="117" fillId="0" borderId="0" xfId="36" applyNumberFormat="1" applyFont="1" applyAlignment="1" applyProtection="1">
      <alignment horizontal="right"/>
    </xf>
    <xf numFmtId="167" fontId="5" fillId="0" borderId="0" xfId="0" applyNumberFormat="1" applyFont="1" applyAlignment="1">
      <alignment horizontal="right" indent="1"/>
    </xf>
    <xf numFmtId="5" fontId="5" fillId="0" borderId="0" xfId="29" applyNumberFormat="1" applyFont="1"/>
    <xf numFmtId="5" fontId="5" fillId="0" borderId="0" xfId="29" applyNumberFormat="1" applyFont="1" applyAlignment="1">
      <alignment horizontal="right"/>
    </xf>
    <xf numFmtId="37" fontId="5" fillId="0" borderId="0" xfId="29" applyNumberFormat="1" applyFont="1"/>
    <xf numFmtId="37" fontId="5" fillId="0" borderId="0" xfId="29" applyNumberFormat="1" applyFont="1" applyAlignment="1">
      <alignment horizontal="right"/>
    </xf>
    <xf numFmtId="37" fontId="5" fillId="0" borderId="0" xfId="18" applyNumberFormat="1" applyFont="1" applyAlignment="1">
      <alignment horizontal="right"/>
    </xf>
    <xf numFmtId="37" fontId="5" fillId="0" borderId="41" xfId="29" applyNumberFormat="1" applyFont="1" applyBorder="1"/>
    <xf numFmtId="5" fontId="18" fillId="0" borderId="13" xfId="29" applyNumberFormat="1" applyFont="1" applyBorder="1"/>
    <xf numFmtId="5" fontId="18" fillId="0" borderId="0" xfId="29" applyNumberFormat="1" applyFont="1"/>
    <xf numFmtId="5" fontId="5" fillId="0" borderId="0" xfId="18" applyNumberFormat="1" applyFont="1"/>
    <xf numFmtId="37" fontId="5" fillId="0" borderId="0" xfId="18" applyNumberFormat="1" applyFont="1"/>
    <xf numFmtId="5" fontId="18" fillId="0" borderId="15" xfId="29" applyNumberFormat="1" applyFont="1" applyBorder="1" applyAlignment="1">
      <alignment vertical="center"/>
    </xf>
    <xf numFmtId="167" fontId="5" fillId="0" borderId="0" xfId="1" applyNumberFormat="1" applyFont="1" applyFill="1" applyAlignment="1">
      <alignment horizontal="center"/>
    </xf>
    <xf numFmtId="3" fontId="5" fillId="4" borderId="0" xfId="33" applyNumberFormat="1" applyFont="1" applyFill="1"/>
    <xf numFmtId="10" fontId="5" fillId="0" borderId="49" xfId="36" applyNumberFormat="1" applyFont="1" applyBorder="1"/>
    <xf numFmtId="10" fontId="5" fillId="0" borderId="0" xfId="36" applyNumberFormat="1" applyFont="1" applyBorder="1"/>
    <xf numFmtId="10" fontId="5" fillId="0" borderId="49" xfId="36" applyNumberFormat="1" applyFont="1" applyBorder="1" applyAlignment="1">
      <alignment vertical="center"/>
    </xf>
    <xf numFmtId="10" fontId="5" fillId="0" borderId="0" xfId="36" applyNumberFormat="1" applyFont="1" applyBorder="1" applyAlignment="1">
      <alignment vertical="center"/>
    </xf>
    <xf numFmtId="10" fontId="5" fillId="0" borderId="49" xfId="36" applyNumberFormat="1" applyFont="1" applyBorder="1" applyAlignment="1">
      <alignment vertical="top"/>
    </xf>
    <xf numFmtId="10" fontId="5" fillId="0" borderId="0" xfId="36" applyNumberFormat="1" applyFont="1" applyBorder="1" applyAlignment="1">
      <alignment vertical="top"/>
    </xf>
    <xf numFmtId="10" fontId="5" fillId="0" borderId="54" xfId="14" applyNumberFormat="1" applyFont="1" applyBorder="1" applyAlignment="1">
      <alignment vertical="center"/>
    </xf>
    <xf numFmtId="3" fontId="5" fillId="0" borderId="55" xfId="14" applyNumberFormat="1" applyFont="1" applyBorder="1" applyAlignment="1">
      <alignment vertical="center"/>
    </xf>
    <xf numFmtId="10" fontId="5" fillId="0" borderId="8" xfId="14" applyNumberFormat="1" applyFont="1" applyBorder="1" applyAlignment="1">
      <alignment vertical="center"/>
    </xf>
    <xf numFmtId="3" fontId="18" fillId="0" borderId="42" xfId="14" applyNumberFormat="1" applyFont="1" applyBorder="1" applyAlignment="1">
      <alignment vertical="center"/>
    </xf>
    <xf numFmtId="167" fontId="18" fillId="0" borderId="42" xfId="14" applyNumberFormat="1" applyFont="1" applyBorder="1" applyAlignment="1">
      <alignment vertical="center"/>
    </xf>
    <xf numFmtId="169" fontId="18" fillId="0" borderId="56" xfId="36" applyNumberFormat="1" applyFont="1" applyBorder="1" applyAlignment="1" applyProtection="1">
      <alignment vertical="center"/>
    </xf>
    <xf numFmtId="9" fontId="18" fillId="0" borderId="58" xfId="14" applyNumberFormat="1" applyFont="1" applyBorder="1" applyAlignment="1">
      <alignment vertical="center"/>
    </xf>
    <xf numFmtId="3" fontId="18" fillId="0" borderId="57" xfId="14" applyNumberFormat="1" applyFont="1" applyBorder="1" applyAlignment="1">
      <alignment vertical="center"/>
    </xf>
    <xf numFmtId="169" fontId="18" fillId="0" borderId="42" xfId="36" applyNumberFormat="1" applyFont="1" applyBorder="1" applyAlignment="1" applyProtection="1">
      <alignment vertical="center"/>
    </xf>
    <xf numFmtId="169" fontId="5" fillId="0" borderId="41" xfId="36" applyNumberFormat="1" applyFont="1" applyFill="1" applyBorder="1" applyAlignment="1"/>
    <xf numFmtId="4" fontId="5" fillId="0" borderId="0" xfId="87" applyNumberFormat="1"/>
    <xf numFmtId="167" fontId="24" fillId="0" borderId="0" xfId="91" applyNumberFormat="1" applyFont="1"/>
    <xf numFmtId="167" fontId="24" fillId="0" borderId="0" xfId="91" applyNumberFormat="1" applyFont="1" applyAlignment="1">
      <alignment horizontal="right" indent="1"/>
    </xf>
    <xf numFmtId="10" fontId="24" fillId="0" borderId="0" xfId="91" applyNumberFormat="1" applyFont="1"/>
    <xf numFmtId="3" fontId="24" fillId="0" borderId="0" xfId="91" applyNumberFormat="1" applyFont="1" applyAlignment="1">
      <alignment horizontal="right" indent="1"/>
    </xf>
    <xf numFmtId="3" fontId="24" fillId="0" borderId="0" xfId="87" applyNumberFormat="1" applyFont="1" applyAlignment="1">
      <alignment horizontal="right" indent="1"/>
    </xf>
    <xf numFmtId="10" fontId="26" fillId="0" borderId="0" xfId="36" applyNumberFormat="1" applyFont="1" applyFill="1" applyBorder="1"/>
    <xf numFmtId="10" fontId="24" fillId="0" borderId="0" xfId="36" applyNumberFormat="1" applyFont="1" applyFill="1"/>
    <xf numFmtId="164" fontId="223" fillId="0" borderId="0" xfId="0" applyNumberFormat="1" applyFont="1" applyAlignment="1">
      <alignment horizontal="right"/>
    </xf>
    <xf numFmtId="10" fontId="223" fillId="0" borderId="0" xfId="0" applyNumberFormat="1" applyFont="1" applyAlignment="1">
      <alignment horizontal="right"/>
    </xf>
    <xf numFmtId="3" fontId="223" fillId="0" borderId="0" xfId="0" applyNumberFormat="1" applyFont="1" applyAlignment="1">
      <alignment horizontal="right"/>
    </xf>
    <xf numFmtId="10" fontId="223" fillId="0" borderId="1" xfId="0" applyNumberFormat="1" applyFont="1" applyBorder="1" applyAlignment="1">
      <alignment horizontal="right"/>
    </xf>
    <xf numFmtId="167" fontId="224" fillId="0" borderId="2" xfId="0" applyNumberFormat="1" applyFont="1" applyBorder="1"/>
    <xf numFmtId="0" fontId="182" fillId="0" borderId="2" xfId="0" applyFont="1" applyBorder="1"/>
    <xf numFmtId="10" fontId="224" fillId="0" borderId="0" xfId="0" applyNumberFormat="1" applyFont="1" applyAlignment="1">
      <alignment horizontal="right"/>
    </xf>
    <xf numFmtId="10" fontId="223" fillId="0" borderId="3" xfId="0" applyNumberFormat="1" applyFont="1" applyBorder="1" applyAlignment="1">
      <alignment horizontal="right"/>
    </xf>
    <xf numFmtId="10" fontId="223" fillId="0" borderId="4" xfId="0" applyNumberFormat="1" applyFont="1" applyBorder="1" applyAlignment="1">
      <alignment horizontal="right"/>
    </xf>
    <xf numFmtId="10" fontId="224" fillId="0" borderId="5" xfId="0" applyNumberFormat="1" applyFont="1" applyBorder="1" applyAlignment="1">
      <alignment horizontal="right"/>
    </xf>
    <xf numFmtId="164" fontId="223" fillId="0" borderId="0" xfId="0" applyNumberFormat="1" applyFont="1"/>
    <xf numFmtId="3" fontId="223" fillId="0" borderId="0" xfId="0" applyNumberFormat="1" applyFont="1"/>
    <xf numFmtId="3" fontId="223" fillId="0" borderId="0" xfId="0" applyNumberFormat="1" applyFont="1" applyAlignment="1">
      <alignment vertical="top"/>
    </xf>
    <xf numFmtId="164" fontId="224" fillId="0" borderId="2" xfId="0" applyNumberFormat="1" applyFont="1" applyBorder="1"/>
    <xf numFmtId="165" fontId="224" fillId="0" borderId="0" xfId="0" applyNumberFormat="1" applyFont="1"/>
    <xf numFmtId="42" fontId="192" fillId="0" borderId="0" xfId="0" applyNumberFormat="1" applyFont="1"/>
    <xf numFmtId="41" fontId="192" fillId="0" borderId="0" xfId="0" applyNumberFormat="1" applyFont="1"/>
    <xf numFmtId="41" fontId="192" fillId="0" borderId="0" xfId="0" applyNumberFormat="1" applyFont="1" applyAlignment="1">
      <alignment horizontal="left"/>
    </xf>
    <xf numFmtId="0" fontId="8" fillId="0" borderId="0" xfId="8" applyFont="1" applyAlignment="1">
      <alignment horizontal="center"/>
    </xf>
    <xf numFmtId="10" fontId="8" fillId="0" borderId="0" xfId="8" applyNumberFormat="1" applyFont="1" applyAlignment="1">
      <alignment horizontal="center"/>
    </xf>
    <xf numFmtId="3" fontId="8" fillId="0" borderId="0" xfId="8" applyNumberFormat="1" applyFont="1" applyAlignment="1">
      <alignment horizontal="right"/>
    </xf>
    <xf numFmtId="3" fontId="6" fillId="0" borderId="0" xfId="8" applyNumberFormat="1" applyFont="1" applyAlignment="1">
      <alignment horizontal="right"/>
    </xf>
    <xf numFmtId="10" fontId="6" fillId="0" borderId="0" xfId="8" applyNumberFormat="1" applyFont="1"/>
    <xf numFmtId="10" fontId="6" fillId="0" borderId="0" xfId="8" applyNumberFormat="1" applyFont="1" applyAlignment="1">
      <alignment horizontal="right" vertical="center"/>
    </xf>
    <xf numFmtId="10" fontId="7" fillId="0" borderId="0" xfId="8" applyNumberFormat="1" applyFont="1"/>
    <xf numFmtId="164" fontId="8" fillId="0" borderId="0" xfId="8" applyNumberFormat="1" applyFont="1"/>
    <xf numFmtId="10" fontId="8" fillId="0" borderId="0" xfId="8" applyNumberFormat="1" applyFont="1" applyAlignment="1">
      <alignment horizontal="right" vertical="center"/>
    </xf>
    <xf numFmtId="164" fontId="6" fillId="0" borderId="0" xfId="8" applyNumberFormat="1" applyFont="1" applyAlignment="1">
      <alignment horizontal="right"/>
    </xf>
    <xf numFmtId="164" fontId="8" fillId="0" borderId="15" xfId="8" applyNumberFormat="1" applyFont="1" applyBorder="1"/>
    <xf numFmtId="10" fontId="8" fillId="0" borderId="15" xfId="8" applyNumberFormat="1" applyFont="1" applyBorder="1" applyAlignment="1">
      <alignment horizontal="right" vertical="center"/>
    </xf>
    <xf numFmtId="5" fontId="5" fillId="0" borderId="0" xfId="16" applyNumberFormat="1" applyFont="1" applyAlignment="1">
      <alignment horizontal="right"/>
    </xf>
    <xf numFmtId="37" fontId="24" fillId="0" borderId="0" xfId="0" applyNumberFormat="1" applyFont="1"/>
    <xf numFmtId="0" fontId="27" fillId="0" borderId="0" xfId="0" applyFont="1" applyAlignment="1">
      <alignment horizontal="center"/>
    </xf>
    <xf numFmtId="0" fontId="39" fillId="0" borderId="0" xfId="0" applyFont="1" applyAlignment="1">
      <alignment horizontal="center"/>
    </xf>
    <xf numFmtId="0" fontId="192" fillId="0" borderId="0" xfId="9" applyFont="1" applyAlignment="1">
      <alignment vertical="top" wrapText="1"/>
    </xf>
    <xf numFmtId="0" fontId="182" fillId="0" borderId="0" xfId="0" applyFont="1" applyAlignment="1">
      <alignment vertical="top" wrapText="1"/>
    </xf>
    <xf numFmtId="0" fontId="192" fillId="0" borderId="0" xfId="0" applyFont="1" applyAlignment="1">
      <alignment vertical="top" wrapText="1"/>
    </xf>
    <xf numFmtId="0" fontId="192" fillId="0" borderId="0" xfId="0" applyFont="1" applyAlignment="1">
      <alignment horizontal="left" vertical="top" wrapText="1"/>
    </xf>
    <xf numFmtId="0" fontId="18" fillId="0" borderId="19" xfId="11" applyFont="1" applyBorder="1" applyAlignment="1">
      <alignment horizontal="center"/>
    </xf>
    <xf numFmtId="3" fontId="18" fillId="0" borderId="29" xfId="11" applyNumberFormat="1" applyFont="1" applyBorder="1" applyAlignment="1">
      <alignment horizontal="center"/>
    </xf>
    <xf numFmtId="3" fontId="18" fillId="0" borderId="19" xfId="11" applyNumberFormat="1" applyFont="1" applyBorder="1" applyAlignment="1">
      <alignment horizontal="center"/>
    </xf>
    <xf numFmtId="0" fontId="18" fillId="0" borderId="45" xfId="11" applyFont="1" applyBorder="1" applyAlignment="1">
      <alignment horizontal="center"/>
    </xf>
    <xf numFmtId="0" fontId="41" fillId="0" borderId="0" xfId="25"/>
    <xf numFmtId="0" fontId="41" fillId="0" borderId="16" xfId="25" applyBorder="1"/>
    <xf numFmtId="0" fontId="6" fillId="0" borderId="16" xfId="24" applyBorder="1"/>
    <xf numFmtId="0" fontId="25" fillId="0" borderId="0" xfId="25" applyFont="1"/>
    <xf numFmtId="0" fontId="6" fillId="0" borderId="0" xfId="24"/>
    <xf numFmtId="0" fontId="5" fillId="0" borderId="0" xfId="25" applyFont="1"/>
    <xf numFmtId="0" fontId="192" fillId="0" borderId="0" xfId="21" applyFont="1" applyAlignment="1">
      <alignment horizontal="left" vertical="center" wrapText="1"/>
    </xf>
    <xf numFmtId="0" fontId="182" fillId="0" borderId="0" xfId="0" applyFont="1" applyAlignment="1">
      <alignment vertical="center"/>
    </xf>
    <xf numFmtId="0" fontId="192" fillId="0" borderId="0" xfId="21" applyFont="1" applyAlignment="1">
      <alignment vertical="center" wrapText="1"/>
    </xf>
    <xf numFmtId="0" fontId="209" fillId="0" borderId="0" xfId="21" applyFont="1" applyAlignment="1">
      <alignment horizontal="left" vertical="center" wrapText="1"/>
    </xf>
    <xf numFmtId="0" fontId="181" fillId="0" borderId="0" xfId="26" applyFont="1" applyAlignment="1">
      <alignment wrapText="1"/>
    </xf>
    <xf numFmtId="0" fontId="181" fillId="0" borderId="0" xfId="0" applyFont="1" applyAlignment="1">
      <alignment wrapText="1"/>
    </xf>
    <xf numFmtId="0" fontId="198" fillId="0" borderId="0" xfId="14" applyFont="1" applyAlignment="1">
      <alignment wrapText="1"/>
    </xf>
    <xf numFmtId="41" fontId="198" fillId="0" borderId="0" xfId="14" applyNumberFormat="1" applyFont="1" applyAlignment="1">
      <alignment horizontal="left" wrapText="1"/>
    </xf>
    <xf numFmtId="41" fontId="198" fillId="0" borderId="0" xfId="0" applyNumberFormat="1" applyFont="1" applyAlignment="1">
      <alignment wrapText="1"/>
    </xf>
    <xf numFmtId="41" fontId="198" fillId="0" borderId="0" xfId="14" applyNumberFormat="1" applyFont="1" applyAlignment="1">
      <alignment wrapText="1"/>
    </xf>
    <xf numFmtId="0" fontId="5" fillId="0" borderId="0" xfId="0" applyFont="1" applyAlignment="1">
      <alignment vertical="center" wrapText="1"/>
    </xf>
    <xf numFmtId="0" fontId="5" fillId="0" borderId="0" xfId="0" applyFont="1" applyAlignment="1">
      <alignment wrapText="1"/>
    </xf>
    <xf numFmtId="0" fontId="26" fillId="0" borderId="17" xfId="16" applyFont="1" applyBorder="1" applyAlignment="1">
      <alignment horizontal="center" wrapText="1"/>
    </xf>
    <xf numFmtId="0" fontId="0" fillId="0" borderId="17" xfId="0" applyBorder="1" applyAlignment="1">
      <alignment horizontal="center" wrapText="1"/>
    </xf>
    <xf numFmtId="0" fontId="26" fillId="0" borderId="17" xfId="16" applyFont="1" applyBorder="1" applyAlignment="1">
      <alignment horizontal="center"/>
    </xf>
    <xf numFmtId="0" fontId="165" fillId="36" borderId="0" xfId="8" applyFont="1" applyFill="1" applyAlignment="1">
      <alignment horizontal="left" vertical="center" wrapText="1"/>
    </xf>
    <xf numFmtId="0" fontId="166" fillId="36" borderId="0" xfId="0" applyFont="1" applyFill="1" applyAlignment="1">
      <alignment vertical="center" wrapText="1"/>
    </xf>
    <xf numFmtId="0" fontId="181" fillId="0" borderId="0" xfId="28" applyFont="1" applyAlignment="1">
      <alignment horizontal="left" vertical="center" wrapText="1"/>
    </xf>
    <xf numFmtId="0" fontId="181" fillId="0" borderId="0" xfId="0" applyFont="1" applyAlignment="1">
      <alignment vertical="center" wrapText="1"/>
    </xf>
    <xf numFmtId="3" fontId="181" fillId="0" borderId="40" xfId="0" applyNumberFormat="1" applyFont="1" applyBorder="1" applyAlignment="1">
      <alignment vertical="center"/>
    </xf>
    <xf numFmtId="3" fontId="181" fillId="0" borderId="0" xfId="0" applyNumberFormat="1" applyFont="1" applyAlignment="1">
      <alignment vertical="center"/>
    </xf>
    <xf numFmtId="3" fontId="173" fillId="0" borderId="40" xfId="0" applyNumberFormat="1" applyFont="1" applyBorder="1" applyAlignment="1">
      <alignment vertical="center"/>
    </xf>
    <xf numFmtId="3" fontId="173" fillId="0" borderId="0" xfId="0" applyNumberFormat="1" applyFont="1" applyAlignment="1">
      <alignment vertical="center"/>
    </xf>
    <xf numFmtId="0" fontId="181" fillId="0" borderId="0" xfId="0" applyFont="1" applyAlignment="1">
      <alignment horizontal="left" vertical="top" wrapText="1"/>
    </xf>
    <xf numFmtId="0" fontId="134" fillId="0" borderId="0" xfId="0" applyFont="1" applyAlignment="1">
      <alignment horizontal="left" vertical="top" wrapText="1"/>
    </xf>
    <xf numFmtId="0" fontId="181" fillId="0" borderId="0" xfId="0" applyFont="1" applyAlignment="1">
      <alignment vertical="top" wrapText="1"/>
    </xf>
    <xf numFmtId="0" fontId="134" fillId="0" borderId="0" xfId="0" applyFont="1" applyAlignment="1">
      <alignment vertical="top" wrapText="1"/>
    </xf>
    <xf numFmtId="0" fontId="23" fillId="4" borderId="0" xfId="32" applyFont="1" applyFill="1" applyAlignment="1">
      <alignment horizontal="left"/>
    </xf>
    <xf numFmtId="0" fontId="134" fillId="4" borderId="0" xfId="33" applyFont="1" applyFill="1" applyAlignment="1">
      <alignment horizontal="left" vertical="top" wrapText="1"/>
    </xf>
    <xf numFmtId="0" fontId="134" fillId="0" borderId="0" xfId="33" applyFont="1" applyAlignment="1">
      <alignment horizontal="left" vertical="top" wrapText="1"/>
    </xf>
    <xf numFmtId="0" fontId="5" fillId="0" borderId="0" xfId="14" applyFont="1" applyAlignment="1">
      <alignment wrapText="1"/>
    </xf>
    <xf numFmtId="0" fontId="181" fillId="0" borderId="0" xfId="14" applyFont="1" applyAlignment="1">
      <alignment horizontal="left" vertical="top" wrapText="1"/>
    </xf>
    <xf numFmtId="0" fontId="182" fillId="0" borderId="0" xfId="0" applyFont="1"/>
    <xf numFmtId="0" fontId="8" fillId="0" borderId="0" xfId="87" applyFont="1"/>
    <xf numFmtId="0" fontId="134" fillId="0" borderId="0" xfId="87" applyFont="1" applyAlignment="1">
      <alignment horizontal="left"/>
    </xf>
    <xf numFmtId="0" fontId="18" fillId="0" borderId="18" xfId="10" applyFont="1" applyBorder="1"/>
    <xf numFmtId="0" fontId="24" fillId="0" borderId="0" xfId="10" applyFont="1" applyAlignment="1">
      <alignment horizontal="left"/>
    </xf>
    <xf numFmtId="0" fontId="18" fillId="0" borderId="0" xfId="10" applyFont="1" applyAlignment="1">
      <alignment horizontal="left"/>
    </xf>
    <xf numFmtId="0" fontId="26" fillId="0" borderId="0" xfId="10" applyFont="1" applyAlignment="1">
      <alignment horizontal="left"/>
    </xf>
    <xf numFmtId="0" fontId="26" fillId="0" borderId="0" xfId="10" applyFont="1" applyAlignment="1">
      <alignment horizontal="center"/>
    </xf>
    <xf numFmtId="3" fontId="24" fillId="0" borderId="0" xfId="6" applyNumberFormat="1" applyFont="1" applyFill="1" applyBorder="1" applyAlignment="1">
      <alignment horizontal="center"/>
    </xf>
    <xf numFmtId="0" fontId="160" fillId="0" borderId="0" xfId="87" applyFont="1" applyAlignment="1">
      <alignment horizontal="center"/>
    </xf>
    <xf numFmtId="0" fontId="103" fillId="0" borderId="0" xfId="87" applyFont="1" applyAlignment="1">
      <alignment horizontal="left"/>
    </xf>
    <xf numFmtId="3" fontId="102" fillId="0" borderId="0" xfId="87" applyNumberFormat="1" applyFont="1" applyAlignment="1">
      <alignment horizontal="center"/>
    </xf>
    <xf numFmtId="0" fontId="118" fillId="0" borderId="0" xfId="87" applyFont="1" applyAlignment="1">
      <alignment horizontal="left"/>
    </xf>
    <xf numFmtId="0" fontId="134" fillId="0" borderId="0" xfId="84" applyFont="1" applyAlignment="1">
      <alignment horizontal="left" vertical="top" wrapText="1"/>
    </xf>
    <xf numFmtId="0" fontId="134" fillId="0" borderId="0" xfId="84" applyFont="1" applyAlignment="1">
      <alignment vertical="top" wrapText="1"/>
    </xf>
  </cellXfs>
  <cellStyles count="113">
    <cellStyle name="20% - Accent1" xfId="59" builtinId="30" customBuiltin="1"/>
    <cellStyle name="20% - Accent1 2" xfId="99" xr:uid="{00000000-0005-0000-0000-000001000000}"/>
    <cellStyle name="20% - Accent2" xfId="63" builtinId="34" customBuiltin="1"/>
    <cellStyle name="20% - Accent2 2" xfId="101" xr:uid="{00000000-0005-0000-0000-000003000000}"/>
    <cellStyle name="20% - Accent3" xfId="67" builtinId="38" customBuiltin="1"/>
    <cellStyle name="20% - Accent3 2" xfId="103" xr:uid="{00000000-0005-0000-0000-000005000000}"/>
    <cellStyle name="20% - Accent4" xfId="71" builtinId="42" customBuiltin="1"/>
    <cellStyle name="20% - Accent4 2" xfId="105" xr:uid="{00000000-0005-0000-0000-000007000000}"/>
    <cellStyle name="20% - Accent5" xfId="75" builtinId="46" customBuiltin="1"/>
    <cellStyle name="20% - Accent5 2" xfId="107" xr:uid="{00000000-0005-0000-0000-000009000000}"/>
    <cellStyle name="20% - Accent6" xfId="79" builtinId="50" customBuiltin="1"/>
    <cellStyle name="20% - Accent6 2" xfId="109" xr:uid="{00000000-0005-0000-0000-00000B000000}"/>
    <cellStyle name="40% - Accent1" xfId="60" builtinId="31" customBuiltin="1"/>
    <cellStyle name="40% - Accent1 2" xfId="100" xr:uid="{00000000-0005-0000-0000-00000D000000}"/>
    <cellStyle name="40% - Accent2" xfId="64" builtinId="35" customBuiltin="1"/>
    <cellStyle name="40% - Accent2 2" xfId="102" xr:uid="{00000000-0005-0000-0000-00000F000000}"/>
    <cellStyle name="40% - Accent3" xfId="68" builtinId="39" customBuiltin="1"/>
    <cellStyle name="40% - Accent3 2" xfId="104" xr:uid="{00000000-0005-0000-0000-000011000000}"/>
    <cellStyle name="40% - Accent4" xfId="72" builtinId="43" customBuiltin="1"/>
    <cellStyle name="40% - Accent4 2" xfId="106" xr:uid="{00000000-0005-0000-0000-000013000000}"/>
    <cellStyle name="40% - Accent5" xfId="76" builtinId="47" customBuiltin="1"/>
    <cellStyle name="40% - Accent5 2" xfId="108" xr:uid="{00000000-0005-0000-0000-000015000000}"/>
    <cellStyle name="40% - Accent6" xfId="80" builtinId="51" customBuiltin="1"/>
    <cellStyle name="40% - Accent6 2" xfId="110" xr:uid="{00000000-0005-0000-0000-000017000000}"/>
    <cellStyle name="60% - Accent1" xfId="61" builtinId="32" customBuiltin="1"/>
    <cellStyle name="60% - Accent2" xfId="65" builtinId="36" customBuiltin="1"/>
    <cellStyle name="60% - Accent3" xfId="69" builtinId="40" customBuiltin="1"/>
    <cellStyle name="60% - Accent4" xfId="73" builtinId="44" customBuiltin="1"/>
    <cellStyle name="60% - Accent5" xfId="77" builtinId="48" customBuiltin="1"/>
    <cellStyle name="60% - Accent6" xfId="81" builtinId="52" customBuiltin="1"/>
    <cellStyle name="Accent1" xfId="58" builtinId="29" customBuiltin="1"/>
    <cellStyle name="Accent2" xfId="62" builtinId="33" customBuiltin="1"/>
    <cellStyle name="Accent3" xfId="66" builtinId="37" customBuiltin="1"/>
    <cellStyle name="Accent4" xfId="70" builtinId="41" customBuiltin="1"/>
    <cellStyle name="Accent5" xfId="74" builtinId="45" customBuiltin="1"/>
    <cellStyle name="Accent6" xfId="78" builtinId="49" customBuiltin="1"/>
    <cellStyle name="Bad" xfId="48" builtinId="27" customBuiltin="1"/>
    <cellStyle name="Calculation" xfId="52" builtinId="22" customBuiltin="1"/>
    <cellStyle name="Check Cell" xfId="54" builtinId="23" customBuiltin="1"/>
    <cellStyle name="Comma" xfId="41" builtinId="3"/>
    <cellStyle name="Comma 2" xfId="1" xr:uid="{00000000-0005-0000-0000-000028000000}"/>
    <cellStyle name="Comma 2 2" xfId="92" xr:uid="{00000000-0005-0000-0000-000029000000}"/>
    <cellStyle name="Comma 3" xfId="2" xr:uid="{00000000-0005-0000-0000-00002A000000}"/>
    <cellStyle name="Comma 3 2" xfId="93" xr:uid="{00000000-0005-0000-0000-00002B000000}"/>
    <cellStyle name="Comma 4" xfId="88" xr:uid="{00000000-0005-0000-0000-00002C000000}"/>
    <cellStyle name="Currency" xfId="3" builtinId="4"/>
    <cellStyle name="Currency 2" xfId="4" xr:uid="{00000000-0005-0000-0000-00002E000000}"/>
    <cellStyle name="Currency 2 2" xfId="94" xr:uid="{00000000-0005-0000-0000-00002F000000}"/>
    <cellStyle name="Currency 3" xfId="5" xr:uid="{00000000-0005-0000-0000-000030000000}"/>
    <cellStyle name="Currency 3 2" xfId="95" xr:uid="{00000000-0005-0000-0000-000031000000}"/>
    <cellStyle name="Currency 4" xfId="6" xr:uid="{00000000-0005-0000-0000-000032000000}"/>
    <cellStyle name="Currency 4 2" xfId="90" xr:uid="{00000000-0005-0000-0000-000033000000}"/>
    <cellStyle name="Currency 5" xfId="85" xr:uid="{00000000-0005-0000-0000-000034000000}"/>
    <cellStyle name="Explanatory Text" xfId="56" builtinId="53" customBuiltin="1"/>
    <cellStyle name="Good" xfId="47" builtinId="26" customBuiltin="1"/>
    <cellStyle name="Heading 1" xfId="43" builtinId="16" customBuiltin="1"/>
    <cellStyle name="Heading 2" xfId="44" builtinId="17" customBuiltin="1"/>
    <cellStyle name="Heading 3" xfId="45" builtinId="18" customBuiltin="1"/>
    <cellStyle name="Heading 4" xfId="46" builtinId="19" customBuiltin="1"/>
    <cellStyle name="Hyperlink" xfId="86" builtinId="8"/>
    <cellStyle name="Input" xfId="50" builtinId="20" customBuiltin="1"/>
    <cellStyle name="Linked Cell" xfId="53" builtinId="24" customBuiltin="1"/>
    <cellStyle name="Neutral" xfId="49" builtinId="28" customBuiltin="1"/>
    <cellStyle name="Normal" xfId="0" builtinId="0"/>
    <cellStyle name="Normal 2" xfId="7" xr:uid="{00000000-0005-0000-0000-000040000000}"/>
    <cellStyle name="Normal 2 2" xfId="8" xr:uid="{00000000-0005-0000-0000-000041000000}"/>
    <cellStyle name="Normal 2 2 2" xfId="97" xr:uid="{00000000-0005-0000-0000-000042000000}"/>
    <cellStyle name="Normal 2 3" xfId="96" xr:uid="{00000000-0005-0000-0000-000043000000}"/>
    <cellStyle name="Normal 3" xfId="9" xr:uid="{00000000-0005-0000-0000-000044000000}"/>
    <cellStyle name="Normal 3 2" xfId="91" xr:uid="{00000000-0005-0000-0000-000045000000}"/>
    <cellStyle name="Normal 4" xfId="40" xr:uid="{00000000-0005-0000-0000-000046000000}"/>
    <cellStyle name="Normal 5" xfId="82" xr:uid="{00000000-0005-0000-0000-000047000000}"/>
    <cellStyle name="Normal 5 2" xfId="111" xr:uid="{00000000-0005-0000-0000-000048000000}"/>
    <cellStyle name="Normal 6" xfId="84" xr:uid="{00000000-0005-0000-0000-000049000000}"/>
    <cellStyle name="Normal_1998 Surveys" xfId="10" xr:uid="{00000000-0005-0000-0000-00004A000000}"/>
    <cellStyle name="Normal_1998 Surveys 2" xfId="87" xr:uid="{00000000-0005-0000-0000-00004B000000}"/>
    <cellStyle name="Normal_Annual Report FY 06_v2" xfId="11" xr:uid="{00000000-0005-0000-0000-00004C000000}"/>
    <cellStyle name="Normal_Annual Report FY 2004" xfId="12" xr:uid="{00000000-0005-0000-0000-00004D000000}"/>
    <cellStyle name="Normal_Annual Report FY 2009 Final 12282009" xfId="13" xr:uid="{00000000-0005-0000-0000-00004E000000}"/>
    <cellStyle name="Normal_AR99TBL2" xfId="14" xr:uid="{00000000-0005-0000-0000-00004F000000}"/>
    <cellStyle name="Normal_AR99TBL2 2" xfId="15" xr:uid="{00000000-0005-0000-0000-000050000000}"/>
    <cellStyle name="Normal_AR99TBL3" xfId="16" xr:uid="{00000000-0005-0000-0000-000051000000}"/>
    <cellStyle name="Normal_AR99TBL3 2" xfId="17" xr:uid="{00000000-0005-0000-0000-000052000000}"/>
    <cellStyle name="Normal_Sheet1 2" xfId="18" xr:uid="{00000000-0005-0000-0000-000053000000}"/>
    <cellStyle name="Normal_Sheet1_Table 1.10 Refund Match" xfId="19" xr:uid="{00000000-0005-0000-0000-000054000000}"/>
    <cellStyle name="Normal_Table 1.10 Refund Match" xfId="20" xr:uid="{00000000-0005-0000-0000-000055000000}"/>
    <cellStyle name="Normal_Table 1.11 Checkoffs" xfId="21" xr:uid="{00000000-0005-0000-0000-000056000000}"/>
    <cellStyle name="Normal_Table 1.2–1.4" xfId="22" xr:uid="{00000000-0005-0000-0000-000057000000}"/>
    <cellStyle name="Normal_Table 1.5-1.7" xfId="23" xr:uid="{00000000-0005-0000-0000-000058000000}"/>
    <cellStyle name="Normal_Table 1.8-1.9" xfId="24" xr:uid="{00000000-0005-0000-0000-000059000000}"/>
    <cellStyle name="Normal_Table 1.9 Debt Setoff - Report 138" xfId="25" xr:uid="{00000000-0005-0000-0000-00005A000000}"/>
    <cellStyle name="Normal_Table 2.1" xfId="26" xr:uid="{00000000-0005-0000-0000-00005B000000}"/>
    <cellStyle name="Normal_Table 3.4 2" xfId="27" xr:uid="{00000000-0005-0000-0000-00005C000000}"/>
    <cellStyle name="Normal_Table 3_2" xfId="28" xr:uid="{00000000-0005-0000-0000-00005D000000}"/>
    <cellStyle name="Normal_Table 4.3, 4.4" xfId="29" xr:uid="{00000000-0005-0000-0000-00005E000000}"/>
    <cellStyle name="Normal_Table 4.3, 4.4 Bank Franchise" xfId="30" xr:uid="{00000000-0005-0000-0000-00005F000000}"/>
    <cellStyle name="Normal_Table 4.5" xfId="31" xr:uid="{00000000-0005-0000-0000-000060000000}"/>
    <cellStyle name="Normal_Table 4.5_1" xfId="32" xr:uid="{00000000-0005-0000-0000-000061000000}"/>
    <cellStyle name="Normal_Table_4.6_v6" xfId="33" xr:uid="{00000000-0005-0000-0000-000062000000}"/>
    <cellStyle name="Normal_Table1.5" xfId="34" xr:uid="{00000000-0005-0000-0000-000063000000}"/>
    <cellStyle name="Normal_Tables 1.2-1.8 2" xfId="35" xr:uid="{00000000-0005-0000-0000-000064000000}"/>
    <cellStyle name="Note 2" xfId="83" xr:uid="{00000000-0005-0000-0000-000065000000}"/>
    <cellStyle name="Note 2 2" xfId="112" xr:uid="{00000000-0005-0000-0000-000066000000}"/>
    <cellStyle name="Output" xfId="51" builtinId="21" customBuiltin="1"/>
    <cellStyle name="Percent" xfId="36" builtinId="5"/>
    <cellStyle name="Percent 2" xfId="37" xr:uid="{00000000-0005-0000-0000-000069000000}"/>
    <cellStyle name="Percent 2 2" xfId="38" xr:uid="{00000000-0005-0000-0000-00006A000000}"/>
    <cellStyle name="Percent 2 2 2" xfId="89" xr:uid="{00000000-0005-0000-0000-00006B000000}"/>
    <cellStyle name="Percent 3" xfId="39" xr:uid="{00000000-0005-0000-0000-00006C000000}"/>
    <cellStyle name="Percent 3 2" xfId="98" xr:uid="{00000000-0005-0000-0000-00006D000000}"/>
    <cellStyle name="Title" xfId="42" builtinId="15" customBuiltin="1"/>
    <cellStyle name="Total" xfId="57" builtinId="25" customBuiltin="1"/>
    <cellStyle name="Warning Text" xfId="55" builtinId="11" customBuiltin="1"/>
  </cellStyles>
  <dxfs count="3">
    <dxf>
      <font>
        <b/>
        <i/>
        <condense val="0"/>
        <extend val="0"/>
        <color indexed="10"/>
      </font>
    </dxf>
    <dxf>
      <font>
        <b/>
        <i/>
        <condense val="0"/>
        <extend val="0"/>
        <color indexed="10"/>
      </font>
    </dxf>
    <dxf>
      <font>
        <b/>
        <i/>
        <condense val="0"/>
        <extend val="0"/>
        <color indexed="10"/>
      </font>
    </dxf>
  </dxfs>
  <tableStyles count="0" defaultTableStyle="TableStyleMedium9" defaultPivotStyle="PivotStyleLight16"/>
  <colors>
    <mruColors>
      <color rgb="FFFFFFCC"/>
      <color rgb="FFFFFF99"/>
      <color rgb="FFAFAFFF"/>
      <color rgb="FF9999FF"/>
      <color rgb="FFFFFFFF"/>
      <color rgb="FF28F8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eetMetadata" Target="metadata.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none" strike="noStrike" baseline="0">
                <a:solidFill>
                  <a:srgbClr val="000000"/>
                </a:solidFill>
                <a:latin typeface="Arial Narrow" panose="020B0606020202030204" pitchFamily="34" charset="0"/>
                <a:ea typeface="Arial"/>
                <a:cs typeface="Arial"/>
              </a:defRPr>
            </a:pPr>
            <a:r>
              <a:rPr lang="en-US" sz="1300">
                <a:latin typeface="Arial Narrow" panose="020B0606020202030204" pitchFamily="34" charset="0"/>
              </a:rPr>
              <a:t>Share of Revenue Collections by Fund Group</a:t>
            </a:r>
          </a:p>
        </c:rich>
      </c:tx>
      <c:layout>
        <c:manualLayout>
          <c:xMode val="edge"/>
          <c:yMode val="edge"/>
          <c:x val="0.30526602861405222"/>
          <c:y val="1.2343469800935146E-2"/>
        </c:manualLayout>
      </c:layout>
      <c:overlay val="0"/>
      <c:spPr>
        <a:noFill/>
        <a:ln w="25400">
          <a:noFill/>
        </a:ln>
      </c:spPr>
    </c:title>
    <c:autoTitleDeleted val="0"/>
    <c:plotArea>
      <c:layout>
        <c:manualLayout>
          <c:layoutTarget val="inner"/>
          <c:xMode val="edge"/>
          <c:yMode val="edge"/>
          <c:x val="0.27674293945909439"/>
          <c:y val="8.2722167078234279E-2"/>
          <c:w val="0.58637447619178151"/>
          <c:h val="0.87806982325483551"/>
        </c:manualLayout>
      </c:layout>
      <c:pieChart>
        <c:varyColors val="1"/>
        <c:ser>
          <c:idx val="0"/>
          <c:order val="0"/>
          <c:spPr>
            <a:solidFill>
              <a:srgbClr val="9999FF"/>
            </a:solidFill>
            <a:ln w="12700">
              <a:solidFill>
                <a:schemeClr val="bg1">
                  <a:lumMod val="65000"/>
                </a:schemeClr>
              </a:solidFill>
              <a:prstDash val="solid"/>
            </a:ln>
          </c:spPr>
          <c:explosion val="10"/>
          <c:dPt>
            <c:idx val="1"/>
            <c:bubble3D val="0"/>
            <c:explosion val="5"/>
            <c:spPr>
              <a:solidFill>
                <a:srgbClr val="993366"/>
              </a:solidFill>
              <a:ln w="12700">
                <a:solidFill>
                  <a:schemeClr val="bg1">
                    <a:lumMod val="65000"/>
                  </a:schemeClr>
                </a:solidFill>
                <a:prstDash val="solid"/>
              </a:ln>
            </c:spPr>
            <c:extLst>
              <c:ext xmlns:c16="http://schemas.microsoft.com/office/drawing/2014/chart" uri="{C3380CC4-5D6E-409C-BE32-E72D297353CC}">
                <c16:uniqueId val="{00000000-647A-452A-B18E-897E0CE96462}"/>
              </c:ext>
            </c:extLst>
          </c:dPt>
          <c:dPt>
            <c:idx val="2"/>
            <c:bubble3D val="0"/>
            <c:explosion val="5"/>
            <c:spPr>
              <a:solidFill>
                <a:srgbClr val="FFFFCC"/>
              </a:solidFill>
              <a:ln w="12700">
                <a:solidFill>
                  <a:schemeClr val="bg1">
                    <a:lumMod val="65000"/>
                  </a:schemeClr>
                </a:solidFill>
                <a:prstDash val="solid"/>
              </a:ln>
            </c:spPr>
            <c:extLst>
              <c:ext xmlns:c16="http://schemas.microsoft.com/office/drawing/2014/chart" uri="{C3380CC4-5D6E-409C-BE32-E72D297353CC}">
                <c16:uniqueId val="{00000001-647A-452A-B18E-897E0CE96462}"/>
              </c:ext>
            </c:extLst>
          </c:dPt>
          <c:dPt>
            <c:idx val="3"/>
            <c:bubble3D val="0"/>
            <c:spPr>
              <a:solidFill>
                <a:srgbClr val="CCFFFF"/>
              </a:solidFill>
              <a:ln w="12700">
                <a:solidFill>
                  <a:schemeClr val="bg1">
                    <a:lumMod val="65000"/>
                  </a:schemeClr>
                </a:solidFill>
                <a:prstDash val="solid"/>
              </a:ln>
            </c:spPr>
            <c:extLst>
              <c:ext xmlns:c16="http://schemas.microsoft.com/office/drawing/2014/chart" uri="{C3380CC4-5D6E-409C-BE32-E72D297353CC}">
                <c16:uniqueId val="{00000002-647A-452A-B18E-897E0CE96462}"/>
              </c:ext>
            </c:extLst>
          </c:dPt>
          <c:dLbls>
            <c:dLbl>
              <c:idx val="0"/>
              <c:layout>
                <c:manualLayout>
                  <c:x val="-4.108805211570439E-2"/>
                  <c:y val="-3.696088985027242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5628432806926776"/>
                      <c:h val="0.15199715048743168"/>
                    </c:manualLayout>
                  </c15:layout>
                </c:ext>
                <c:ext xmlns:c16="http://schemas.microsoft.com/office/drawing/2014/chart" uri="{C3380CC4-5D6E-409C-BE32-E72D297353CC}">
                  <c16:uniqueId val="{00000003-647A-452A-B18E-897E0CE96462}"/>
                </c:ext>
              </c:extLst>
            </c:dLbl>
            <c:dLbl>
              <c:idx val="1"/>
              <c:layout>
                <c:manualLayout>
                  <c:x val="4.7672972352519934E-3"/>
                  <c:y val="-7.429973310328107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540650601501441"/>
                      <c:h val="0.16081609778533726"/>
                    </c:manualLayout>
                  </c15:layout>
                </c:ext>
                <c:ext xmlns:c16="http://schemas.microsoft.com/office/drawing/2014/chart" uri="{C3380CC4-5D6E-409C-BE32-E72D297353CC}">
                  <c16:uniqueId val="{00000000-647A-452A-B18E-897E0CE96462}"/>
                </c:ext>
              </c:extLst>
            </c:dLbl>
            <c:dLbl>
              <c:idx val="2"/>
              <c:layout>
                <c:manualLayout>
                  <c:x val="-8.2199896998957106E-2"/>
                  <c:y val="6.777794348203687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6244170866840499"/>
                      <c:h val="0.12943115679481029"/>
                    </c:manualLayout>
                  </c15:layout>
                </c:ext>
                <c:ext xmlns:c16="http://schemas.microsoft.com/office/drawing/2014/chart" uri="{C3380CC4-5D6E-409C-BE32-E72D297353CC}">
                  <c16:uniqueId val="{00000001-647A-452A-B18E-897E0CE96462}"/>
                </c:ext>
              </c:extLst>
            </c:dLbl>
            <c:dLbl>
              <c:idx val="3"/>
              <c:layout>
                <c:manualLayout>
                  <c:x val="-8.8929696006987708E-3"/>
                  <c:y val="-5.114149686788415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47A-452A-B18E-897E0CE96462}"/>
                </c:ext>
              </c:extLst>
            </c:dLbl>
            <c:numFmt formatCode="0.0%" sourceLinked="0"/>
            <c:spPr>
              <a:noFill/>
              <a:ln w="25400">
                <a:noFill/>
              </a:ln>
            </c:spPr>
            <c:txPr>
              <a:bodyPr/>
              <a:lstStyle/>
              <a:p>
                <a:pPr>
                  <a:defRPr sz="1000" b="0" i="0" u="none" strike="noStrike" baseline="0">
                    <a:solidFill>
                      <a:srgbClr val="000000"/>
                    </a:solidFill>
                    <a:latin typeface="Arial Narrow" panose="020B0606020202030204" pitchFamily="34" charset="0"/>
                    <a:ea typeface="Arial"/>
                    <a:cs typeface="Arial"/>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(RevExp!$O$11:$O$12,RevExp!$O$16:$O$17)</c:f>
              <c:strCache>
                <c:ptCount val="4"/>
                <c:pt idx="0">
                  <c:v>General Fund (TAX)</c:v>
                </c:pt>
                <c:pt idx="1">
                  <c:v>Non-General Fund (TAX)</c:v>
                </c:pt>
                <c:pt idx="2">
                  <c:v>General Fund (Other Agencies)</c:v>
                </c:pt>
                <c:pt idx="3">
                  <c:v>Non-General Fund (Other Agencies)</c:v>
                </c:pt>
              </c:strCache>
            </c:strRef>
          </c:cat>
          <c:val>
            <c:numRef>
              <c:f>(RevExp!$P$11:$P$12,RevExp!$P$16:$P$17)</c:f>
              <c:numCache>
                <c:formatCode>0.0%</c:formatCode>
                <c:ptCount val="4"/>
                <c:pt idx="0">
                  <c:v>0.36189044626374783</c:v>
                </c:pt>
                <c:pt idx="1">
                  <c:v>2.1133690032523328E-2</c:v>
                </c:pt>
                <c:pt idx="2">
                  <c:v>2.087135565717458E-2</c:v>
                </c:pt>
                <c:pt idx="3">
                  <c:v>0.59610450804655424</c:v>
                </c:pt>
              </c:numCache>
            </c:numRef>
          </c:val>
          <c:extLst>
            <c:ext xmlns:c16="http://schemas.microsoft.com/office/drawing/2014/chart" uri="{C3380CC4-5D6E-409C-BE32-E72D297353CC}">
              <c16:uniqueId val="{00000004-647A-452A-B18E-897E0CE96462}"/>
            </c:ext>
          </c:extLst>
        </c:ser>
        <c:dLbls>
          <c:showLegendKey val="0"/>
          <c:showVal val="0"/>
          <c:showCatName val="1"/>
          <c:showSerName val="0"/>
          <c:showPercent val="1"/>
          <c:showBubbleSize val="0"/>
          <c:showLeaderLines val="0"/>
        </c:dLbls>
        <c:firstSliceAng val="0"/>
      </c:pieChart>
    </c:plotArea>
    <c:plotVisOnly val="1"/>
    <c:dispBlanksAs val="zero"/>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Narrow" panose="020B0606020202030204" pitchFamily="34" charset="0"/>
                <a:ea typeface="Arial"/>
                <a:cs typeface="Arial"/>
              </a:defRPr>
            </a:pPr>
            <a:r>
              <a:rPr lang="en-US" sz="1400">
                <a:latin typeface="Arial Narrow" panose="020B0606020202030204" pitchFamily="34" charset="0"/>
              </a:rPr>
              <a:t>State and Local Retail Sales &amp; Use Tax Collections</a:t>
            </a:r>
          </a:p>
        </c:rich>
      </c:tx>
      <c:layout>
        <c:manualLayout>
          <c:xMode val="edge"/>
          <c:yMode val="edge"/>
          <c:x val="0.30010701532773854"/>
          <c:y val="2.5777526406881661E-3"/>
        </c:manualLayout>
      </c:layout>
      <c:overlay val="0"/>
      <c:spPr>
        <a:noFill/>
        <a:ln w="25400">
          <a:noFill/>
        </a:ln>
      </c:spPr>
    </c:title>
    <c:autoTitleDeleted val="0"/>
    <c:plotArea>
      <c:layout>
        <c:manualLayout>
          <c:layoutTarget val="inner"/>
          <c:xMode val="edge"/>
          <c:yMode val="edge"/>
          <c:x val="6.542909273361211E-2"/>
          <c:y val="7.7608387014024061E-2"/>
          <c:w val="0.92827561241298695"/>
          <c:h val="0.821721671532474"/>
        </c:manualLayout>
      </c:layout>
      <c:barChart>
        <c:barDir val="col"/>
        <c:grouping val="clustered"/>
        <c:varyColors val="0"/>
        <c:ser>
          <c:idx val="0"/>
          <c:order val="0"/>
          <c:spPr>
            <a:solidFill>
              <a:srgbClr val="9999FF"/>
            </a:solidFill>
            <a:ln w="12700">
              <a:solidFill>
                <a:schemeClr val="bg1">
                  <a:lumMod val="65000"/>
                </a:schemeClr>
              </a:solidFill>
              <a:prstDash val="solid"/>
            </a:ln>
          </c:spPr>
          <c:invertIfNegative val="0"/>
          <c:dLbls>
            <c:numFmt formatCode="&quot;$&quot;#,##0.00" sourceLinked="0"/>
            <c:spPr>
              <a:solidFill>
                <a:schemeClr val="bg1"/>
              </a:solidFill>
              <a:ln>
                <a:noFill/>
              </a:ln>
              <a:effectLst/>
            </c:spPr>
            <c:txPr>
              <a:bodyPr wrap="square" lIns="0" tIns="0" rIns="0" bIns="0" anchor="ctr">
                <a:spAutoFit/>
              </a:bodyPr>
              <a:lstStyle/>
              <a:p>
                <a:pPr>
                  <a:defRPr sz="1000">
                    <a:solidFill>
                      <a:schemeClr val="bg1">
                        <a:lumMod val="50000"/>
                      </a:schemeClr>
                    </a:solidFill>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numRef>
              <c:f>'4.1'!$A$10:$A$19</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'4.1'!$P$10:$P$19</c:f>
              <c:numCache>
                <c:formatCode>#,##0</c:formatCode>
                <c:ptCount val="10"/>
                <c:pt idx="0" formatCode="&quot;$&quot;#,##0">
                  <c:v>6102277000</c:v>
                </c:pt>
                <c:pt idx="1">
                  <c:v>6204518000</c:v>
                </c:pt>
                <c:pt idx="2">
                  <c:v>6337800000</c:v>
                </c:pt>
                <c:pt idx="3">
                  <c:v>6515598000</c:v>
                </c:pt>
                <c:pt idx="4">
                  <c:v>6776635000</c:v>
                </c:pt>
                <c:pt idx="5">
                  <c:v>7029632000</c:v>
                </c:pt>
                <c:pt idx="6">
                  <c:v>7935765000</c:v>
                </c:pt>
                <c:pt idx="7">
                  <c:v>8810274000</c:v>
                </c:pt>
                <c:pt idx="8">
                  <c:v>9229041000</c:v>
                </c:pt>
                <c:pt idx="9">
                  <c:v>9240719000</c:v>
                </c:pt>
              </c:numCache>
            </c:numRef>
          </c:val>
          <c:extLst>
            <c:ext xmlns:c16="http://schemas.microsoft.com/office/drawing/2014/chart" uri="{C3380CC4-5D6E-409C-BE32-E72D297353CC}">
              <c16:uniqueId val="{00000000-5427-4C96-9613-AEF53680B835}"/>
            </c:ext>
          </c:extLst>
        </c:ser>
        <c:dLbls>
          <c:showLegendKey val="0"/>
          <c:showVal val="0"/>
          <c:showCatName val="0"/>
          <c:showSerName val="0"/>
          <c:showPercent val="0"/>
          <c:showBubbleSize val="0"/>
        </c:dLbls>
        <c:gapWidth val="75"/>
        <c:axId val="80824960"/>
        <c:axId val="80831232"/>
      </c:barChart>
      <c:catAx>
        <c:axId val="8082496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Fiscal Year</a:t>
                </a:r>
              </a:p>
            </c:rich>
          </c:tx>
          <c:layout>
            <c:manualLayout>
              <c:xMode val="edge"/>
              <c:yMode val="edge"/>
              <c:x val="0.44579790353921117"/>
              <c:y val="0.95157138709071343"/>
            </c:manualLayout>
          </c:layout>
          <c:overlay val="0"/>
          <c:spPr>
            <a:noFill/>
            <a:ln w="25400">
              <a:noFill/>
            </a:ln>
          </c:spPr>
        </c:title>
        <c:numFmt formatCode="General" sourceLinked="1"/>
        <c:majorTickMark val="out"/>
        <c:minorTickMark val="none"/>
        <c:tickLblPos val="low"/>
        <c:spPr>
          <a:ln w="3175">
            <a:solidFill>
              <a:schemeClr val="bg1">
                <a:lumMod val="65000"/>
              </a:schemeClr>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80831232"/>
        <c:crosses val="autoZero"/>
        <c:auto val="1"/>
        <c:lblAlgn val="ctr"/>
        <c:lblOffset val="100"/>
        <c:noMultiLvlLbl val="0"/>
      </c:catAx>
      <c:valAx>
        <c:axId val="80831232"/>
        <c:scaling>
          <c:orientation val="minMax"/>
          <c:min val="0"/>
        </c:scaling>
        <c:delete val="0"/>
        <c:axPos val="l"/>
        <c:majorGridlines>
          <c:spPr>
            <a:ln w="3175">
              <a:solidFill>
                <a:schemeClr val="bg1">
                  <a:lumMod val="85000"/>
                </a:schemeClr>
              </a:solidFill>
              <a:prstDash val="dash"/>
            </a:ln>
          </c:spPr>
        </c:majorGridlines>
        <c:numFmt formatCode="&quot;$&quot;#,##0" sourceLinked="0"/>
        <c:majorTickMark val="out"/>
        <c:minorTickMark val="none"/>
        <c:tickLblPos val="nextTo"/>
        <c:spPr>
          <a:ln w="3175">
            <a:solidFill>
              <a:schemeClr val="bg1">
                <a:lumMod val="65000"/>
              </a:schemeClr>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80824960"/>
        <c:crosses val="autoZero"/>
        <c:crossBetween val="between"/>
        <c:minorUnit val="0.5"/>
        <c:dispUnits>
          <c:builtInUnit val="billions"/>
          <c:dispUnitsLbl>
            <c:layout>
              <c:manualLayout>
                <c:xMode val="edge"/>
                <c:yMode val="edge"/>
                <c:x val="2.7538633837846426E-3"/>
                <c:y val="0.15463985171956601"/>
              </c:manualLayout>
            </c:layout>
            <c:txPr>
              <a:bodyPr/>
              <a:lstStyle/>
              <a:p>
                <a:pPr>
                  <a:defRPr sz="1000" b="1"/>
                </a:pPr>
                <a:endParaRPr lang="en-US"/>
              </a:p>
            </c:txPr>
          </c:dispUnitsLbl>
        </c:dispUnits>
      </c:valAx>
      <c:spPr>
        <a:noFill/>
        <a:ln w="12700">
          <a:solidFill>
            <a:schemeClr val="bg1">
              <a:lumMod val="85000"/>
            </a:schemeClr>
          </a:solid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none" strike="noStrike" baseline="0">
                <a:solidFill>
                  <a:srgbClr val="000000"/>
                </a:solidFill>
                <a:latin typeface="Arial Narrow" panose="020B0606020202030204" pitchFamily="34" charset="0"/>
                <a:ea typeface="Arial"/>
                <a:cs typeface="Arial"/>
              </a:defRPr>
            </a:pPr>
            <a:r>
              <a:rPr lang="en-US" sz="1300">
                <a:latin typeface="Arial Narrow" panose="020B0606020202030204" pitchFamily="34" charset="0"/>
              </a:rPr>
              <a:t>State and Local Retail Sales &amp; Use Tax Collections</a:t>
            </a:r>
          </a:p>
        </c:rich>
      </c:tx>
      <c:layout>
        <c:manualLayout>
          <c:xMode val="edge"/>
          <c:yMode val="edge"/>
          <c:x val="0.22271029323581742"/>
          <c:y val="2.5777011062337383E-3"/>
        </c:manualLayout>
      </c:layout>
      <c:overlay val="0"/>
      <c:spPr>
        <a:noFill/>
        <a:ln w="25400">
          <a:noFill/>
        </a:ln>
      </c:spPr>
    </c:title>
    <c:autoTitleDeleted val="0"/>
    <c:plotArea>
      <c:layout>
        <c:manualLayout>
          <c:layoutTarget val="inner"/>
          <c:xMode val="edge"/>
          <c:yMode val="edge"/>
          <c:x val="8.6518164630170286E-2"/>
          <c:y val="9.2927619405491879E-2"/>
          <c:w val="0.90718655486416255"/>
          <c:h val="0.78597707824482899"/>
        </c:manualLayout>
      </c:layout>
      <c:barChart>
        <c:barDir val="col"/>
        <c:grouping val="clustered"/>
        <c:varyColors val="0"/>
        <c:ser>
          <c:idx val="0"/>
          <c:order val="0"/>
          <c:spPr>
            <a:solidFill>
              <a:srgbClr val="9999FF"/>
            </a:solidFill>
            <a:ln w="12700">
              <a:solidFill>
                <a:schemeClr val="bg1">
                  <a:lumMod val="65000"/>
                </a:schemeClr>
              </a:solidFill>
              <a:prstDash val="solid"/>
            </a:ln>
          </c:spPr>
          <c:invertIfNegative val="0"/>
          <c:dLbls>
            <c:numFmt formatCode="&quot;$&quot;#,##0.0" sourceLinked="0"/>
            <c:spPr>
              <a:solidFill>
                <a:schemeClr val="bg1"/>
              </a:solidFill>
              <a:ln>
                <a:noFill/>
              </a:ln>
              <a:effectLst/>
            </c:spPr>
            <c:txPr>
              <a:bodyPr wrap="square" lIns="0" tIns="0" rIns="0" bIns="0" anchor="ctr">
                <a:spAutoFit/>
              </a:bodyPr>
              <a:lstStyle/>
              <a:p>
                <a:pPr>
                  <a:defRPr sz="1000">
                    <a:solidFill>
                      <a:schemeClr val="bg1">
                        <a:lumMod val="50000"/>
                      </a:schemeClr>
                    </a:solidFill>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numRef>
              <c:f>'4.1_v1'!$A$7:$A$16</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'4.1_v1'!$N$7:$N$16</c:f>
              <c:numCache>
                <c:formatCode>#,##0_);\(#,##0\)</c:formatCode>
                <c:ptCount val="10"/>
                <c:pt idx="0">
                  <c:v>4891193000</c:v>
                </c:pt>
                <c:pt idx="1">
                  <c:v>5052117000</c:v>
                </c:pt>
                <c:pt idx="2">
                  <c:v>5594644000</c:v>
                </c:pt>
                <c:pt idx="3">
                  <c:v>6102277000</c:v>
                </c:pt>
                <c:pt idx="4">
                  <c:v>6204518000</c:v>
                </c:pt>
                <c:pt idx="5">
                  <c:v>6340303000</c:v>
                </c:pt>
                <c:pt idx="6">
                  <c:v>6519121000</c:v>
                </c:pt>
                <c:pt idx="7">
                  <c:v>6776640000</c:v>
                </c:pt>
                <c:pt idx="8">
                  <c:v>7029639000</c:v>
                </c:pt>
                <c:pt idx="9">
                  <c:v>7933076000</c:v>
                </c:pt>
              </c:numCache>
            </c:numRef>
          </c:val>
          <c:extLst>
            <c:ext xmlns:c16="http://schemas.microsoft.com/office/drawing/2014/chart" uri="{C3380CC4-5D6E-409C-BE32-E72D297353CC}">
              <c16:uniqueId val="{00000000-E1F1-41B5-A510-4D5DAE2AFBA2}"/>
            </c:ext>
          </c:extLst>
        </c:ser>
        <c:dLbls>
          <c:showLegendKey val="0"/>
          <c:showVal val="0"/>
          <c:showCatName val="0"/>
          <c:showSerName val="0"/>
          <c:showPercent val="0"/>
          <c:showBubbleSize val="0"/>
        </c:dLbls>
        <c:gapWidth val="75"/>
        <c:axId val="80824960"/>
        <c:axId val="80831232"/>
      </c:barChart>
      <c:catAx>
        <c:axId val="8082496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Fiscal Year</a:t>
                </a:r>
              </a:p>
            </c:rich>
          </c:tx>
          <c:layout>
            <c:manualLayout>
              <c:xMode val="edge"/>
              <c:yMode val="edge"/>
              <c:x val="0.44579790353921117"/>
              <c:y val="0.95157138709071343"/>
            </c:manualLayout>
          </c:layout>
          <c:overlay val="0"/>
          <c:spPr>
            <a:noFill/>
            <a:ln w="25400">
              <a:noFill/>
            </a:ln>
          </c:spPr>
        </c:title>
        <c:numFmt formatCode="General" sourceLinked="1"/>
        <c:majorTickMark val="out"/>
        <c:minorTickMark val="none"/>
        <c:tickLblPos val="low"/>
        <c:spPr>
          <a:ln w="3175">
            <a:solidFill>
              <a:schemeClr val="bg1">
                <a:lumMod val="65000"/>
              </a:schemeClr>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80831232"/>
        <c:crosses val="autoZero"/>
        <c:auto val="1"/>
        <c:lblAlgn val="ctr"/>
        <c:lblOffset val="100"/>
        <c:noMultiLvlLbl val="0"/>
      </c:catAx>
      <c:valAx>
        <c:axId val="80831232"/>
        <c:scaling>
          <c:orientation val="minMax"/>
          <c:min val="0"/>
        </c:scaling>
        <c:delete val="0"/>
        <c:axPos val="l"/>
        <c:majorGridlines>
          <c:spPr>
            <a:ln w="3175">
              <a:solidFill>
                <a:schemeClr val="bg1">
                  <a:lumMod val="75000"/>
                </a:schemeClr>
              </a:solidFill>
              <a:prstDash val="dash"/>
            </a:ln>
          </c:spPr>
        </c:majorGridlines>
        <c:numFmt formatCode="&quot;$&quot;#,##0" sourceLinked="0"/>
        <c:majorTickMark val="out"/>
        <c:minorTickMark val="none"/>
        <c:tickLblPos val="nextTo"/>
        <c:spPr>
          <a:ln w="3175">
            <a:solidFill>
              <a:schemeClr val="bg1">
                <a:lumMod val="65000"/>
              </a:schemeClr>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80824960"/>
        <c:crosses val="autoZero"/>
        <c:crossBetween val="between"/>
        <c:minorUnit val="0.5"/>
        <c:dispUnits>
          <c:builtInUnit val="billions"/>
          <c:dispUnitsLbl>
            <c:layout>
              <c:manualLayout>
                <c:xMode val="edge"/>
                <c:yMode val="edge"/>
                <c:x val="2.7538633837846426E-3"/>
                <c:y val="0.15463985171956601"/>
              </c:manualLayout>
            </c:layout>
            <c:txPr>
              <a:bodyPr/>
              <a:lstStyle/>
              <a:p>
                <a:pPr>
                  <a:defRPr sz="1000" b="1"/>
                </a:pPr>
                <a:endParaRPr lang="en-US"/>
              </a:p>
            </c:txPr>
          </c:dispUnitsLbl>
        </c:dispUnits>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none" strike="noStrike" baseline="0">
                <a:solidFill>
                  <a:srgbClr val="000000"/>
                </a:solidFill>
                <a:latin typeface="Arial Narrow" panose="020B0606020202030204" pitchFamily="34" charset="0"/>
                <a:ea typeface="Arial"/>
                <a:cs typeface="Arial"/>
              </a:defRPr>
            </a:pPr>
            <a:r>
              <a:rPr lang="en-US" sz="1300">
                <a:latin typeface="Arial Narrow" panose="020B0606020202030204" pitchFamily="34" charset="0"/>
              </a:rPr>
              <a:t>State and Local Retail Sales &amp; Use Tax Collections</a:t>
            </a:r>
          </a:p>
        </c:rich>
      </c:tx>
      <c:layout>
        <c:manualLayout>
          <c:xMode val="edge"/>
          <c:yMode val="edge"/>
          <c:x val="0.28435523938572721"/>
          <c:y val="2.5778014032212969E-3"/>
        </c:manualLayout>
      </c:layout>
      <c:overlay val="0"/>
      <c:spPr>
        <a:noFill/>
        <a:ln w="25400">
          <a:noFill/>
        </a:ln>
      </c:spPr>
    </c:title>
    <c:autoTitleDeleted val="0"/>
    <c:plotArea>
      <c:layout>
        <c:manualLayout>
          <c:layoutTarget val="inner"/>
          <c:xMode val="edge"/>
          <c:yMode val="edge"/>
          <c:x val="6.542909273361211E-2"/>
          <c:y val="7.7608387014024061E-2"/>
          <c:w val="0.92827561241298695"/>
          <c:h val="0.821721671532474"/>
        </c:manualLayout>
      </c:layout>
      <c:barChart>
        <c:barDir val="col"/>
        <c:grouping val="clustered"/>
        <c:varyColors val="0"/>
        <c:ser>
          <c:idx val="0"/>
          <c:order val="0"/>
          <c:spPr>
            <a:solidFill>
              <a:srgbClr val="9999FF"/>
            </a:solidFill>
            <a:ln w="12700">
              <a:solidFill>
                <a:schemeClr val="bg1">
                  <a:lumMod val="65000"/>
                </a:schemeClr>
              </a:solidFill>
              <a:prstDash val="solid"/>
            </a:ln>
          </c:spPr>
          <c:invertIfNegative val="0"/>
          <c:dLbls>
            <c:numFmt formatCode="&quot;$&quot;#,##0.0" sourceLinked="0"/>
            <c:spPr>
              <a:solidFill>
                <a:schemeClr val="bg1"/>
              </a:solidFill>
              <a:ln>
                <a:noFill/>
              </a:ln>
              <a:effectLst/>
            </c:spPr>
            <c:txPr>
              <a:bodyPr wrap="square" lIns="0" tIns="0" rIns="0" bIns="0" anchor="ctr">
                <a:spAutoFit/>
              </a:bodyPr>
              <a:lstStyle/>
              <a:p>
                <a:pPr>
                  <a:defRPr sz="1000">
                    <a:solidFill>
                      <a:schemeClr val="bg1">
                        <a:lumMod val="50000"/>
                      </a:schemeClr>
                    </a:solidFill>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numRef>
              <c:f>'4.1k'!$A$7:$A$16</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'4.1k'!$P$7:$P$16</c:f>
              <c:numCache>
                <c:formatCode>_(* #,##0_);_(* \(#,##0\);_(* "-"_);_(@_)</c:formatCode>
                <c:ptCount val="10"/>
                <c:pt idx="0" formatCode="_(&quot;$&quot;* #,##0_);_(&quot;$&quot;* \(#,##0\);_(&quot;$&quot;* &quot;-&quot;_);_(@_)">
                  <c:v>4891193000</c:v>
                </c:pt>
                <c:pt idx="1">
                  <c:v>5052117000</c:v>
                </c:pt>
                <c:pt idx="2">
                  <c:v>5594644000</c:v>
                </c:pt>
                <c:pt idx="3">
                  <c:v>6102277000</c:v>
                </c:pt>
                <c:pt idx="4">
                  <c:v>6204518000</c:v>
                </c:pt>
                <c:pt idx="5">
                  <c:v>6340303000</c:v>
                </c:pt>
                <c:pt idx="6">
                  <c:v>6519121000</c:v>
                </c:pt>
                <c:pt idx="7">
                  <c:v>6776640000</c:v>
                </c:pt>
                <c:pt idx="8">
                  <c:v>7029640000</c:v>
                </c:pt>
                <c:pt idx="9">
                  <c:v>7937850000</c:v>
                </c:pt>
              </c:numCache>
            </c:numRef>
          </c:val>
          <c:extLst>
            <c:ext xmlns:c16="http://schemas.microsoft.com/office/drawing/2014/chart" uri="{C3380CC4-5D6E-409C-BE32-E72D297353CC}">
              <c16:uniqueId val="{00000000-8263-41DC-8F68-CAC6169C00C0}"/>
            </c:ext>
          </c:extLst>
        </c:ser>
        <c:dLbls>
          <c:showLegendKey val="0"/>
          <c:showVal val="0"/>
          <c:showCatName val="0"/>
          <c:showSerName val="0"/>
          <c:showPercent val="0"/>
          <c:showBubbleSize val="0"/>
        </c:dLbls>
        <c:gapWidth val="75"/>
        <c:axId val="80824960"/>
        <c:axId val="80831232"/>
      </c:barChart>
      <c:catAx>
        <c:axId val="8082496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Fiscal Year</a:t>
                </a:r>
              </a:p>
            </c:rich>
          </c:tx>
          <c:layout>
            <c:manualLayout>
              <c:xMode val="edge"/>
              <c:yMode val="edge"/>
              <c:x val="0.44579790353921117"/>
              <c:y val="0.95157138709071343"/>
            </c:manualLayout>
          </c:layout>
          <c:overlay val="0"/>
          <c:spPr>
            <a:noFill/>
            <a:ln w="25400">
              <a:noFill/>
            </a:ln>
          </c:spPr>
        </c:title>
        <c:numFmt formatCode="General" sourceLinked="1"/>
        <c:majorTickMark val="out"/>
        <c:minorTickMark val="none"/>
        <c:tickLblPos val="low"/>
        <c:spPr>
          <a:ln w="3175">
            <a:solidFill>
              <a:schemeClr val="bg1">
                <a:lumMod val="65000"/>
              </a:schemeClr>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80831232"/>
        <c:crosses val="autoZero"/>
        <c:auto val="1"/>
        <c:lblAlgn val="ctr"/>
        <c:lblOffset val="100"/>
        <c:noMultiLvlLbl val="0"/>
      </c:catAx>
      <c:valAx>
        <c:axId val="80831232"/>
        <c:scaling>
          <c:orientation val="minMax"/>
          <c:min val="0"/>
        </c:scaling>
        <c:delete val="0"/>
        <c:axPos val="l"/>
        <c:majorGridlines>
          <c:spPr>
            <a:ln w="3175">
              <a:solidFill>
                <a:schemeClr val="bg1">
                  <a:lumMod val="75000"/>
                </a:schemeClr>
              </a:solidFill>
              <a:prstDash val="dash"/>
            </a:ln>
          </c:spPr>
        </c:majorGridlines>
        <c:numFmt formatCode="&quot;$&quot;#,##0" sourceLinked="0"/>
        <c:majorTickMark val="out"/>
        <c:minorTickMark val="none"/>
        <c:tickLblPos val="nextTo"/>
        <c:spPr>
          <a:ln w="3175">
            <a:solidFill>
              <a:schemeClr val="bg1">
                <a:lumMod val="65000"/>
              </a:schemeClr>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80824960"/>
        <c:crosses val="autoZero"/>
        <c:crossBetween val="between"/>
        <c:minorUnit val="0.5"/>
        <c:dispUnits>
          <c:builtInUnit val="billions"/>
          <c:dispUnitsLbl>
            <c:layout>
              <c:manualLayout>
                <c:xMode val="edge"/>
                <c:yMode val="edge"/>
                <c:x val="2.7538633837846426E-3"/>
                <c:y val="0.15463985171956601"/>
              </c:manualLayout>
            </c:layout>
            <c:txPr>
              <a:bodyPr/>
              <a:lstStyle/>
              <a:p>
                <a:pPr>
                  <a:defRPr sz="1000" b="1"/>
                </a:pPr>
                <a:endParaRPr lang="en-US"/>
              </a:p>
            </c:txPr>
          </c:dispUnitsLbl>
        </c:dispUnits>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Bank Franchise Tax Collections</a:t>
            </a:r>
          </a:p>
        </c:rich>
      </c:tx>
      <c:layout>
        <c:manualLayout>
          <c:xMode val="edge"/>
          <c:yMode val="edge"/>
          <c:x val="0.25312551077760526"/>
          <c:y val="8.8005979612613885E-3"/>
        </c:manualLayout>
      </c:layout>
      <c:overlay val="0"/>
      <c:spPr>
        <a:noFill/>
        <a:ln w="25400">
          <a:noFill/>
        </a:ln>
      </c:spPr>
    </c:title>
    <c:autoTitleDeleted val="0"/>
    <c:plotArea>
      <c:layout>
        <c:manualLayout>
          <c:layoutTarget val="inner"/>
          <c:xMode val="edge"/>
          <c:yMode val="edge"/>
          <c:x val="0.1042419717623686"/>
          <c:y val="0.127162132556671"/>
          <c:w val="0.8892856653263862"/>
          <c:h val="0.7081261732627121"/>
        </c:manualLayout>
      </c:layout>
      <c:barChart>
        <c:barDir val="col"/>
        <c:grouping val="clustered"/>
        <c:varyColors val="0"/>
        <c:ser>
          <c:idx val="0"/>
          <c:order val="0"/>
          <c:spPr>
            <a:solidFill>
              <a:srgbClr val="9999FF"/>
            </a:solidFill>
            <a:ln w="12700">
              <a:noFill/>
              <a:prstDash val="solid"/>
            </a:ln>
          </c:spPr>
          <c:invertIfNegative val="0"/>
          <c:dLbls>
            <c:numFmt formatCode="&quot;$&quot;#,##0.0" sourceLinked="0"/>
            <c:spPr>
              <a:noFill/>
              <a:ln>
                <a:noFill/>
              </a:ln>
              <a:effectLst/>
            </c:spPr>
            <c:txPr>
              <a:bodyPr wrap="square" lIns="38100" tIns="19050" rIns="38100" bIns="19050" anchor="ctr">
                <a:spAutoFit/>
              </a:bodyPr>
              <a:lstStyle/>
              <a:p>
                <a:pPr>
                  <a:defRPr>
                    <a:solidFill>
                      <a:schemeClr val="tx1">
                        <a:lumMod val="65000"/>
                        <a:lumOff val="3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'5.3-5.4'!$A$37:$A$42</c:f>
              <c:numCache>
                <c:formatCode>General</c:formatCode>
                <c:ptCount val="6"/>
                <c:pt idx="0">
                  <c:v>2019</c:v>
                </c:pt>
                <c:pt idx="1">
                  <c:v>2020</c:v>
                </c:pt>
                <c:pt idx="2">
                  <c:v>2021</c:v>
                </c:pt>
                <c:pt idx="3">
                  <c:v>2022</c:v>
                </c:pt>
                <c:pt idx="4">
                  <c:v>2023</c:v>
                </c:pt>
                <c:pt idx="5">
                  <c:v>2024</c:v>
                </c:pt>
              </c:numCache>
            </c:numRef>
          </c:cat>
          <c:val>
            <c:numRef>
              <c:f>'5.3-5.4'!$B$37:$B$42</c:f>
              <c:numCache>
                <c:formatCode>#,##0</c:formatCode>
                <c:ptCount val="6"/>
                <c:pt idx="0">
                  <c:v>29641360</c:v>
                </c:pt>
                <c:pt idx="1">
                  <c:v>25949060</c:v>
                </c:pt>
                <c:pt idx="2">
                  <c:v>29336130</c:v>
                </c:pt>
                <c:pt idx="3">
                  <c:v>30170420</c:v>
                </c:pt>
                <c:pt idx="4">
                  <c:v>30120070</c:v>
                </c:pt>
                <c:pt idx="5">
                  <c:v>31319440</c:v>
                </c:pt>
              </c:numCache>
            </c:numRef>
          </c:val>
          <c:extLst>
            <c:ext xmlns:c16="http://schemas.microsoft.com/office/drawing/2014/chart" uri="{C3380CC4-5D6E-409C-BE32-E72D297353CC}">
              <c16:uniqueId val="{00000000-1F59-4639-B18B-99F958A20FFE}"/>
            </c:ext>
          </c:extLst>
        </c:ser>
        <c:dLbls>
          <c:showLegendKey val="0"/>
          <c:showVal val="0"/>
          <c:showCatName val="0"/>
          <c:showSerName val="0"/>
          <c:showPercent val="0"/>
          <c:showBubbleSize val="0"/>
        </c:dLbls>
        <c:gapWidth val="75"/>
        <c:axId val="86595840"/>
        <c:axId val="86606208"/>
      </c:barChart>
      <c:catAx>
        <c:axId val="8659584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sz="1000"/>
                  <a:t>Fiscal Year</a:t>
                </a:r>
              </a:p>
            </c:rich>
          </c:tx>
          <c:layout>
            <c:manualLayout>
              <c:xMode val="edge"/>
              <c:yMode val="edge"/>
              <c:x val="0.45714361036328877"/>
              <c:y val="0.91889806736514723"/>
            </c:manualLayout>
          </c:layout>
          <c:overlay val="0"/>
          <c:spPr>
            <a:noFill/>
            <a:ln w="25400">
              <a:noFill/>
            </a:ln>
          </c:spPr>
        </c:title>
        <c:numFmt formatCode="#\ ?/?" sourceLinked="0"/>
        <c:majorTickMark val="out"/>
        <c:minorTickMark val="none"/>
        <c:tickLblPos val="low"/>
        <c:spPr>
          <a:ln w="3175">
            <a:solidFill>
              <a:schemeClr val="bg1">
                <a:lumMod val="65000"/>
              </a:schemeClr>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06208"/>
        <c:crossesAt val="0"/>
        <c:auto val="1"/>
        <c:lblAlgn val="ctr"/>
        <c:lblOffset val="100"/>
        <c:noMultiLvlLbl val="0"/>
      </c:catAx>
      <c:valAx>
        <c:axId val="86606208"/>
        <c:scaling>
          <c:orientation val="minMax"/>
          <c:min val="0"/>
        </c:scaling>
        <c:delete val="0"/>
        <c:axPos val="l"/>
        <c:majorGridlines>
          <c:spPr>
            <a:ln w="3175">
              <a:solidFill>
                <a:schemeClr val="bg1">
                  <a:lumMod val="85000"/>
                </a:schemeClr>
              </a:solidFill>
              <a:prstDash val="dash"/>
            </a:ln>
          </c:spPr>
        </c:majorGridlines>
        <c:numFmt formatCode="\$#,##0" sourceLinked="0"/>
        <c:majorTickMark val="out"/>
        <c:minorTickMark val="none"/>
        <c:tickLblPos val="nextTo"/>
        <c:spPr>
          <a:ln w="3175">
            <a:solidFill>
              <a:schemeClr val="bg1">
                <a:lumMod val="65000"/>
              </a:schemeClr>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595840"/>
        <c:crosses val="autoZero"/>
        <c:crossBetween val="between"/>
        <c:dispUnits>
          <c:builtInUnit val="millions"/>
          <c:dispUnitsLbl/>
        </c:dispUnits>
      </c:valAx>
      <c:spPr>
        <a:noFill/>
        <a:ln w="12700">
          <a:solidFill>
            <a:schemeClr val="bg1">
              <a:lumMod val="85000"/>
            </a:schemeClr>
          </a:solid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baseline="0">
                <a:solidFill>
                  <a:sysClr val="windowText" lastClr="000000"/>
                </a:solidFill>
              </a:rPr>
              <a:t>Nonprofit Organization Tax Exemption</a:t>
            </a:r>
          </a:p>
        </c:rich>
      </c:tx>
      <c:layout>
        <c:manualLayout>
          <c:xMode val="edge"/>
          <c:yMode val="edge"/>
          <c:x val="0.19608516958635988"/>
          <c:y val="1.1437007874015748E-3"/>
        </c:manualLayout>
      </c:layout>
      <c:overlay val="0"/>
      <c:spPr>
        <a:noFill/>
        <a:ln>
          <a:noFill/>
        </a:ln>
        <a:effectLst/>
      </c:spPr>
    </c:title>
    <c:autoTitleDeleted val="0"/>
    <c:plotArea>
      <c:layout>
        <c:manualLayout>
          <c:layoutTarget val="inner"/>
          <c:xMode val="edge"/>
          <c:yMode val="edge"/>
          <c:x val="9.3682278385494533E-2"/>
          <c:y val="0.10802821522309713"/>
          <c:w val="0.88822986881076671"/>
          <c:h val="0.76588976377952755"/>
        </c:manualLayout>
      </c:layout>
      <c:barChart>
        <c:barDir val="col"/>
        <c:grouping val="clustered"/>
        <c:varyColors val="0"/>
        <c:ser>
          <c:idx val="0"/>
          <c:order val="0"/>
          <c:tx>
            <c:strRef>
              <c:f>'7.1'!$B$5</c:f>
              <c:strCache>
                <c:ptCount val="1"/>
                <c:pt idx="0">
                  <c:v>Amount ($)</c:v>
                </c:pt>
              </c:strCache>
            </c:strRef>
          </c:tx>
          <c:spPr>
            <a:solidFill>
              <a:srgbClr val="AFAFFF"/>
            </a:solidFill>
            <a:ln>
              <a:noFill/>
            </a:ln>
            <a:effectLst/>
            <a:sp3d>
              <a:contourClr>
                <a:srgbClr val="000000"/>
              </a:contourClr>
            </a:sp3d>
          </c:spPr>
          <c:invertIfNegative val="0"/>
          <c:dLbls>
            <c:numFmt formatCode="&quot;$&quot;#,##0" sourceLinked="0"/>
            <c:spPr>
              <a:solidFill>
                <a:schemeClr val="bg1"/>
              </a:solid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2">
                          <a:lumMod val="35000"/>
                          <a:lumOff val="65000"/>
                        </a:schemeClr>
                      </a:solidFill>
                    </a:ln>
                    <a:effectLst/>
                  </c:spPr>
                </c15:leaderLines>
              </c:ext>
            </c:extLst>
          </c:dLbls>
          <c:cat>
            <c:numRef>
              <c:f>'7.1'!$A$13:$A$23</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'7.1'!$B$13:$B$23</c:f>
              <c:numCache>
                <c:formatCode>#,##0</c:formatCode>
                <c:ptCount val="11"/>
                <c:pt idx="0">
                  <c:v>208366102.08833417</c:v>
                </c:pt>
                <c:pt idx="1">
                  <c:v>210994603.36485529</c:v>
                </c:pt>
                <c:pt idx="2">
                  <c:v>223074819.58170167</c:v>
                </c:pt>
                <c:pt idx="3">
                  <c:v>244370076.32769448</c:v>
                </c:pt>
                <c:pt idx="4">
                  <c:v>314543689.44675058</c:v>
                </c:pt>
                <c:pt idx="5">
                  <c:v>352673576.32049298</c:v>
                </c:pt>
                <c:pt idx="6">
                  <c:v>362781521.93254882</c:v>
                </c:pt>
                <c:pt idx="7">
                  <c:v>378603136.28511971</c:v>
                </c:pt>
                <c:pt idx="8">
                  <c:v>406492802.46544868</c:v>
                </c:pt>
                <c:pt idx="9">
                  <c:v>477274945.34478736</c:v>
                </c:pt>
                <c:pt idx="10">
                  <c:v>508206726.9331491</c:v>
                </c:pt>
              </c:numCache>
            </c:numRef>
          </c:val>
          <c:extLst>
            <c:ext xmlns:c16="http://schemas.microsoft.com/office/drawing/2014/chart" uri="{C3380CC4-5D6E-409C-BE32-E72D297353CC}">
              <c16:uniqueId val="{00000000-D681-4B12-9196-CA936C8FF275}"/>
            </c:ext>
          </c:extLst>
        </c:ser>
        <c:dLbls>
          <c:showLegendKey val="0"/>
          <c:showVal val="0"/>
          <c:showCatName val="0"/>
          <c:showSerName val="0"/>
          <c:showPercent val="0"/>
          <c:showBubbleSize val="0"/>
        </c:dLbls>
        <c:gapWidth val="75"/>
        <c:axId val="389499248"/>
        <c:axId val="389497936"/>
      </c:barChart>
      <c:catAx>
        <c:axId val="389499248"/>
        <c:scaling>
          <c:orientation val="minMax"/>
        </c:scaling>
        <c:delete val="0"/>
        <c:axPos val="b"/>
        <c:minorGridlines>
          <c:spPr>
            <a:ln>
              <a:noFill/>
            </a:ln>
            <a:effectLst>
              <a:outerShdw blurRad="50800" dist="50800" dir="5400000" algn="ctr" rotWithShape="0">
                <a:schemeClr val="tx1"/>
              </a:outerShdw>
            </a:effectLst>
          </c:spPr>
        </c:min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00" baseline="0">
                    <a:solidFill>
                      <a:schemeClr val="tx1">
                        <a:lumMod val="65000"/>
                        <a:lumOff val="35000"/>
                      </a:schemeClr>
                    </a:solidFill>
                  </a:rPr>
                  <a:t>Fiscal Year</a:t>
                </a:r>
              </a:p>
            </c:rich>
          </c:tx>
          <c:layout>
            <c:manualLayout>
              <c:xMode val="edge"/>
              <c:yMode val="edge"/>
              <c:x val="0.47680126977371073"/>
              <c:y val="0.93387565616797896"/>
            </c:manualLayout>
          </c:layout>
          <c:overlay val="0"/>
          <c:spPr>
            <a:noFill/>
            <a:ln>
              <a:noFill/>
            </a:ln>
            <a:effectLst/>
          </c:spPr>
        </c:title>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89497936"/>
        <c:crosses val="autoZero"/>
        <c:auto val="0"/>
        <c:lblAlgn val="ctr"/>
        <c:lblOffset val="100"/>
        <c:noMultiLvlLbl val="0"/>
      </c:catAx>
      <c:valAx>
        <c:axId val="389497936"/>
        <c:scaling>
          <c:orientation val="minMax"/>
          <c:min val="0"/>
        </c:scaling>
        <c:delete val="0"/>
        <c:axPos val="l"/>
        <c:majorGridlines>
          <c:spPr>
            <a:ln w="9525" cap="flat" cmpd="sng" algn="ctr">
              <a:solidFill>
                <a:schemeClr val="bg1">
                  <a:lumMod val="85000"/>
                </a:schemeClr>
              </a:solidFill>
              <a:prstDash val="sysDash"/>
              <a:round/>
            </a:ln>
            <a:effectLst/>
          </c:spPr>
        </c:majorGridlines>
        <c:numFmt formatCode="#,##0"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89499248"/>
        <c:crosses val="autoZero"/>
        <c:crossBetween val="between"/>
        <c:majorUnit val="50000000"/>
        <c:dispUnits>
          <c:builtInUnit val="millions"/>
          <c:dispUnitsLbl>
            <c:layout>
              <c:manualLayout>
                <c:xMode val="edge"/>
                <c:yMode val="edge"/>
                <c:x val="1.6390693297570888E-3"/>
                <c:y val="0.10802810284604869"/>
              </c:manualLayout>
            </c:layout>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solidFill>
            <a:schemeClr val="bg1">
              <a:lumMod val="85000"/>
            </a:schemeClr>
          </a:solidFill>
        </a:ln>
        <a:effectLst/>
      </c:spPr>
    </c:plotArea>
    <c:plotVisOnly val="1"/>
    <c:dispBlanksAs val="gap"/>
    <c:showDLblsOverMax val="0"/>
  </c:chart>
  <c:spPr>
    <a:solidFill>
      <a:srgbClr val="FFFF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none" strike="noStrike" baseline="0">
                <a:solidFill>
                  <a:srgbClr val="000000"/>
                </a:solidFill>
                <a:latin typeface="Arial Narrow" panose="020B0606020202030204" pitchFamily="34" charset="0"/>
                <a:ea typeface="Arial"/>
                <a:cs typeface="Arial"/>
              </a:defRPr>
            </a:pPr>
            <a:r>
              <a:rPr lang="en-US" sz="1300">
                <a:latin typeface="Arial Narrow" panose="020B0606020202030204" pitchFamily="34" charset="0"/>
              </a:rPr>
              <a:t>Commonwealth of Virginia Net Revenue Collections by Fiscal Year</a:t>
            </a:r>
          </a:p>
        </c:rich>
      </c:tx>
      <c:layout>
        <c:manualLayout>
          <c:xMode val="edge"/>
          <c:yMode val="edge"/>
          <c:x val="0.14350689754602158"/>
          <c:y val="4.8183018704747952E-3"/>
        </c:manualLayout>
      </c:layout>
      <c:overlay val="0"/>
      <c:spPr>
        <a:noFill/>
        <a:ln w="25400">
          <a:noFill/>
        </a:ln>
      </c:spPr>
    </c:title>
    <c:autoTitleDeleted val="0"/>
    <c:plotArea>
      <c:layout>
        <c:manualLayout>
          <c:layoutTarget val="inner"/>
          <c:xMode val="edge"/>
          <c:yMode val="edge"/>
          <c:x val="0.10777234975752187"/>
          <c:y val="7.6265607349387685E-2"/>
          <c:w val="0.87542087362007115"/>
          <c:h val="0.85125045821457157"/>
        </c:manualLayout>
      </c:layout>
      <c:barChart>
        <c:barDir val="col"/>
        <c:grouping val="clustered"/>
        <c:varyColors val="0"/>
        <c:ser>
          <c:idx val="0"/>
          <c:order val="0"/>
          <c:tx>
            <c:strRef>
              <c:f>RevExp!$A$6</c:f>
              <c:strCache>
                <c:ptCount val="1"/>
                <c:pt idx="0">
                  <c:v>General Fund ³</c:v>
                </c:pt>
              </c:strCache>
            </c:strRef>
          </c:tx>
          <c:spPr>
            <a:solidFill>
              <a:srgbClr val="9999FF"/>
            </a:solidFill>
            <a:ln w="12700">
              <a:solidFill>
                <a:schemeClr val="bg1">
                  <a:lumMod val="65000"/>
                </a:schemeClr>
              </a:solidFill>
              <a:prstDash val="solid"/>
            </a:ln>
          </c:spPr>
          <c:invertIfNegative val="0"/>
          <c:dLbls>
            <c:numFmt formatCode="#,##0.0" sourceLinked="0"/>
            <c:spPr>
              <a:solidFill>
                <a:schemeClr val="bg1"/>
              </a:solidFill>
              <a:ln>
                <a:noFill/>
              </a:ln>
              <a:effectLst/>
            </c:spPr>
            <c:txPr>
              <a:bodyPr wrap="square" lIns="0" tIns="0" rIns="0" bIns="0" anchor="ctr">
                <a:spAutoFit/>
              </a:bodyPr>
              <a:lstStyle/>
              <a:p>
                <a:pPr>
                  <a:defRPr sz="1000">
                    <a:solidFill>
                      <a:schemeClr val="bg1">
                        <a:lumMod val="50000"/>
                      </a:schemeClr>
                    </a:solidFill>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RevExp!$F$3:$L$3</c:f>
              <c:strCache>
                <c:ptCount val="7"/>
                <c:pt idx="0">
                  <c:v>FY 2018</c:v>
                </c:pt>
                <c:pt idx="1">
                  <c:v>FY 2019</c:v>
                </c:pt>
                <c:pt idx="2">
                  <c:v>FY 2020</c:v>
                </c:pt>
                <c:pt idx="3">
                  <c:v>FY 2021</c:v>
                </c:pt>
                <c:pt idx="4">
                  <c:v>FY 2022</c:v>
                </c:pt>
                <c:pt idx="5">
                  <c:v>FY 2023</c:v>
                </c:pt>
                <c:pt idx="6">
                  <c:v>FY 2024</c:v>
                </c:pt>
              </c:strCache>
            </c:strRef>
          </c:cat>
          <c:val>
            <c:numRef>
              <c:f>RevExp!$F$6:$L$6</c:f>
              <c:numCache>
                <c:formatCode>[$$-409]#,##0</c:formatCode>
                <c:ptCount val="7"/>
                <c:pt idx="0">
                  <c:v>20024020000</c:v>
                </c:pt>
                <c:pt idx="1">
                  <c:v>21467094000</c:v>
                </c:pt>
                <c:pt idx="2">
                  <c:v>21903571000</c:v>
                </c:pt>
                <c:pt idx="3">
                  <c:v>25083803000</c:v>
                </c:pt>
                <c:pt idx="4">
                  <c:v>29109249000</c:v>
                </c:pt>
                <c:pt idx="5">
                  <c:v>27909932000</c:v>
                </c:pt>
                <c:pt idx="6">
                  <c:v>29448224000</c:v>
                </c:pt>
              </c:numCache>
            </c:numRef>
          </c:val>
          <c:extLst>
            <c:ext xmlns:c16="http://schemas.microsoft.com/office/drawing/2014/chart" uri="{C3380CC4-5D6E-409C-BE32-E72D297353CC}">
              <c16:uniqueId val="{00000000-E84D-47E1-A68D-F21671D2B5FA}"/>
            </c:ext>
          </c:extLst>
        </c:ser>
        <c:ser>
          <c:idx val="1"/>
          <c:order val="1"/>
          <c:tx>
            <c:strRef>
              <c:f>RevExp!$A$7</c:f>
              <c:strCache>
                <c:ptCount val="1"/>
                <c:pt idx="0">
                  <c:v>Non-General Fund</c:v>
                </c:pt>
              </c:strCache>
            </c:strRef>
          </c:tx>
          <c:spPr>
            <a:solidFill>
              <a:srgbClr val="993366"/>
            </a:solidFill>
            <a:ln w="12700">
              <a:solidFill>
                <a:schemeClr val="bg1">
                  <a:lumMod val="65000"/>
                </a:schemeClr>
              </a:solidFill>
              <a:prstDash val="solid"/>
            </a:ln>
          </c:spPr>
          <c:invertIfNegative val="0"/>
          <c:dLbls>
            <c:numFmt formatCode="#,##0.0" sourceLinked="0"/>
            <c:spPr>
              <a:solidFill>
                <a:schemeClr val="bg1"/>
              </a:solidFill>
              <a:ln>
                <a:noFill/>
              </a:ln>
              <a:effectLst/>
            </c:spPr>
            <c:txPr>
              <a:bodyPr wrap="square" lIns="38100" tIns="0" rIns="0" bIns="0" anchor="ctr">
                <a:spAutoFit/>
              </a:bodyPr>
              <a:lstStyle/>
              <a:p>
                <a:pPr>
                  <a:defRPr sz="1000">
                    <a:solidFill>
                      <a:schemeClr val="bg1">
                        <a:lumMod val="50000"/>
                      </a:schemeClr>
                    </a:solidFill>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RevExp!$F$3:$L$3</c:f>
              <c:strCache>
                <c:ptCount val="7"/>
                <c:pt idx="0">
                  <c:v>FY 2018</c:v>
                </c:pt>
                <c:pt idx="1">
                  <c:v>FY 2019</c:v>
                </c:pt>
                <c:pt idx="2">
                  <c:v>FY 2020</c:v>
                </c:pt>
                <c:pt idx="3">
                  <c:v>FY 2021</c:v>
                </c:pt>
                <c:pt idx="4">
                  <c:v>FY 2022</c:v>
                </c:pt>
                <c:pt idx="5">
                  <c:v>FY 2023</c:v>
                </c:pt>
                <c:pt idx="6">
                  <c:v>FY 2024</c:v>
                </c:pt>
              </c:strCache>
            </c:strRef>
          </c:cat>
          <c:val>
            <c:numRef>
              <c:f>RevExp!$F$7:$L$7</c:f>
              <c:numCache>
                <c:formatCode>[$$-409]#,##0</c:formatCode>
                <c:ptCount val="7"/>
                <c:pt idx="0">
                  <c:v>27608806000</c:v>
                </c:pt>
                <c:pt idx="1">
                  <c:v>29225445000</c:v>
                </c:pt>
                <c:pt idx="2">
                  <c:v>39119584000</c:v>
                </c:pt>
                <c:pt idx="3">
                  <c:v>50027817000</c:v>
                </c:pt>
                <c:pt idx="4">
                  <c:v>45991135000</c:v>
                </c:pt>
                <c:pt idx="5" formatCode="#,##0">
                  <c:v>46410721000</c:v>
                </c:pt>
                <c:pt idx="6" formatCode="#,##0">
                  <c:v>47487938000</c:v>
                </c:pt>
              </c:numCache>
            </c:numRef>
          </c:val>
          <c:extLst>
            <c:ext xmlns:c16="http://schemas.microsoft.com/office/drawing/2014/chart" uri="{C3380CC4-5D6E-409C-BE32-E72D297353CC}">
              <c16:uniqueId val="{00000001-E84D-47E1-A68D-F21671D2B5FA}"/>
            </c:ext>
          </c:extLst>
        </c:ser>
        <c:dLbls>
          <c:showLegendKey val="0"/>
          <c:showVal val="0"/>
          <c:showCatName val="0"/>
          <c:showSerName val="0"/>
          <c:showPercent val="0"/>
          <c:showBubbleSize val="0"/>
        </c:dLbls>
        <c:gapWidth val="75"/>
        <c:axId val="160050560"/>
        <c:axId val="73057408"/>
      </c:barChart>
      <c:catAx>
        <c:axId val="160050560"/>
        <c:scaling>
          <c:orientation val="minMax"/>
        </c:scaling>
        <c:delete val="0"/>
        <c:axPos val="b"/>
        <c:numFmt formatCode="General" sourceLinked="1"/>
        <c:majorTickMark val="out"/>
        <c:minorTickMark val="none"/>
        <c:tickLblPos val="low"/>
        <c:spPr>
          <a:ln w="3175">
            <a:solidFill>
              <a:schemeClr val="bg1">
                <a:lumMod val="65000"/>
              </a:schemeClr>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73057408"/>
        <c:crosses val="autoZero"/>
        <c:auto val="1"/>
        <c:lblAlgn val="ctr"/>
        <c:lblOffset val="100"/>
        <c:noMultiLvlLbl val="0"/>
      </c:catAx>
      <c:valAx>
        <c:axId val="73057408"/>
        <c:scaling>
          <c:orientation val="minMax"/>
          <c:max val="55000000000"/>
          <c:min val="0"/>
        </c:scaling>
        <c:delete val="0"/>
        <c:axPos val="l"/>
        <c:majorGridlines>
          <c:spPr>
            <a:ln w="3175">
              <a:solidFill>
                <a:schemeClr val="bg1">
                  <a:lumMod val="85000"/>
                </a:schemeClr>
              </a:solidFill>
              <a:prstDash val="dash"/>
            </a:ln>
          </c:spPr>
        </c:majorGridlines>
        <c:numFmt formatCode="\$#,##0" sourceLinked="0"/>
        <c:majorTickMark val="out"/>
        <c:minorTickMark val="none"/>
        <c:tickLblPos val="nextTo"/>
        <c:spPr>
          <a:ln w="3175">
            <a:solidFill>
              <a:schemeClr val="bg1">
                <a:lumMod val="75000"/>
              </a:schemeClr>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60050560"/>
        <c:crosses val="autoZero"/>
        <c:crossBetween val="between"/>
        <c:dispUnits>
          <c:builtInUnit val="billions"/>
          <c:dispUnitsLbl>
            <c:layout>
              <c:manualLayout>
                <c:xMode val="edge"/>
                <c:yMode val="edge"/>
                <c:x val="4.7245882899525525E-3"/>
                <c:y val="0.17401779154296546"/>
              </c:manualLayout>
            </c:layout>
            <c:tx>
              <c:rich>
                <a:bodyPr/>
                <a:lstStyle/>
                <a:p>
                  <a:pPr>
                    <a:defRPr/>
                  </a:pPr>
                  <a:r>
                    <a:rPr lang="en-US"/>
                    <a:t>Billions$</a:t>
                  </a:r>
                </a:p>
              </c:rich>
            </c:tx>
          </c:dispUnitsLbl>
        </c:dispUnits>
      </c:valAx>
      <c:spPr>
        <a:solidFill>
          <a:srgbClr val="FFFFFF"/>
        </a:solidFill>
        <a:ln w="12700">
          <a:solidFill>
            <a:schemeClr val="bg1">
              <a:lumMod val="85000"/>
            </a:schemeClr>
          </a:solidFill>
        </a:ln>
      </c:spPr>
    </c:plotArea>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Narrow" panose="020B0606020202030204" pitchFamily="34" charset="0"/>
                <a:ea typeface="Arial"/>
                <a:cs typeface="Arial"/>
              </a:defRPr>
            </a:pPr>
            <a:r>
              <a:rPr lang="en-US" sz="1400">
                <a:latin typeface="Arial Narrow" panose="020B0606020202030204" pitchFamily="34" charset="0"/>
              </a:rPr>
              <a:t>Select</a:t>
            </a:r>
            <a:r>
              <a:rPr lang="en-US" sz="1400" baseline="0">
                <a:latin typeface="Arial Narrow" panose="020B0606020202030204" pitchFamily="34" charset="0"/>
              </a:rPr>
              <a:t> </a:t>
            </a:r>
            <a:r>
              <a:rPr lang="en-US" sz="1400">
                <a:latin typeface="Arial Narrow" panose="020B0606020202030204" pitchFamily="34" charset="0"/>
              </a:rPr>
              <a:t>General Fund Revenue Sources</a:t>
            </a:r>
            <a:r>
              <a:rPr lang="en-US" sz="1400" baseline="0">
                <a:latin typeface="Arial Narrow" panose="020B0606020202030204" pitchFamily="34" charset="0"/>
              </a:rPr>
              <a:t> </a:t>
            </a:r>
            <a:r>
              <a:rPr lang="en-US" sz="1400">
                <a:latin typeface="Arial Narrow" panose="020B0606020202030204" pitchFamily="34" charset="0"/>
              </a:rPr>
              <a:t>vs.</a:t>
            </a:r>
            <a:r>
              <a:rPr lang="en-US" sz="1400" baseline="0">
                <a:latin typeface="Arial Narrow" panose="020B0606020202030204" pitchFamily="34" charset="0"/>
              </a:rPr>
              <a:t> Other </a:t>
            </a:r>
            <a:r>
              <a:rPr lang="en-US" sz="1400">
                <a:latin typeface="Arial Narrow" panose="020B0606020202030204" pitchFamily="34" charset="0"/>
              </a:rPr>
              <a:t>Revenue</a:t>
            </a:r>
          </a:p>
          <a:p>
            <a:pPr>
              <a:defRPr sz="1400" b="1" i="0" u="none" strike="noStrike" baseline="0">
                <a:solidFill>
                  <a:srgbClr val="000000"/>
                </a:solidFill>
                <a:latin typeface="Arial Narrow" panose="020B0606020202030204" pitchFamily="34" charset="0"/>
                <a:ea typeface="Arial"/>
                <a:cs typeface="Arial"/>
              </a:defRPr>
            </a:pPr>
            <a:r>
              <a:rPr lang="en-US" sz="1200" b="0">
                <a:latin typeface="Arial Narrow" panose="020B0606020202030204" pitchFamily="34" charset="0"/>
              </a:rPr>
              <a:t>Administered</a:t>
            </a:r>
            <a:r>
              <a:rPr lang="en-US" sz="1200" b="0" baseline="0">
                <a:latin typeface="Arial Narrow" panose="020B0606020202030204" pitchFamily="34" charset="0"/>
              </a:rPr>
              <a:t> by TAX Department</a:t>
            </a:r>
            <a:endParaRPr lang="en-US" sz="1400" b="0">
              <a:latin typeface="Arial Narrow" panose="020B0606020202030204" pitchFamily="34" charset="0"/>
            </a:endParaRPr>
          </a:p>
        </c:rich>
      </c:tx>
      <c:layout>
        <c:manualLayout>
          <c:xMode val="edge"/>
          <c:yMode val="edge"/>
          <c:x val="0.18110416021773909"/>
          <c:y val="2.6574307473923261E-3"/>
        </c:manualLayout>
      </c:layout>
      <c:overlay val="0"/>
      <c:spPr>
        <a:noFill/>
        <a:ln w="25400">
          <a:noFill/>
        </a:ln>
      </c:spPr>
    </c:title>
    <c:autoTitleDeleted val="0"/>
    <c:plotArea>
      <c:layout>
        <c:manualLayout>
          <c:layoutTarget val="inner"/>
          <c:xMode val="edge"/>
          <c:yMode val="edge"/>
          <c:x val="0.2445320509846122"/>
          <c:y val="0.12947091773218611"/>
          <c:w val="0.50776239004512291"/>
          <c:h val="0.85824403830632434"/>
        </c:manualLayout>
      </c:layout>
      <c:pieChart>
        <c:varyColors val="1"/>
        <c:ser>
          <c:idx val="0"/>
          <c:order val="0"/>
          <c:tx>
            <c:strRef>
              <c:f>ByAcct!$L$4</c:f>
              <c:strCache>
                <c:ptCount val="1"/>
                <c:pt idx="0">
                  <c:v>FY 2024</c:v>
                </c:pt>
              </c:strCache>
            </c:strRef>
          </c:tx>
          <c:spPr>
            <a:solidFill>
              <a:srgbClr val="9999FF"/>
            </a:solidFill>
            <a:ln w="12700">
              <a:solidFill>
                <a:schemeClr val="bg1">
                  <a:lumMod val="65000"/>
                </a:schemeClr>
              </a:solidFill>
              <a:prstDash val="solid"/>
            </a:ln>
          </c:spPr>
          <c:explosion val="5"/>
          <c:dPt>
            <c:idx val="1"/>
            <c:bubble3D val="0"/>
            <c:explosion val="4"/>
            <c:spPr>
              <a:solidFill>
                <a:srgbClr val="993366"/>
              </a:solidFill>
              <a:ln w="12700">
                <a:solidFill>
                  <a:schemeClr val="bg1">
                    <a:lumMod val="65000"/>
                  </a:schemeClr>
                </a:solidFill>
                <a:prstDash val="solid"/>
              </a:ln>
            </c:spPr>
            <c:extLst>
              <c:ext xmlns:c16="http://schemas.microsoft.com/office/drawing/2014/chart" uri="{C3380CC4-5D6E-409C-BE32-E72D297353CC}">
                <c16:uniqueId val="{00000000-ADD4-4E20-96B6-371490AA8BF6}"/>
              </c:ext>
            </c:extLst>
          </c:dPt>
          <c:dPt>
            <c:idx val="2"/>
            <c:bubble3D val="0"/>
            <c:spPr>
              <a:solidFill>
                <a:srgbClr val="FFFFCC"/>
              </a:solidFill>
              <a:ln w="12700">
                <a:solidFill>
                  <a:schemeClr val="bg1">
                    <a:lumMod val="65000"/>
                  </a:schemeClr>
                </a:solidFill>
                <a:prstDash val="solid"/>
              </a:ln>
            </c:spPr>
            <c:extLst>
              <c:ext xmlns:c16="http://schemas.microsoft.com/office/drawing/2014/chart" uri="{C3380CC4-5D6E-409C-BE32-E72D297353CC}">
                <c16:uniqueId val="{00000001-ADD4-4E20-96B6-371490AA8BF6}"/>
              </c:ext>
            </c:extLst>
          </c:dPt>
          <c:dPt>
            <c:idx val="3"/>
            <c:bubble3D val="0"/>
            <c:spPr>
              <a:solidFill>
                <a:srgbClr val="CCFFFF"/>
              </a:solidFill>
              <a:ln w="12700">
                <a:solidFill>
                  <a:schemeClr val="bg1">
                    <a:lumMod val="65000"/>
                  </a:schemeClr>
                </a:solidFill>
                <a:prstDash val="solid"/>
              </a:ln>
            </c:spPr>
            <c:extLst>
              <c:ext xmlns:c16="http://schemas.microsoft.com/office/drawing/2014/chart" uri="{C3380CC4-5D6E-409C-BE32-E72D297353CC}">
                <c16:uniqueId val="{00000002-ADD4-4E20-96B6-371490AA8BF6}"/>
              </c:ext>
            </c:extLst>
          </c:dPt>
          <c:dLbls>
            <c:dLbl>
              <c:idx val="0"/>
              <c:layout>
                <c:manualLayout>
                  <c:x val="-2.0857818070641895E-2"/>
                  <c:y val="4.298623878468334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DD4-4E20-96B6-371490AA8BF6}"/>
                </c:ext>
              </c:extLst>
            </c:dLbl>
            <c:dLbl>
              <c:idx val="1"/>
              <c:layout>
                <c:manualLayout>
                  <c:x val="-2.6686642186696534E-3"/>
                  <c:y val="-0.19568778546094767"/>
                </c:manualLayout>
              </c:layout>
              <c:numFmt formatCode="0%" sourceLinked="0"/>
              <c:spPr>
                <a:noFill/>
                <a:ln w="25400">
                  <a:noFill/>
                </a:ln>
              </c:spPr>
              <c:txPr>
                <a:bodyPr/>
                <a:lstStyle/>
                <a:p>
                  <a:pPr>
                    <a:defRPr sz="1200" b="0" i="0" u="none" strike="noStrike" baseline="0">
                      <a:solidFill>
                        <a:schemeClr val="bg1"/>
                      </a:solidFill>
                      <a:latin typeface="Arial Narrow" panose="020B0606020202030204" pitchFamily="34" charset="0"/>
                      <a:ea typeface="Arial"/>
                      <a:cs typeface="Arial"/>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ADD4-4E20-96B6-371490AA8BF6}"/>
                </c:ext>
              </c:extLst>
            </c:dLbl>
            <c:dLbl>
              <c:idx val="2"/>
              <c:layout>
                <c:manualLayout>
                  <c:x val="0.12394558047975572"/>
                  <c:y val="0.1900264426983101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DD4-4E20-96B6-371490AA8BF6}"/>
                </c:ext>
              </c:extLst>
            </c:dLbl>
            <c:dLbl>
              <c:idx val="3"/>
              <c:layout>
                <c:manualLayout>
                  <c:x val="-5.35374340779236E-2"/>
                  <c:y val="0.17078195987532044"/>
                </c:manualLayout>
              </c:layout>
              <c:tx>
                <c:rich>
                  <a:bodyPr/>
                  <a:lstStyle/>
                  <a:p>
                    <a:pPr>
                      <a:defRPr sz="1400" b="1" i="0" u="none" strike="noStrike" baseline="0">
                        <a:solidFill>
                          <a:srgbClr val="000000"/>
                        </a:solidFill>
                        <a:latin typeface="Arial Narrow" panose="020B0606020202030204" pitchFamily="34" charset="0"/>
                        <a:ea typeface="Arial"/>
                        <a:cs typeface="Arial"/>
                      </a:defRPr>
                    </a:pPr>
                    <a:fld id="{FD5BAE60-EB74-4724-A97D-506A8384ABA7}" type="CATEGORYNAME">
                      <a:rPr lang="en-US" sz="1400" b="1"/>
                      <a:pPr>
                        <a:defRPr sz="1400" b="1" i="0" u="none" strike="noStrike" baseline="0">
                          <a:solidFill>
                            <a:srgbClr val="000000"/>
                          </a:solidFill>
                          <a:latin typeface="Arial Narrow" panose="020B0606020202030204" pitchFamily="34" charset="0"/>
                          <a:ea typeface="Arial"/>
                          <a:cs typeface="Arial"/>
                        </a:defRPr>
                      </a:pPr>
                      <a:t>[CATEGORY NAME]</a:t>
                    </a:fld>
                    <a:r>
                      <a:rPr lang="en-US" sz="1400" b="1" baseline="0"/>
                      <a:t> </a:t>
                    </a:r>
                  </a:p>
                  <a:p>
                    <a:pPr>
                      <a:defRPr sz="1400" b="1" i="0" u="none" strike="noStrike" baseline="0">
                        <a:solidFill>
                          <a:srgbClr val="000000"/>
                        </a:solidFill>
                        <a:latin typeface="Arial Narrow" panose="020B0606020202030204" pitchFamily="34" charset="0"/>
                        <a:ea typeface="Arial"/>
                        <a:cs typeface="Arial"/>
                      </a:defRPr>
                    </a:pPr>
                    <a:fld id="{D14F5D7B-A43E-491E-89BE-FBF31B4AE054}" type="PERCENTAGE">
                      <a:rPr lang="en-US" sz="1400" b="1" baseline="0"/>
                      <a:pPr>
                        <a:defRPr sz="1400" b="1" i="0" u="none" strike="noStrike" baseline="0">
                          <a:solidFill>
                            <a:srgbClr val="000000"/>
                          </a:solidFill>
                          <a:latin typeface="Arial Narrow" panose="020B0606020202030204" pitchFamily="34" charset="0"/>
                          <a:ea typeface="Arial"/>
                          <a:cs typeface="Arial"/>
                        </a:defRPr>
                      </a:pPr>
                      <a:t>[PERCENTAGE]</a:t>
                    </a:fld>
                    <a:endParaRPr lang="en-US"/>
                  </a:p>
                </c:rich>
              </c:tx>
              <c:numFmt formatCode="0%" sourceLinked="0"/>
              <c:spPr>
                <a:noFill/>
                <a:ln w="25400">
                  <a:noFill/>
                </a:ln>
              </c:spPr>
              <c:dLblPos val="bestFit"/>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ADD4-4E20-96B6-371490AA8BF6}"/>
                </c:ext>
              </c:extLst>
            </c:dLbl>
            <c:numFmt formatCode="0%" sourceLinked="0"/>
            <c:spPr>
              <a:noFill/>
              <a:ln w="25400">
                <a:noFill/>
              </a:ln>
            </c:spPr>
            <c:txPr>
              <a:bodyPr/>
              <a:lstStyle/>
              <a:p>
                <a:pPr>
                  <a:defRPr sz="1200" b="0" i="0" u="none" strike="noStrike" baseline="0">
                    <a:solidFill>
                      <a:srgbClr val="000000"/>
                    </a:solidFill>
                    <a:latin typeface="Arial Narrow" panose="020B0606020202030204" pitchFamily="34" charset="0"/>
                    <a:ea typeface="Arial"/>
                    <a:cs typeface="Arial"/>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Lit>
              <c:ptCount val="4"/>
              <c:pt idx="0">
                <c:v>Corporate Income Tax </c:v>
              </c:pt>
              <c:pt idx="1">
                <c:v>Individual Income Tax</c:v>
              </c:pt>
              <c:pt idx="2">
                <c:v>Sales &amp; Use Tax</c:v>
              </c:pt>
              <c:pt idx="3">
                <c:v>Other </c:v>
              </c:pt>
            </c:strLit>
          </c:cat>
          <c:val>
            <c:numRef>
              <c:f>(ByAcct!$L$8,ByAcct!$L$9,ByAcct!$L$13,ByAcct!$L$57)</c:f>
              <c:numCache>
                <c:formatCode>#,##0</c:formatCode>
                <c:ptCount val="4"/>
                <c:pt idx="0">
                  <c:v>1907065000</c:v>
                </c:pt>
                <c:pt idx="1">
                  <c:v>20310406000</c:v>
                </c:pt>
                <c:pt idx="2">
                  <c:v>4709661000</c:v>
                </c:pt>
                <c:pt idx="3" formatCode="[$$-409]#,##0">
                  <c:v>2541275000</c:v>
                </c:pt>
              </c:numCache>
            </c:numRef>
          </c:val>
          <c:extLst>
            <c:ext xmlns:c16="http://schemas.microsoft.com/office/drawing/2014/chart" uri="{C3380CC4-5D6E-409C-BE32-E72D297353CC}">
              <c16:uniqueId val="{00000004-ADD4-4E20-96B6-371490AA8BF6}"/>
            </c:ext>
          </c:extLst>
        </c:ser>
        <c:dLbls>
          <c:showLegendKey val="0"/>
          <c:showVal val="0"/>
          <c:showCatName val="1"/>
          <c:showSerName val="0"/>
          <c:showPercent val="1"/>
          <c:showBubbleSize val="0"/>
          <c:showLeaderLines val="0"/>
        </c:dLbls>
        <c:firstSliceAng val="33"/>
      </c:pieChart>
    </c:plotArea>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a:lstStyle/>
          <a:p>
            <a:pPr>
              <a:defRPr sz="1400" b="1" i="0" u="none" strike="noStrike" baseline="0">
                <a:solidFill>
                  <a:srgbClr val="000000"/>
                </a:solidFill>
                <a:latin typeface="Arial Narrow" panose="020B0606020202030204" pitchFamily="34" charset="0"/>
                <a:ea typeface="Arial"/>
                <a:cs typeface="Arial"/>
              </a:defRPr>
            </a:pPr>
            <a:r>
              <a:rPr lang="en-US" sz="1400">
                <a:latin typeface="Arial Narrow" panose="020B0606020202030204" pitchFamily="34" charset="0"/>
              </a:rPr>
              <a:t>General Fund Revenue by Select Tax and Fiscal Year</a:t>
            </a:r>
          </a:p>
        </c:rich>
      </c:tx>
      <c:layout>
        <c:manualLayout>
          <c:xMode val="edge"/>
          <c:yMode val="edge"/>
          <c:x val="0.19930327227428729"/>
          <c:y val="0"/>
        </c:manualLayout>
      </c:layout>
      <c:overlay val="0"/>
      <c:spPr>
        <a:noFill/>
        <a:ln w="25400">
          <a:noFill/>
        </a:ln>
      </c:spPr>
    </c:title>
    <c:autoTitleDeleted val="0"/>
    <c:plotArea>
      <c:layout>
        <c:manualLayout>
          <c:layoutTarget val="inner"/>
          <c:xMode val="edge"/>
          <c:yMode val="edge"/>
          <c:x val="0.10451771653543308"/>
          <c:y val="0.15581304359651932"/>
          <c:w val="0.86093225065616796"/>
          <c:h val="0.75493201990180581"/>
        </c:manualLayout>
      </c:layout>
      <c:barChart>
        <c:barDir val="col"/>
        <c:grouping val="clustered"/>
        <c:varyColors val="0"/>
        <c:ser>
          <c:idx val="0"/>
          <c:order val="0"/>
          <c:tx>
            <c:strRef>
              <c:f>ByAcct!$A$9</c:f>
              <c:strCache>
                <c:ptCount val="1"/>
                <c:pt idx="0">
                  <c:v>Individual Income</c:v>
                </c:pt>
              </c:strCache>
            </c:strRef>
          </c:tx>
          <c:spPr>
            <a:solidFill>
              <a:srgbClr val="9999FF"/>
            </a:solidFill>
            <a:ln w="12700">
              <a:noFill/>
              <a:prstDash val="solid"/>
            </a:ln>
          </c:spPr>
          <c:invertIfNegative val="0"/>
          <c:dLbls>
            <c:numFmt formatCode="#,##0.0" sourceLinked="0"/>
            <c:spPr>
              <a:solidFill>
                <a:schemeClr val="bg1"/>
              </a:solidFill>
              <a:ln>
                <a:noFill/>
              </a:ln>
              <a:effectLst/>
            </c:spPr>
            <c:txPr>
              <a:bodyPr wrap="none" lIns="0" tIns="0" rIns="0" bIns="0" anchor="ctr">
                <a:spAutoFit/>
              </a:bodyPr>
              <a:lstStyle/>
              <a:p>
                <a:pPr>
                  <a:defRPr sz="1100">
                    <a:solidFill>
                      <a:schemeClr val="bg1">
                        <a:lumMod val="50000"/>
                      </a:schemeClr>
                    </a:solidFill>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ByAcct!$F$4:$L$4</c:f>
              <c:strCache>
                <c:ptCount val="7"/>
                <c:pt idx="0">
                  <c:v>FY 2018</c:v>
                </c:pt>
                <c:pt idx="1">
                  <c:v>FY 2019</c:v>
                </c:pt>
                <c:pt idx="2">
                  <c:v>FY 2020</c:v>
                </c:pt>
                <c:pt idx="3">
                  <c:v>FY 2021</c:v>
                </c:pt>
                <c:pt idx="4">
                  <c:v>FY 2022</c:v>
                </c:pt>
                <c:pt idx="5">
                  <c:v>FY 2023</c:v>
                </c:pt>
                <c:pt idx="6">
                  <c:v>FY 2024</c:v>
                </c:pt>
              </c:strCache>
            </c:strRef>
          </c:cat>
          <c:val>
            <c:numRef>
              <c:f>ByAcct!$F$9:$L$9</c:f>
              <c:numCache>
                <c:formatCode>#,##0</c:formatCode>
                <c:ptCount val="7"/>
                <c:pt idx="0">
                  <c:v>14105766000</c:v>
                </c:pt>
                <c:pt idx="1">
                  <c:v>15226471000</c:v>
                </c:pt>
                <c:pt idx="2">
                  <c:v>15351592000</c:v>
                </c:pt>
                <c:pt idx="3">
                  <c:v>17303666000</c:v>
                </c:pt>
                <c:pt idx="4">
                  <c:v>20410203000</c:v>
                </c:pt>
                <c:pt idx="5">
                  <c:v>18983555000</c:v>
                </c:pt>
                <c:pt idx="6">
                  <c:v>20310406000</c:v>
                </c:pt>
              </c:numCache>
            </c:numRef>
          </c:val>
          <c:extLst>
            <c:ext xmlns:c16="http://schemas.microsoft.com/office/drawing/2014/chart" uri="{C3380CC4-5D6E-409C-BE32-E72D297353CC}">
              <c16:uniqueId val="{00000000-203F-4211-864B-C69215DCA9F6}"/>
            </c:ext>
          </c:extLst>
        </c:ser>
        <c:ser>
          <c:idx val="1"/>
          <c:order val="1"/>
          <c:tx>
            <c:v>Sales and Use Tax</c:v>
          </c:tx>
          <c:spPr>
            <a:solidFill>
              <a:srgbClr val="993366"/>
            </a:solidFill>
            <a:ln w="12700">
              <a:noFill/>
              <a:prstDash val="solid"/>
            </a:ln>
          </c:spPr>
          <c:invertIfNegative val="0"/>
          <c:dLbls>
            <c:numFmt formatCode="#,##0.0" sourceLinked="0"/>
            <c:spPr>
              <a:solidFill>
                <a:srgbClr val="FFFFFF"/>
              </a:solidFill>
              <a:ln>
                <a:noFill/>
              </a:ln>
              <a:effectLst/>
            </c:spPr>
            <c:txPr>
              <a:bodyPr wrap="square" lIns="0" tIns="0" rIns="0" bIns="0" anchor="ctr">
                <a:spAutoFit/>
              </a:bodyPr>
              <a:lstStyle/>
              <a:p>
                <a:pPr>
                  <a:defRPr sz="1100">
                    <a:solidFill>
                      <a:schemeClr val="bg1">
                        <a:lumMod val="50000"/>
                      </a:schemeClr>
                    </a:solidFill>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ByAcct!$F$4:$L$4</c:f>
              <c:strCache>
                <c:ptCount val="7"/>
                <c:pt idx="0">
                  <c:v>FY 2018</c:v>
                </c:pt>
                <c:pt idx="1">
                  <c:v>FY 2019</c:v>
                </c:pt>
                <c:pt idx="2">
                  <c:v>FY 2020</c:v>
                </c:pt>
                <c:pt idx="3">
                  <c:v>FY 2021</c:v>
                </c:pt>
                <c:pt idx="4">
                  <c:v>FY 2022</c:v>
                </c:pt>
                <c:pt idx="5">
                  <c:v>FY 2023</c:v>
                </c:pt>
                <c:pt idx="6">
                  <c:v>FY 2024</c:v>
                </c:pt>
              </c:strCache>
            </c:strRef>
          </c:cat>
          <c:val>
            <c:numRef>
              <c:f>ByAcct!$F$13:$L$13</c:f>
              <c:numCache>
                <c:formatCode>#,##0</c:formatCode>
                <c:ptCount val="7"/>
                <c:pt idx="0">
                  <c:v>3458249000</c:v>
                </c:pt>
                <c:pt idx="1">
                  <c:v>3580355000</c:v>
                </c:pt>
                <c:pt idx="2">
                  <c:v>3706817000</c:v>
                </c:pt>
                <c:pt idx="3">
                  <c:v>4166182000</c:v>
                </c:pt>
                <c:pt idx="4">
                  <c:v>4558082000</c:v>
                </c:pt>
                <c:pt idx="5">
                  <c:v>4734549000</c:v>
                </c:pt>
                <c:pt idx="6">
                  <c:v>4709661000</c:v>
                </c:pt>
              </c:numCache>
            </c:numRef>
          </c:val>
          <c:extLst>
            <c:ext xmlns:c16="http://schemas.microsoft.com/office/drawing/2014/chart" uri="{C3380CC4-5D6E-409C-BE32-E72D297353CC}">
              <c16:uniqueId val="{00000001-203F-4211-864B-C69215DCA9F6}"/>
            </c:ext>
          </c:extLst>
        </c:ser>
        <c:ser>
          <c:idx val="2"/>
          <c:order val="2"/>
          <c:tx>
            <c:strRef>
              <c:f>ByAcct!$A$8</c:f>
              <c:strCache>
                <c:ptCount val="1"/>
                <c:pt idx="0">
                  <c:v>Corporate Income Tax </c:v>
                </c:pt>
              </c:strCache>
            </c:strRef>
          </c:tx>
          <c:invertIfNegative val="0"/>
          <c:dLbls>
            <c:numFmt formatCode="#,##0.0" sourceLinked="0"/>
            <c:spPr>
              <a:noFill/>
              <a:ln>
                <a:noFill/>
              </a:ln>
              <a:effectLst/>
            </c:spPr>
            <c:txPr>
              <a:bodyPr wrap="square" lIns="38100" tIns="19050" rIns="38100" bIns="19050" anchor="ctr">
                <a:spAutoFit/>
              </a:bodyPr>
              <a:lstStyle/>
              <a:p>
                <a:pPr>
                  <a:defRPr sz="1100">
                    <a:solidFill>
                      <a:schemeClr val="bg1">
                        <a:lumMod val="50000"/>
                      </a:schemeClr>
                    </a:solidFill>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ByAcct!$F$4:$L$4</c:f>
              <c:strCache>
                <c:ptCount val="7"/>
                <c:pt idx="0">
                  <c:v>FY 2018</c:v>
                </c:pt>
                <c:pt idx="1">
                  <c:v>FY 2019</c:v>
                </c:pt>
                <c:pt idx="2">
                  <c:v>FY 2020</c:v>
                </c:pt>
                <c:pt idx="3">
                  <c:v>FY 2021</c:v>
                </c:pt>
                <c:pt idx="4">
                  <c:v>FY 2022</c:v>
                </c:pt>
                <c:pt idx="5">
                  <c:v>FY 2023</c:v>
                </c:pt>
                <c:pt idx="6">
                  <c:v>FY 2024</c:v>
                </c:pt>
              </c:strCache>
            </c:strRef>
          </c:cat>
          <c:val>
            <c:numRef>
              <c:f>ByAcct!$F$8:$L$8</c:f>
              <c:numCache>
                <c:formatCode>#,##0</c:formatCode>
                <c:ptCount val="7"/>
                <c:pt idx="0">
                  <c:v>861897138.17999983</c:v>
                </c:pt>
                <c:pt idx="1">
                  <c:v>943391000</c:v>
                </c:pt>
                <c:pt idx="2">
                  <c:v>1011650000</c:v>
                </c:pt>
                <c:pt idx="3">
                  <c:v>1515692000</c:v>
                </c:pt>
                <c:pt idx="4">
                  <c:v>1978697000</c:v>
                </c:pt>
                <c:pt idx="5">
                  <c:v>2031120000</c:v>
                </c:pt>
                <c:pt idx="6">
                  <c:v>1907065000</c:v>
                </c:pt>
              </c:numCache>
            </c:numRef>
          </c:val>
          <c:extLst>
            <c:ext xmlns:c16="http://schemas.microsoft.com/office/drawing/2014/chart" uri="{C3380CC4-5D6E-409C-BE32-E72D297353CC}">
              <c16:uniqueId val="{00000000-8520-436B-B821-0D30B7211317}"/>
            </c:ext>
          </c:extLst>
        </c:ser>
        <c:dLbls>
          <c:showLegendKey val="0"/>
          <c:showVal val="0"/>
          <c:showCatName val="0"/>
          <c:showSerName val="0"/>
          <c:showPercent val="0"/>
          <c:showBubbleSize val="0"/>
        </c:dLbls>
        <c:gapWidth val="75"/>
        <c:axId val="74217344"/>
        <c:axId val="74218880"/>
      </c:barChart>
      <c:catAx>
        <c:axId val="74217344"/>
        <c:scaling>
          <c:orientation val="minMax"/>
        </c:scaling>
        <c:delete val="0"/>
        <c:axPos val="b"/>
        <c:numFmt formatCode="General" sourceLinked="1"/>
        <c:majorTickMark val="out"/>
        <c:minorTickMark val="none"/>
        <c:tickLblPos val="low"/>
        <c:spPr>
          <a:ln w="3175">
            <a:solidFill>
              <a:schemeClr val="bg1">
                <a:lumMod val="65000"/>
              </a:schemeClr>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74218880"/>
        <c:crosses val="autoZero"/>
        <c:auto val="1"/>
        <c:lblAlgn val="ctr"/>
        <c:lblOffset val="100"/>
        <c:noMultiLvlLbl val="0"/>
      </c:catAx>
      <c:valAx>
        <c:axId val="74218880"/>
        <c:scaling>
          <c:orientation val="minMax"/>
        </c:scaling>
        <c:delete val="0"/>
        <c:axPos val="l"/>
        <c:majorGridlines>
          <c:spPr>
            <a:ln w="3175">
              <a:solidFill>
                <a:schemeClr val="bg1">
                  <a:lumMod val="85000"/>
                </a:schemeClr>
              </a:solidFill>
              <a:prstDash val="dash"/>
            </a:ln>
          </c:spPr>
        </c:majorGridlines>
        <c:numFmt formatCode="\$#,##0" sourceLinked="0"/>
        <c:majorTickMark val="out"/>
        <c:minorTickMark val="none"/>
        <c:tickLblPos val="nextTo"/>
        <c:spPr>
          <a:ln w="3175">
            <a:solidFill>
              <a:schemeClr val="bg1">
                <a:lumMod val="65000"/>
              </a:schemeClr>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74217344"/>
        <c:crosses val="autoZero"/>
        <c:crossBetween val="between"/>
        <c:dispUnits>
          <c:builtInUnit val="billions"/>
          <c:dispUnitsLbl>
            <c:layout>
              <c:manualLayout>
                <c:xMode val="edge"/>
                <c:yMode val="edge"/>
                <c:x val="9.4302572440513877E-3"/>
                <c:y val="0.20690803631656957"/>
              </c:manualLayout>
            </c:layout>
          </c:dispUnitsLbl>
        </c:dispUnits>
      </c:valAx>
      <c:spPr>
        <a:solidFill>
          <a:srgbClr val="FFFFFF"/>
        </a:solidFill>
        <a:ln w="12700">
          <a:solidFill>
            <a:schemeClr val="bg1">
              <a:lumMod val="85000"/>
            </a:schemeClr>
          </a:solidFill>
        </a:ln>
      </c:spPr>
    </c:plotArea>
    <c:legend>
      <c:legendPos val="b"/>
      <c:layout>
        <c:manualLayout>
          <c:xMode val="edge"/>
          <c:yMode val="edge"/>
          <c:x val="8.0886938775186587E-2"/>
          <c:y val="7.4228401244707976E-2"/>
          <c:w val="0.86281864550437393"/>
          <c:h val="6.8050114937493231E-2"/>
        </c:manualLayout>
      </c:layout>
      <c:overlay val="0"/>
      <c:spPr>
        <a:solidFill>
          <a:srgbClr val="FFFFFF"/>
        </a:solidFill>
        <a:ln w="25400">
          <a:noFill/>
        </a:ln>
      </c:spPr>
      <c:txPr>
        <a:bodyPr/>
        <a:lstStyle/>
        <a:p>
          <a:pPr>
            <a:defRPr sz="10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25" b="1" i="0" u="none" strike="noStrike" baseline="0">
                <a:solidFill>
                  <a:srgbClr val="000000"/>
                </a:solidFill>
                <a:latin typeface="Arial"/>
                <a:ea typeface="Arial"/>
                <a:cs typeface="Arial"/>
              </a:defRPr>
            </a:pPr>
            <a:r>
              <a:rPr lang="en-US"/>
              <a:t>Individual Income Tax Liability</a:t>
            </a:r>
          </a:p>
        </c:rich>
      </c:tx>
      <c:layout>
        <c:manualLayout>
          <c:xMode val="edge"/>
          <c:yMode val="edge"/>
          <c:x val="0.32321102633178872"/>
          <c:y val="9.4643869244183181E-4"/>
        </c:manualLayout>
      </c:layout>
      <c:overlay val="0"/>
      <c:spPr>
        <a:noFill/>
        <a:ln w="25400">
          <a:noFill/>
        </a:ln>
      </c:spPr>
    </c:title>
    <c:autoTitleDeleted val="0"/>
    <c:plotArea>
      <c:layout>
        <c:manualLayout>
          <c:layoutTarget val="inner"/>
          <c:xMode val="edge"/>
          <c:yMode val="edge"/>
          <c:x val="0.10923299273644924"/>
          <c:y val="9.0234297900028779E-2"/>
          <c:w val="0.87708838915048948"/>
          <c:h val="0.77058187268105927"/>
        </c:manualLayout>
      </c:layout>
      <c:barChart>
        <c:barDir val="col"/>
        <c:grouping val="clustered"/>
        <c:varyColors val="0"/>
        <c:ser>
          <c:idx val="0"/>
          <c:order val="0"/>
          <c:tx>
            <c:strRef>
              <c:f>'1.1'!$C$6</c:f>
              <c:strCache>
                <c:ptCount val="1"/>
                <c:pt idx="0">
                  <c:v>Amount</c:v>
                </c:pt>
              </c:strCache>
            </c:strRef>
          </c:tx>
          <c:spPr>
            <a:solidFill>
              <a:srgbClr val="993366"/>
            </a:solidFill>
            <a:ln w="12700">
              <a:noFill/>
              <a:prstDash val="solid"/>
            </a:ln>
          </c:spPr>
          <c:invertIfNegative val="0"/>
          <c:dLbls>
            <c:numFmt formatCode="&quot;$&quot;#,##0.0" sourceLinked="0"/>
            <c:spPr>
              <a:solidFill>
                <a:schemeClr val="bg1"/>
              </a:solidFill>
              <a:ln>
                <a:noFill/>
              </a:ln>
              <a:effectLst/>
            </c:spPr>
            <c:txPr>
              <a:bodyPr wrap="square" lIns="0" tIns="0" rIns="0" bIns="0" anchor="ctr">
                <a:spAutoFit/>
              </a:bodyPr>
              <a:lstStyle/>
              <a:p>
                <a:pPr>
                  <a:defRPr sz="900">
                    <a:solidFill>
                      <a:schemeClr val="tx1">
                        <a:lumMod val="75000"/>
                        <a:lumOff val="25000"/>
                      </a:schemeClr>
                    </a:solidFill>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'1.1'!$A$14:$A$24</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'1.1'!$C$14:$C$24</c:f>
              <c:numCache>
                <c:formatCode>#,##0</c:formatCode>
                <c:ptCount val="11"/>
                <c:pt idx="0">
                  <c:v>10527113882</c:v>
                </c:pt>
                <c:pt idx="1">
                  <c:v>10586343685</c:v>
                </c:pt>
                <c:pt idx="2">
                  <c:v>11623977320</c:v>
                </c:pt>
                <c:pt idx="3">
                  <c:v>12071058964</c:v>
                </c:pt>
                <c:pt idx="4">
                  <c:v>11800977144.559999</c:v>
                </c:pt>
                <c:pt idx="5">
                  <c:v>12342418241.27</c:v>
                </c:pt>
                <c:pt idx="6">
                  <c:v>14112424787.530001</c:v>
                </c:pt>
                <c:pt idx="7">
                  <c:v>14172033140.65</c:v>
                </c:pt>
                <c:pt idx="8">
                  <c:v>14728931857.1</c:v>
                </c:pt>
                <c:pt idx="9">
                  <c:v>18548295256.189999</c:v>
                </c:pt>
                <c:pt idx="10">
                  <c:v>17671088854.060001</c:v>
                </c:pt>
              </c:numCache>
            </c:numRef>
          </c:val>
          <c:extLst>
            <c:ext xmlns:c16="http://schemas.microsoft.com/office/drawing/2014/chart" uri="{C3380CC4-5D6E-409C-BE32-E72D297353CC}">
              <c16:uniqueId val="{00000000-559C-4459-9869-AABE38F7692B}"/>
            </c:ext>
          </c:extLst>
        </c:ser>
        <c:dLbls>
          <c:showLegendKey val="0"/>
          <c:showVal val="0"/>
          <c:showCatName val="0"/>
          <c:showSerName val="0"/>
          <c:showPercent val="0"/>
          <c:showBubbleSize val="0"/>
        </c:dLbls>
        <c:gapWidth val="75"/>
        <c:axId val="75302016"/>
        <c:axId val="75303936"/>
      </c:barChart>
      <c:catAx>
        <c:axId val="75302016"/>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Taxable Year</a:t>
                </a:r>
              </a:p>
            </c:rich>
          </c:tx>
          <c:layout>
            <c:manualLayout>
              <c:xMode val="edge"/>
              <c:yMode val="edge"/>
              <c:x val="0.44447386360665669"/>
              <c:y val="0.9392015751443954"/>
            </c:manualLayout>
          </c:layout>
          <c:overlay val="0"/>
          <c:spPr>
            <a:noFill/>
            <a:ln w="25400">
              <a:noFill/>
            </a:ln>
          </c:spPr>
        </c:title>
        <c:numFmt formatCode="General" sourceLinked="1"/>
        <c:majorTickMark val="out"/>
        <c:minorTickMark val="none"/>
        <c:tickLblPos val="low"/>
        <c:spPr>
          <a:ln w="3175">
            <a:solidFill>
              <a:schemeClr val="bg1">
                <a:lumMod val="65000"/>
              </a:schemeClr>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303936"/>
        <c:crosses val="autoZero"/>
        <c:auto val="1"/>
        <c:lblAlgn val="ctr"/>
        <c:lblOffset val="100"/>
        <c:noMultiLvlLbl val="0"/>
      </c:catAx>
      <c:valAx>
        <c:axId val="75303936"/>
        <c:scaling>
          <c:orientation val="minMax"/>
        </c:scaling>
        <c:delete val="0"/>
        <c:axPos val="l"/>
        <c:majorGridlines>
          <c:spPr>
            <a:ln w="3175">
              <a:solidFill>
                <a:schemeClr val="bg1">
                  <a:lumMod val="85000"/>
                </a:schemeClr>
              </a:solidFill>
              <a:prstDash val="dash"/>
            </a:ln>
          </c:spPr>
        </c:majorGridlines>
        <c:numFmt formatCode="&quot;$&quot;#,##0" sourceLinked="0"/>
        <c:majorTickMark val="out"/>
        <c:minorTickMark val="none"/>
        <c:tickLblPos val="nextTo"/>
        <c:spPr>
          <a:ln w="3175">
            <a:solidFill>
              <a:schemeClr val="bg1">
                <a:lumMod val="65000"/>
              </a:schemeClr>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302016"/>
        <c:crosses val="autoZero"/>
        <c:crossBetween val="between"/>
        <c:dispUnits>
          <c:builtInUnit val="billions"/>
          <c:dispUnitsLbl>
            <c:layout>
              <c:manualLayout>
                <c:xMode val="edge"/>
                <c:yMode val="edge"/>
                <c:x val="1.0655731671023301E-2"/>
                <c:y val="9.0234297900028779E-2"/>
              </c:manualLayout>
            </c:layout>
          </c:dispUnitsLbl>
        </c:dispUnits>
      </c:valAx>
      <c:spPr>
        <a:solidFill>
          <a:srgbClr val="FFFFFF"/>
        </a:solidFill>
        <a:ln w="12700">
          <a:solidFill>
            <a:schemeClr val="bg1">
              <a:lumMod val="85000"/>
            </a:schemeClr>
          </a:solidFill>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985277462219751E-2"/>
          <c:y val="1.4454849958506936E-2"/>
          <c:w val="0.53168551160804933"/>
          <c:h val="0.88553612046317431"/>
        </c:manualLayout>
      </c:layout>
      <c:pieChart>
        <c:varyColors val="1"/>
        <c:ser>
          <c:idx val="0"/>
          <c:order val="0"/>
          <c:spPr>
            <a:solidFill>
              <a:srgbClr val="9999FF"/>
            </a:solidFill>
            <a:ln w="12700">
              <a:solidFill>
                <a:schemeClr val="bg1">
                  <a:lumMod val="65000"/>
                </a:schemeClr>
              </a:solidFill>
              <a:prstDash val="solid"/>
            </a:ln>
          </c:spPr>
          <c:dPt>
            <c:idx val="0"/>
            <c:bubble3D val="0"/>
            <c:explosion val="10"/>
            <c:extLst>
              <c:ext xmlns:c16="http://schemas.microsoft.com/office/drawing/2014/chart" uri="{C3380CC4-5D6E-409C-BE32-E72D297353CC}">
                <c16:uniqueId val="{00000001-524A-4E8F-9213-F66C938815E3}"/>
              </c:ext>
            </c:extLst>
          </c:dPt>
          <c:dPt>
            <c:idx val="1"/>
            <c:bubble3D val="0"/>
            <c:explosion val="10"/>
            <c:spPr>
              <a:solidFill>
                <a:srgbClr val="993366"/>
              </a:solidFill>
              <a:ln w="12700">
                <a:solidFill>
                  <a:schemeClr val="bg1">
                    <a:lumMod val="65000"/>
                  </a:schemeClr>
                </a:solidFill>
                <a:prstDash val="solid"/>
              </a:ln>
            </c:spPr>
            <c:extLst>
              <c:ext xmlns:c16="http://schemas.microsoft.com/office/drawing/2014/chart" uri="{C3380CC4-5D6E-409C-BE32-E72D297353CC}">
                <c16:uniqueId val="{00000003-524A-4E8F-9213-F66C938815E3}"/>
              </c:ext>
            </c:extLst>
          </c:dPt>
          <c:dPt>
            <c:idx val="2"/>
            <c:bubble3D val="0"/>
            <c:explosion val="10"/>
            <c:spPr>
              <a:solidFill>
                <a:srgbClr val="FFFFCC"/>
              </a:solidFill>
              <a:ln w="12700">
                <a:solidFill>
                  <a:schemeClr val="bg1">
                    <a:lumMod val="65000"/>
                  </a:schemeClr>
                </a:solidFill>
                <a:prstDash val="solid"/>
              </a:ln>
            </c:spPr>
            <c:extLst>
              <c:ext xmlns:c16="http://schemas.microsoft.com/office/drawing/2014/chart" uri="{C3380CC4-5D6E-409C-BE32-E72D297353CC}">
                <c16:uniqueId val="{00000005-524A-4E8F-9213-F66C938815E3}"/>
              </c:ext>
            </c:extLst>
          </c:dPt>
          <c:dLbls>
            <c:dLbl>
              <c:idx val="0"/>
              <c:layout>
                <c:manualLayout>
                  <c:x val="0.14720869188633787"/>
                  <c:y val="-8.2178120615100603E-2"/>
                </c:manualLayout>
              </c:layout>
              <c:numFmt formatCode="0%" sourceLinked="0"/>
              <c:spPr>
                <a:noFill/>
                <a:ln w="25400">
                  <a:noFill/>
                </a:ln>
              </c:spPr>
              <c:txPr>
                <a:bodyPr/>
                <a:lstStyle/>
                <a:p>
                  <a:pPr>
                    <a:defRPr sz="1100" b="1" i="0" u="none" strike="noStrike" baseline="0">
                      <a:solidFill>
                        <a:schemeClr val="bg1"/>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4A-4E8F-9213-F66C938815E3}"/>
                </c:ext>
              </c:extLst>
            </c:dLbl>
            <c:dLbl>
              <c:idx val="1"/>
              <c:layout>
                <c:manualLayout>
                  <c:x val="-0.22014944719425619"/>
                  <c:y val="0.14087037968660196"/>
                </c:manualLayout>
              </c:layout>
              <c:spPr>
                <a:noFill/>
                <a:ln w="25400">
                  <a:noFill/>
                </a:ln>
                <a:effectLst/>
              </c:spPr>
              <c:txPr>
                <a:bodyPr wrap="square" lIns="38100" tIns="19050" rIns="38100" bIns="19050" anchor="ctr">
                  <a:spAutoFit/>
                </a:bodyPr>
                <a:lstStyle/>
                <a:p>
                  <a:pPr>
                    <a:defRPr sz="1100" b="1" i="0" u="none" strike="noStrike" baseline="0">
                      <a:solidFill>
                        <a:schemeClr val="bg1"/>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4A-4E8F-9213-F66C938815E3}"/>
                </c:ext>
              </c:extLst>
            </c:dLbl>
            <c:dLbl>
              <c:idx val="2"/>
              <c:layout>
                <c:manualLayout>
                  <c:x val="-4.2098473881378093E-2"/>
                  <c:y val="-2.900931193179945E-3"/>
                </c:manualLayout>
              </c:layout>
              <c:numFmt formatCode="0%" sourceLinked="0"/>
              <c:spPr>
                <a:noFill/>
                <a:ln w="25400">
                  <a:noFill/>
                </a:ln>
              </c:spPr>
              <c:txPr>
                <a:bodyPr/>
                <a:lstStyle/>
                <a:p>
                  <a:pPr>
                    <a:defRPr sz="1100" b="1" i="0" u="none" strike="noStrike" baseline="0">
                      <a:solidFill>
                        <a:schemeClr val="bg1">
                          <a:lumMod val="50000"/>
                        </a:schemeClr>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648657963507142"/>
                      <c:h val="0.21411029271599682"/>
                    </c:manualLayout>
                  </c15:layout>
                </c:ext>
                <c:ext xmlns:c16="http://schemas.microsoft.com/office/drawing/2014/chart" uri="{C3380CC4-5D6E-409C-BE32-E72D297353CC}">
                  <c16:uniqueId val="{00000005-524A-4E8F-9213-F66C938815E3}"/>
                </c:ext>
              </c:extLst>
            </c:dLbl>
            <c:numFmt formatCode="0%" sourceLinked="0"/>
            <c:spPr>
              <a:noFill/>
              <a:ln w="25400">
                <a:noFill/>
              </a:ln>
            </c:spPr>
            <c:txPr>
              <a:bodyPr/>
              <a:lstStyle/>
              <a:p>
                <a:pPr>
                  <a:defRPr sz="1100" b="1"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'1.3'!$D$5:$F$5</c:f>
              <c:strCache>
                <c:ptCount val="3"/>
                <c:pt idx="0">
                  <c:v>Single 
Returns</c:v>
                </c:pt>
                <c:pt idx="1">
                  <c:v>Married 
Filing Joint </c:v>
                </c:pt>
                <c:pt idx="2">
                  <c:v>Married 
Filing Separately </c:v>
                </c:pt>
              </c:strCache>
            </c:strRef>
          </c:cat>
          <c:val>
            <c:numRef>
              <c:f>'1.3'!$D$31:$F$31</c:f>
              <c:numCache>
                <c:formatCode>#,##0</c:formatCode>
                <c:ptCount val="3"/>
                <c:pt idx="0">
                  <c:v>2490869</c:v>
                </c:pt>
                <c:pt idx="1">
                  <c:v>1518187</c:v>
                </c:pt>
                <c:pt idx="2">
                  <c:v>175555</c:v>
                </c:pt>
              </c:numCache>
            </c:numRef>
          </c:val>
          <c:extLst>
            <c:ext xmlns:c16="http://schemas.microsoft.com/office/drawing/2014/chart" uri="{C3380CC4-5D6E-409C-BE32-E72D297353CC}">
              <c16:uniqueId val="{00000006-524A-4E8F-9213-F66C938815E3}"/>
            </c:ext>
          </c:extLst>
        </c:ser>
        <c:dLbls>
          <c:showLegendKey val="0"/>
          <c:showVal val="0"/>
          <c:showCatName val="1"/>
          <c:showSerName val="0"/>
          <c:showPercent val="1"/>
          <c:showBubbleSize val="0"/>
          <c:showLeaderLines val="0"/>
        </c:dLbls>
        <c:firstSliceAng val="150"/>
      </c:pieChart>
    </c:plotArea>
    <c:plotVisOnly val="1"/>
    <c:dispBlanksAs val="zero"/>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001402380956115E-2"/>
          <c:y val="4.903390371637701E-2"/>
          <c:w val="0.67610331649654765"/>
          <c:h val="0.84744970293076305"/>
        </c:manualLayout>
      </c:layout>
      <c:pieChart>
        <c:varyColors val="1"/>
        <c:ser>
          <c:idx val="0"/>
          <c:order val="0"/>
          <c:spPr>
            <a:solidFill>
              <a:srgbClr val="9999FF"/>
            </a:solidFill>
            <a:ln w="12700">
              <a:solidFill>
                <a:schemeClr val="bg1">
                  <a:lumMod val="65000"/>
                </a:schemeClr>
              </a:solidFill>
              <a:prstDash val="solid"/>
            </a:ln>
          </c:spPr>
          <c:explosion val="10"/>
          <c:dPt>
            <c:idx val="1"/>
            <c:bubble3D val="0"/>
            <c:spPr>
              <a:solidFill>
                <a:srgbClr val="993366"/>
              </a:solidFill>
              <a:ln w="12700">
                <a:solidFill>
                  <a:schemeClr val="bg1">
                    <a:lumMod val="65000"/>
                  </a:schemeClr>
                </a:solidFill>
                <a:prstDash val="solid"/>
              </a:ln>
            </c:spPr>
            <c:extLst>
              <c:ext xmlns:c16="http://schemas.microsoft.com/office/drawing/2014/chart" uri="{C3380CC4-5D6E-409C-BE32-E72D297353CC}">
                <c16:uniqueId val="{00000001-CE55-47D9-B13A-2583F3984488}"/>
              </c:ext>
            </c:extLst>
          </c:dPt>
          <c:dPt>
            <c:idx val="2"/>
            <c:bubble3D val="0"/>
            <c:spPr>
              <a:solidFill>
                <a:srgbClr val="FFFFCC"/>
              </a:solidFill>
              <a:ln w="12700">
                <a:solidFill>
                  <a:schemeClr val="bg1">
                    <a:lumMod val="65000"/>
                  </a:schemeClr>
                </a:solidFill>
                <a:prstDash val="solid"/>
              </a:ln>
            </c:spPr>
            <c:extLst>
              <c:ext xmlns:c16="http://schemas.microsoft.com/office/drawing/2014/chart" uri="{C3380CC4-5D6E-409C-BE32-E72D297353CC}">
                <c16:uniqueId val="{00000003-CE55-47D9-B13A-2583F3984488}"/>
              </c:ext>
            </c:extLst>
          </c:dPt>
          <c:dPt>
            <c:idx val="3"/>
            <c:bubble3D val="0"/>
            <c:spPr>
              <a:solidFill>
                <a:srgbClr val="CCFFFF"/>
              </a:solidFill>
              <a:ln w="12700">
                <a:solidFill>
                  <a:schemeClr val="bg1">
                    <a:lumMod val="65000"/>
                  </a:schemeClr>
                </a:solidFill>
                <a:prstDash val="solid"/>
              </a:ln>
            </c:spPr>
            <c:extLst>
              <c:ext xmlns:c16="http://schemas.microsoft.com/office/drawing/2014/chart" uri="{C3380CC4-5D6E-409C-BE32-E72D297353CC}">
                <c16:uniqueId val="{00000005-CE55-47D9-B13A-2583F3984488}"/>
              </c:ext>
            </c:extLst>
          </c:dPt>
          <c:dLbls>
            <c:dLbl>
              <c:idx val="0"/>
              <c:layout>
                <c:manualLayout>
                  <c:x val="0.12720782591299817"/>
                  <c:y val="-0.14733814226357808"/>
                </c:manualLayout>
              </c:layout>
              <c:numFmt formatCode="0.0%" sourceLinked="0"/>
              <c:spPr>
                <a:noFill/>
                <a:ln w="25400">
                  <a:noFill/>
                </a:ln>
              </c:spPr>
              <c:txPr>
                <a:bodyPr/>
                <a:lstStyle/>
                <a:p>
                  <a:pPr>
                    <a:defRPr sz="1050" b="1" i="0" u="none" strike="noStrike" baseline="0">
                      <a:solidFill>
                        <a:schemeClr val="bg1"/>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E55-47D9-B13A-2583F3984488}"/>
                </c:ext>
              </c:extLst>
            </c:dLbl>
            <c:dLbl>
              <c:idx val="1"/>
              <c:layout>
                <c:manualLayout>
                  <c:x val="-0.17872516402368641"/>
                  <c:y val="0.18596486498856732"/>
                </c:manualLayout>
              </c:layout>
              <c:numFmt formatCode="0.0%" sourceLinked="0"/>
              <c:spPr>
                <a:noFill/>
                <a:ln w="25400">
                  <a:noFill/>
                </a:ln>
                <a:effectLst/>
              </c:spPr>
              <c:txPr>
                <a:bodyPr wrap="square" lIns="38100" tIns="19050" rIns="38100" bIns="19050" anchor="ctr">
                  <a:spAutoFit/>
                </a:bodyPr>
                <a:lstStyle/>
                <a:p>
                  <a:pPr>
                    <a:defRPr sz="1050" b="1" i="0" u="none" strike="noStrike" baseline="0">
                      <a:solidFill>
                        <a:schemeClr val="bg1"/>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E55-47D9-B13A-2583F3984488}"/>
                </c:ext>
              </c:extLst>
            </c:dLbl>
            <c:dLbl>
              <c:idx val="2"/>
              <c:layout>
                <c:manualLayout>
                  <c:x val="-0.16014608060285354"/>
                  <c:y val="-6.943998679130679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E55-47D9-B13A-2583F3984488}"/>
                </c:ext>
              </c:extLst>
            </c:dLbl>
            <c:dLbl>
              <c:idx val="3"/>
              <c:layout>
                <c:manualLayout>
                  <c:x val="-6.6195741466366267E-2"/>
                  <c:y val="1.01261031463028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E55-47D9-B13A-2583F3984488}"/>
                </c:ext>
              </c:extLst>
            </c:dLbl>
            <c:numFmt formatCode="0.0%" sourceLinked="0"/>
            <c:spPr>
              <a:noFill/>
              <a:ln w="25400">
                <a:noFill/>
              </a:ln>
            </c:spPr>
            <c:txPr>
              <a:bodyPr/>
              <a:lstStyle/>
              <a:p>
                <a:pPr>
                  <a:defRPr sz="1050" b="1" i="0" u="none" strike="noStrike" baseline="0">
                    <a:solidFill>
                      <a:schemeClr val="bg1">
                        <a:lumMod val="50000"/>
                      </a:schemeClr>
                    </a:solidFill>
                    <a:latin typeface="Arial"/>
                    <a:ea typeface="Arial"/>
                    <a:cs typeface="Aria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'1.4'!$E$5:$H$5</c:f>
              <c:strCache>
                <c:ptCount val="4"/>
                <c:pt idx="0">
                  <c:v>Personal</c:v>
                </c:pt>
                <c:pt idx="1">
                  <c:v>Dependent</c:v>
                </c:pt>
                <c:pt idx="2">
                  <c:v>Age</c:v>
                </c:pt>
                <c:pt idx="3">
                  <c:v>Blindness</c:v>
                </c:pt>
              </c:strCache>
            </c:strRef>
          </c:cat>
          <c:val>
            <c:numRef>
              <c:f>'1.4'!$E$31:$H$31</c:f>
              <c:numCache>
                <c:formatCode>#,##0</c:formatCode>
                <c:ptCount val="4"/>
                <c:pt idx="0">
                  <c:v>5712396</c:v>
                </c:pt>
                <c:pt idx="1">
                  <c:v>2231536</c:v>
                </c:pt>
                <c:pt idx="2">
                  <c:v>1139708</c:v>
                </c:pt>
                <c:pt idx="3">
                  <c:v>8716</c:v>
                </c:pt>
              </c:numCache>
            </c:numRef>
          </c:val>
          <c:extLst>
            <c:ext xmlns:c16="http://schemas.microsoft.com/office/drawing/2014/chart" uri="{C3380CC4-5D6E-409C-BE32-E72D297353CC}">
              <c16:uniqueId val="{00000007-CE55-47D9-B13A-2583F3984488}"/>
            </c:ext>
          </c:extLst>
        </c:ser>
        <c:dLbls>
          <c:showLegendKey val="0"/>
          <c:showVal val="0"/>
          <c:showCatName val="1"/>
          <c:showSerName val="0"/>
          <c:showPercent val="1"/>
          <c:showBubbleSize val="0"/>
          <c:showLeaderLines val="0"/>
        </c:dLbls>
        <c:firstSliceAng val="133"/>
      </c:pieChart>
    </c:plotArea>
    <c:plotVisOnly val="1"/>
    <c:dispBlanksAs val="zero"/>
    <c:showDLblsOverMax val="0"/>
  </c:chart>
  <c:spPr>
    <a:solidFill>
      <a:srgbClr val="FFFFFF"/>
    </a:solidFill>
    <a:ln w="9525">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Refund Match Totals</a:t>
            </a:r>
          </a:p>
        </c:rich>
      </c:tx>
      <c:layout>
        <c:manualLayout>
          <c:xMode val="edge"/>
          <c:yMode val="edge"/>
          <c:x val="0.37048657703960636"/>
          <c:y val="4.1485746924121531E-3"/>
        </c:manualLayout>
      </c:layout>
      <c:overlay val="0"/>
      <c:spPr>
        <a:noFill/>
        <a:ln w="25400">
          <a:noFill/>
        </a:ln>
      </c:spPr>
    </c:title>
    <c:autoTitleDeleted val="0"/>
    <c:plotArea>
      <c:layout>
        <c:manualLayout>
          <c:layoutTarget val="inner"/>
          <c:xMode val="edge"/>
          <c:yMode val="edge"/>
          <c:x val="0.10323210201618688"/>
          <c:y val="9.4760952808360097E-2"/>
          <c:w val="0.87008042804938779"/>
          <c:h val="0.76004204137695242"/>
        </c:manualLayout>
      </c:layout>
      <c:barChart>
        <c:barDir val="col"/>
        <c:grouping val="clustered"/>
        <c:varyColors val="0"/>
        <c:ser>
          <c:idx val="1"/>
          <c:order val="0"/>
          <c:tx>
            <c:strRef>
              <c:f>'1.8-1.9'!$C$28</c:f>
              <c:strCache>
                <c:ptCount val="1"/>
                <c:pt idx="0">
                  <c:v>Total</c:v>
                </c:pt>
              </c:strCache>
            </c:strRef>
          </c:tx>
          <c:spPr>
            <a:solidFill>
              <a:srgbClr val="993366"/>
            </a:solidFill>
            <a:ln w="12700">
              <a:noFill/>
              <a:prstDash val="solid"/>
            </a:ln>
          </c:spPr>
          <c:invertIfNegative val="0"/>
          <c:dLbls>
            <c:numFmt formatCode="&quot;$&quot;#,##0.0" sourceLinked="0"/>
            <c:spPr>
              <a:solidFill>
                <a:schemeClr val="bg1"/>
              </a:solidFill>
              <a:ln>
                <a:noFill/>
              </a:ln>
              <a:effectLst/>
            </c:spPr>
            <c:txPr>
              <a:bodyPr wrap="square" lIns="38100" tIns="19050" rIns="38100" bIns="19050" anchor="ctr">
                <a:spAutoFit/>
              </a:bodyPr>
              <a:lstStyle/>
              <a:p>
                <a:pPr>
                  <a:defRPr>
                    <a:solidFill>
                      <a:schemeClr val="tx1">
                        <a:lumMod val="75000"/>
                        <a:lumOff val="25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'1.8-1.9'!$B$30:$B$40</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'1.8-1.9'!$C$30:$C$40</c:f>
              <c:numCache>
                <c:formatCode>#,##0</c:formatCode>
                <c:ptCount val="11"/>
                <c:pt idx="0">
                  <c:v>17368776.620000001</c:v>
                </c:pt>
                <c:pt idx="1">
                  <c:v>18211926.469999999</c:v>
                </c:pt>
                <c:pt idx="2">
                  <c:v>19469019.920000002</c:v>
                </c:pt>
                <c:pt idx="3">
                  <c:v>19206043.66</c:v>
                </c:pt>
                <c:pt idx="4">
                  <c:v>16359793.289999999</c:v>
                </c:pt>
                <c:pt idx="5">
                  <c:v>17431562.34</c:v>
                </c:pt>
                <c:pt idx="6">
                  <c:v>16204019.57</c:v>
                </c:pt>
                <c:pt idx="7">
                  <c:v>17428289.379999999</c:v>
                </c:pt>
                <c:pt idx="8">
                  <c:v>18570711.949999999</c:v>
                </c:pt>
                <c:pt idx="9">
                  <c:v>19281706.66</c:v>
                </c:pt>
                <c:pt idx="10">
                  <c:v>27012720.899999999</c:v>
                </c:pt>
              </c:numCache>
            </c:numRef>
          </c:val>
          <c:extLst>
            <c:ext xmlns:c16="http://schemas.microsoft.com/office/drawing/2014/chart" uri="{C3380CC4-5D6E-409C-BE32-E72D297353CC}">
              <c16:uniqueId val="{00000000-9B35-46B5-9661-4A35C994072E}"/>
            </c:ext>
          </c:extLst>
        </c:ser>
        <c:dLbls>
          <c:showLegendKey val="0"/>
          <c:showVal val="0"/>
          <c:showCatName val="0"/>
          <c:showSerName val="0"/>
          <c:showPercent val="0"/>
          <c:showBubbleSize val="0"/>
        </c:dLbls>
        <c:gapWidth val="75"/>
        <c:axId val="80388096"/>
        <c:axId val="80390016"/>
      </c:barChart>
      <c:catAx>
        <c:axId val="80388096"/>
        <c:scaling>
          <c:orientation val="minMax"/>
        </c:scaling>
        <c:delete val="0"/>
        <c:axPos val="b"/>
        <c:title>
          <c:tx>
            <c:rich>
              <a:bodyPr/>
              <a:lstStyle/>
              <a:p>
                <a:pPr>
                  <a:defRPr sz="850" b="1" i="0" u="none" strike="noStrike" baseline="0">
                    <a:solidFill>
                      <a:srgbClr val="000000"/>
                    </a:solidFill>
                    <a:latin typeface="Arial"/>
                    <a:ea typeface="Arial"/>
                    <a:cs typeface="Arial"/>
                  </a:defRPr>
                </a:pPr>
                <a:r>
                  <a:rPr lang="en-US"/>
                  <a:t>Tax Year</a:t>
                </a:r>
              </a:p>
            </c:rich>
          </c:tx>
          <c:layout>
            <c:manualLayout>
              <c:xMode val="edge"/>
              <c:yMode val="edge"/>
              <c:x val="0.4833272147251691"/>
              <c:y val="0.92529107436699942"/>
            </c:manualLayout>
          </c:layout>
          <c:overlay val="0"/>
          <c:spPr>
            <a:noFill/>
            <a:ln w="25400">
              <a:noFill/>
            </a:ln>
          </c:spPr>
        </c:title>
        <c:numFmt formatCode="General" sourceLinked="1"/>
        <c:majorTickMark val="out"/>
        <c:minorTickMark val="none"/>
        <c:tickLblPos val="low"/>
        <c:spPr>
          <a:ln w="3175">
            <a:solidFill>
              <a:schemeClr val="bg1">
                <a:lumMod val="50000"/>
              </a:schemeClr>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80390016"/>
        <c:crosses val="autoZero"/>
        <c:auto val="1"/>
        <c:lblAlgn val="ctr"/>
        <c:lblOffset val="100"/>
        <c:noMultiLvlLbl val="0"/>
      </c:catAx>
      <c:valAx>
        <c:axId val="80390016"/>
        <c:scaling>
          <c:orientation val="minMax"/>
        </c:scaling>
        <c:delete val="0"/>
        <c:axPos val="l"/>
        <c:majorGridlines>
          <c:spPr>
            <a:ln w="3175">
              <a:solidFill>
                <a:schemeClr val="bg1">
                  <a:lumMod val="85000"/>
                </a:schemeClr>
              </a:solidFill>
              <a:prstDash val="dash"/>
            </a:ln>
          </c:spPr>
        </c:majorGridlines>
        <c:numFmt formatCode="&quot;$&quot;#,##0" sourceLinked="0"/>
        <c:majorTickMark val="out"/>
        <c:minorTickMark val="none"/>
        <c:tickLblPos val="nextTo"/>
        <c:spPr>
          <a:ln w="3175">
            <a:solidFill>
              <a:schemeClr val="bg1">
                <a:lumMod val="50000"/>
              </a:schemeClr>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80388096"/>
        <c:crosses val="autoZero"/>
        <c:crossBetween val="between"/>
        <c:dispUnits>
          <c:builtInUnit val="millions"/>
          <c:dispUnitsLbl>
            <c:layout>
              <c:manualLayout>
                <c:xMode val="edge"/>
                <c:yMode val="edge"/>
                <c:x val="7.4052037707505215E-3"/>
                <c:y val="0.19345327947996141"/>
              </c:manualLayout>
            </c:layout>
          </c:dispUnitsLbl>
        </c:dispUnits>
      </c:valAx>
      <c:spPr>
        <a:solidFill>
          <a:srgbClr val="FFFFFF"/>
        </a:solidFill>
        <a:ln w="12700">
          <a:solidFill>
            <a:schemeClr val="bg1">
              <a:lumMod val="85000"/>
            </a:schemeClr>
          </a:solidFill>
        </a:ln>
      </c:spPr>
    </c:plotArea>
    <c:plotVisOnly val="1"/>
    <c:dispBlanksAs val="gap"/>
    <c:showDLblsOverMax val="0"/>
  </c:chart>
  <c:spPr>
    <a:solidFill>
      <a:srgbClr val="FFFFFF"/>
    </a:solidFill>
    <a:ln w="9525">
      <a:noFill/>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Corporate Income Tax Collections</a:t>
            </a:r>
          </a:p>
        </c:rich>
      </c:tx>
      <c:layout>
        <c:manualLayout>
          <c:xMode val="edge"/>
          <c:yMode val="edge"/>
          <c:x val="0.2828715450933188"/>
          <c:y val="6.8093790066523002E-3"/>
        </c:manualLayout>
      </c:layout>
      <c:overlay val="0"/>
      <c:spPr>
        <a:noFill/>
        <a:ln w="25400">
          <a:noFill/>
        </a:ln>
      </c:spPr>
    </c:title>
    <c:autoTitleDeleted val="0"/>
    <c:plotArea>
      <c:layout>
        <c:manualLayout>
          <c:layoutTarget val="inner"/>
          <c:xMode val="edge"/>
          <c:yMode val="edge"/>
          <c:x val="0.10279029337810965"/>
          <c:y val="9.1568963086775298E-2"/>
          <c:w val="0.87187598319192328"/>
          <c:h val="0.7878735084419356"/>
        </c:manualLayout>
      </c:layout>
      <c:barChart>
        <c:barDir val="col"/>
        <c:grouping val="clustered"/>
        <c:varyColors val="0"/>
        <c:ser>
          <c:idx val="0"/>
          <c:order val="0"/>
          <c:tx>
            <c:strRef>
              <c:f>'2.1'!$D$4</c:f>
              <c:strCache>
                <c:ptCount val="1"/>
                <c:pt idx="0">
                  <c:v>Amount</c:v>
                </c:pt>
              </c:strCache>
            </c:strRef>
          </c:tx>
          <c:spPr>
            <a:solidFill>
              <a:srgbClr val="9999FF"/>
            </a:solidFill>
            <a:ln w="12700">
              <a:solidFill>
                <a:schemeClr val="bg1">
                  <a:lumMod val="65000"/>
                </a:schemeClr>
              </a:solidFill>
              <a:prstDash val="solid"/>
            </a:ln>
          </c:spPr>
          <c:invertIfNegative val="0"/>
          <c:dLbls>
            <c:numFmt formatCode="&quot;$&quot;#,##0_);\(&quot;$&quot;#,##0\)" sourceLinked="0"/>
            <c:spPr>
              <a:solidFill>
                <a:schemeClr val="bg1"/>
              </a:solidFill>
              <a:ln>
                <a:noFill/>
              </a:ln>
              <a:effectLst/>
            </c:spPr>
            <c:txPr>
              <a:bodyPr wrap="square" lIns="38100" tIns="19050" rIns="38100" bIns="19050" anchor="ctr">
                <a:spAutoFit/>
              </a:bodyPr>
              <a:lstStyle/>
              <a:p>
                <a:pPr>
                  <a:defRPr sz="1050">
                    <a:solidFill>
                      <a:schemeClr val="tx1">
                        <a:lumMod val="65000"/>
                        <a:lumOff val="35000"/>
                      </a:schemeClr>
                    </a:solidFill>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'2.1'!$A$10:$A$19</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'2.1'!$D$10:$D$19</c:f>
              <c:numCache>
                <c:formatCode>#,##0</c:formatCode>
                <c:ptCount val="10"/>
                <c:pt idx="0">
                  <c:v>831906887.15999985</c:v>
                </c:pt>
                <c:pt idx="1">
                  <c:v>764948013.7700001</c:v>
                </c:pt>
                <c:pt idx="2">
                  <c:v>826960822.31000006</c:v>
                </c:pt>
                <c:pt idx="3">
                  <c:v>861897138.17999983</c:v>
                </c:pt>
                <c:pt idx="4">
                  <c:v>943390660.94999993</c:v>
                </c:pt>
                <c:pt idx="5">
                  <c:v>1011649618.0699999</c:v>
                </c:pt>
                <c:pt idx="6">
                  <c:v>1515692110.6500001</c:v>
                </c:pt>
                <c:pt idx="7">
                  <c:v>1978697205.29</c:v>
                </c:pt>
                <c:pt idx="8">
                  <c:v>2031120170.5999999</c:v>
                </c:pt>
                <c:pt idx="9">
                  <c:v>1907065381.2499995</c:v>
                </c:pt>
              </c:numCache>
            </c:numRef>
          </c:val>
          <c:extLst>
            <c:ext xmlns:c16="http://schemas.microsoft.com/office/drawing/2014/chart" uri="{C3380CC4-5D6E-409C-BE32-E72D297353CC}">
              <c16:uniqueId val="{00000000-715C-42C7-B77B-1C3EF491EC81}"/>
            </c:ext>
          </c:extLst>
        </c:ser>
        <c:dLbls>
          <c:showLegendKey val="0"/>
          <c:showVal val="0"/>
          <c:showCatName val="0"/>
          <c:showSerName val="0"/>
          <c:showPercent val="0"/>
          <c:showBubbleSize val="0"/>
        </c:dLbls>
        <c:gapWidth val="75"/>
        <c:axId val="80448512"/>
        <c:axId val="80454784"/>
      </c:barChart>
      <c:catAx>
        <c:axId val="8044851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Fiscal Year</a:t>
                </a:r>
              </a:p>
            </c:rich>
          </c:tx>
          <c:layout>
            <c:manualLayout>
              <c:xMode val="edge"/>
              <c:yMode val="edge"/>
              <c:x val="0.47582507784982475"/>
              <c:y val="0.94411302387016272"/>
            </c:manualLayout>
          </c:layout>
          <c:overlay val="0"/>
          <c:spPr>
            <a:noFill/>
            <a:ln w="25400">
              <a:noFill/>
            </a:ln>
          </c:spPr>
        </c:title>
        <c:numFmt formatCode="General" sourceLinked="1"/>
        <c:majorTickMark val="out"/>
        <c:minorTickMark val="none"/>
        <c:tickLblPos val="low"/>
        <c:spPr>
          <a:ln w="3175">
            <a:solidFill>
              <a:schemeClr val="bg1">
                <a:lumMod val="65000"/>
              </a:schemeClr>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454784"/>
        <c:crosses val="autoZero"/>
        <c:auto val="1"/>
        <c:lblAlgn val="ctr"/>
        <c:lblOffset val="100"/>
        <c:noMultiLvlLbl val="0"/>
      </c:catAx>
      <c:valAx>
        <c:axId val="80454784"/>
        <c:scaling>
          <c:orientation val="minMax"/>
          <c:max val="2300000000"/>
          <c:min val="0"/>
        </c:scaling>
        <c:delete val="0"/>
        <c:axPos val="l"/>
        <c:majorGridlines>
          <c:spPr>
            <a:ln w="3175">
              <a:solidFill>
                <a:schemeClr val="bg1">
                  <a:lumMod val="75000"/>
                </a:schemeClr>
              </a:solidFill>
              <a:prstDash val="dash"/>
            </a:ln>
          </c:spPr>
        </c:majorGridlines>
        <c:title>
          <c:tx>
            <c:rich>
              <a:bodyPr/>
              <a:lstStyle/>
              <a:p>
                <a:pPr>
                  <a:defRPr sz="1000" b="1" i="0" u="none" strike="noStrike" baseline="0">
                    <a:solidFill>
                      <a:srgbClr val="000000"/>
                    </a:solidFill>
                    <a:latin typeface="Arial"/>
                    <a:ea typeface="Arial"/>
                    <a:cs typeface="Arial"/>
                  </a:defRPr>
                </a:pPr>
                <a:r>
                  <a:rPr lang="en-US"/>
                  <a:t>Millions</a:t>
                </a:r>
              </a:p>
            </c:rich>
          </c:tx>
          <c:layout>
            <c:manualLayout>
              <c:xMode val="edge"/>
              <c:yMode val="edge"/>
              <c:x val="1.9401435824382956E-3"/>
              <c:y val="0.17325082279450932"/>
            </c:manualLayout>
          </c:layout>
          <c:overlay val="0"/>
          <c:spPr>
            <a:noFill/>
            <a:ln w="25400">
              <a:noFill/>
            </a:ln>
          </c:spPr>
        </c:title>
        <c:numFmt formatCode="#,##0" sourceLinked="1"/>
        <c:majorTickMark val="out"/>
        <c:minorTickMark val="none"/>
        <c:tickLblPos val="nextTo"/>
        <c:spPr>
          <a:ln w="3175">
            <a:solidFill>
              <a:schemeClr val="bg1">
                <a:lumMod val="65000"/>
              </a:schemeClr>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80448512"/>
        <c:crosses val="autoZero"/>
        <c:crossBetween val="between"/>
        <c:dispUnits>
          <c:builtInUnit val="millions"/>
        </c:dispUnits>
      </c:valAx>
      <c:spPr>
        <a:solidFill>
          <a:srgbClr val="FFFFFF"/>
        </a:solidFill>
        <a:ln w="12700">
          <a:solidFill>
            <a:schemeClr val="bg1">
              <a:lumMod val="85000"/>
            </a:schemeClr>
          </a:solidFill>
          <a:prstDash val="solid"/>
        </a:ln>
      </c:spPr>
    </c:plotArea>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317060</xdr:colOff>
      <xdr:row>22</xdr:row>
      <xdr:rowOff>159878</xdr:rowOff>
    </xdr:from>
    <xdr:to>
      <xdr:col>22</xdr:col>
      <xdr:colOff>490273</xdr:colOff>
      <xdr:row>41</xdr:row>
      <xdr:rowOff>95438</xdr:rowOff>
    </xdr:to>
    <xdr:graphicFrame macro="">
      <xdr:nvGraphicFramePr>
        <xdr:cNvPr id="2432" name="Chart 2">
          <a:extLst>
            <a:ext uri="{FF2B5EF4-FFF2-40B4-BE49-F238E27FC236}">
              <a16:creationId xmlns:a16="http://schemas.microsoft.com/office/drawing/2014/main" id="{00000000-0008-0000-0200-0000800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314854</xdr:colOff>
      <xdr:row>0</xdr:row>
      <xdr:rowOff>84667</xdr:rowOff>
    </xdr:from>
    <xdr:to>
      <xdr:col>23</xdr:col>
      <xdr:colOff>23812</xdr:colOff>
      <xdr:row>21</xdr:row>
      <xdr:rowOff>81492</xdr:rowOff>
    </xdr:to>
    <xdr:graphicFrame macro="">
      <xdr:nvGraphicFramePr>
        <xdr:cNvPr id="2431" name="Chart 1">
          <a:extLst>
            <a:ext uri="{FF2B5EF4-FFF2-40B4-BE49-F238E27FC236}">
              <a16:creationId xmlns:a16="http://schemas.microsoft.com/office/drawing/2014/main" id="{00000000-0008-0000-0200-00007F09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278130</xdr:colOff>
      <xdr:row>33</xdr:row>
      <xdr:rowOff>52917</xdr:rowOff>
    </xdr:from>
    <xdr:to>
      <xdr:col>13</xdr:col>
      <xdr:colOff>582083</xdr:colOff>
      <xdr:row>55</xdr:row>
      <xdr:rowOff>10583</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215899</xdr:colOff>
      <xdr:row>30</xdr:row>
      <xdr:rowOff>63500</xdr:rowOff>
    </xdr:from>
    <xdr:to>
      <xdr:col>6</xdr:col>
      <xdr:colOff>142874</xdr:colOff>
      <xdr:row>47</xdr:row>
      <xdr:rowOff>57150</xdr:rowOff>
    </xdr:to>
    <xdr:graphicFrame macro="">
      <xdr:nvGraphicFramePr>
        <xdr:cNvPr id="139439" name="Chart 1">
          <a:extLst>
            <a:ext uri="{FF2B5EF4-FFF2-40B4-BE49-F238E27FC236}">
              <a16:creationId xmlns:a16="http://schemas.microsoft.com/office/drawing/2014/main" id="{00000000-0008-0000-1800-0000AF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18</xdr:col>
      <xdr:colOff>53340</xdr:colOff>
      <xdr:row>192</xdr:row>
      <xdr:rowOff>83820</xdr:rowOff>
    </xdr:from>
    <xdr:to>
      <xdr:col>18</xdr:col>
      <xdr:colOff>266700</xdr:colOff>
      <xdr:row>192</xdr:row>
      <xdr:rowOff>83820</xdr:rowOff>
    </xdr:to>
    <xdr:sp macro="" textlink="">
      <xdr:nvSpPr>
        <xdr:cNvPr id="2" name="Line 1">
          <a:extLst>
            <a:ext uri="{FF2B5EF4-FFF2-40B4-BE49-F238E27FC236}">
              <a16:creationId xmlns:a16="http://schemas.microsoft.com/office/drawing/2014/main" id="{00000000-0008-0000-1F00-000002000000}"/>
            </a:ext>
          </a:extLst>
        </xdr:cNvPr>
        <xdr:cNvSpPr>
          <a:spLocks noChangeShapeType="1"/>
        </xdr:cNvSpPr>
      </xdr:nvSpPr>
      <xdr:spPr bwMode="auto">
        <a:xfrm flipH="1">
          <a:off x="16693515" y="28515945"/>
          <a:ext cx="213360" cy="0"/>
        </a:xfrm>
        <a:prstGeom prst="line">
          <a:avLst/>
        </a:prstGeom>
        <a:noFill/>
        <a:ln w="9525">
          <a:solidFill>
            <a:srgbClr val="000000"/>
          </a:solidFill>
          <a:round/>
          <a:headEnd/>
          <a:tailEnd type="triangle" w="med" len="med"/>
        </a:ln>
      </xdr:spPr>
    </xdr:sp>
    <xdr:clientData/>
  </xdr:twoCellAnchor>
  <xdr:twoCellAnchor>
    <xdr:from>
      <xdr:col>18</xdr:col>
      <xdr:colOff>53340</xdr:colOff>
      <xdr:row>195</xdr:row>
      <xdr:rowOff>76200</xdr:rowOff>
    </xdr:from>
    <xdr:to>
      <xdr:col>18</xdr:col>
      <xdr:colOff>274320</xdr:colOff>
      <xdr:row>195</xdr:row>
      <xdr:rowOff>76200</xdr:rowOff>
    </xdr:to>
    <xdr:sp macro="" textlink="">
      <xdr:nvSpPr>
        <xdr:cNvPr id="3" name="Line 2">
          <a:extLst>
            <a:ext uri="{FF2B5EF4-FFF2-40B4-BE49-F238E27FC236}">
              <a16:creationId xmlns:a16="http://schemas.microsoft.com/office/drawing/2014/main" id="{00000000-0008-0000-1F00-000003000000}"/>
            </a:ext>
          </a:extLst>
        </xdr:cNvPr>
        <xdr:cNvSpPr>
          <a:spLocks noChangeShapeType="1"/>
        </xdr:cNvSpPr>
      </xdr:nvSpPr>
      <xdr:spPr bwMode="auto">
        <a:xfrm flipH="1">
          <a:off x="16693515" y="28984575"/>
          <a:ext cx="220980" cy="0"/>
        </a:xfrm>
        <a:prstGeom prst="line">
          <a:avLst/>
        </a:prstGeom>
        <a:noFill/>
        <a:ln w="9525">
          <a:solidFill>
            <a:srgbClr val="000000"/>
          </a:solidFill>
          <a:round/>
          <a:headEnd/>
          <a:tailEnd type="triangle" w="med" len="med"/>
        </a:ln>
      </xdr:spPr>
    </xdr:sp>
    <xdr:clientData/>
  </xdr:twoCellAnchor>
  <xdr:twoCellAnchor>
    <xdr:from>
      <xdr:col>18</xdr:col>
      <xdr:colOff>53340</xdr:colOff>
      <xdr:row>192</xdr:row>
      <xdr:rowOff>83820</xdr:rowOff>
    </xdr:from>
    <xdr:to>
      <xdr:col>18</xdr:col>
      <xdr:colOff>266700</xdr:colOff>
      <xdr:row>192</xdr:row>
      <xdr:rowOff>83820</xdr:rowOff>
    </xdr:to>
    <xdr:sp macro="" textlink="">
      <xdr:nvSpPr>
        <xdr:cNvPr id="4" name="Line 3">
          <a:extLst>
            <a:ext uri="{FF2B5EF4-FFF2-40B4-BE49-F238E27FC236}">
              <a16:creationId xmlns:a16="http://schemas.microsoft.com/office/drawing/2014/main" id="{00000000-0008-0000-1F00-000004000000}"/>
            </a:ext>
          </a:extLst>
        </xdr:cNvPr>
        <xdr:cNvSpPr>
          <a:spLocks noChangeShapeType="1"/>
        </xdr:cNvSpPr>
      </xdr:nvSpPr>
      <xdr:spPr bwMode="auto">
        <a:xfrm flipH="1">
          <a:off x="16693515" y="28515945"/>
          <a:ext cx="213360" cy="0"/>
        </a:xfrm>
        <a:prstGeom prst="line">
          <a:avLst/>
        </a:prstGeom>
        <a:noFill/>
        <a:ln w="9525">
          <a:solidFill>
            <a:srgbClr val="000000"/>
          </a:solidFill>
          <a:round/>
          <a:headEnd/>
          <a:tailEnd type="triangle" w="med" len="med"/>
        </a:ln>
      </xdr:spPr>
    </xdr:sp>
    <xdr:clientData/>
  </xdr:twoCellAnchor>
  <xdr:twoCellAnchor>
    <xdr:from>
      <xdr:col>18</xdr:col>
      <xdr:colOff>53340</xdr:colOff>
      <xdr:row>195</xdr:row>
      <xdr:rowOff>76200</xdr:rowOff>
    </xdr:from>
    <xdr:to>
      <xdr:col>18</xdr:col>
      <xdr:colOff>274320</xdr:colOff>
      <xdr:row>195</xdr:row>
      <xdr:rowOff>76200</xdr:rowOff>
    </xdr:to>
    <xdr:sp macro="" textlink="">
      <xdr:nvSpPr>
        <xdr:cNvPr id="5" name="Line 4">
          <a:extLst>
            <a:ext uri="{FF2B5EF4-FFF2-40B4-BE49-F238E27FC236}">
              <a16:creationId xmlns:a16="http://schemas.microsoft.com/office/drawing/2014/main" id="{00000000-0008-0000-1F00-000005000000}"/>
            </a:ext>
          </a:extLst>
        </xdr:cNvPr>
        <xdr:cNvSpPr>
          <a:spLocks noChangeShapeType="1"/>
        </xdr:cNvSpPr>
      </xdr:nvSpPr>
      <xdr:spPr bwMode="auto">
        <a:xfrm flipH="1">
          <a:off x="16693515" y="28984575"/>
          <a:ext cx="220980" cy="0"/>
        </a:xfrm>
        <a:prstGeom prst="line">
          <a:avLst/>
        </a:prstGeom>
        <a:noFill/>
        <a:ln w="9525">
          <a:solidFill>
            <a:srgbClr val="000000"/>
          </a:solidFill>
          <a:round/>
          <a:headEnd/>
          <a:tailEnd type="triangle" w="med" len="med"/>
        </a:ln>
      </xdr:spPr>
    </xdr:sp>
    <xdr:clientData/>
  </xdr:twoCellAnchor>
  <xdr:twoCellAnchor>
    <xdr:from>
      <xdr:col>8</xdr:col>
      <xdr:colOff>0</xdr:colOff>
      <xdr:row>0</xdr:row>
      <xdr:rowOff>0</xdr:rowOff>
    </xdr:from>
    <xdr:to>
      <xdr:col>11</xdr:col>
      <xdr:colOff>800100</xdr:colOff>
      <xdr:row>1</xdr:row>
      <xdr:rowOff>123825</xdr:rowOff>
    </xdr:to>
    <xdr:sp macro="" textlink="">
      <xdr:nvSpPr>
        <xdr:cNvPr id="6" name="TextBox 5">
          <a:extLst>
            <a:ext uri="{FF2B5EF4-FFF2-40B4-BE49-F238E27FC236}">
              <a16:creationId xmlns:a16="http://schemas.microsoft.com/office/drawing/2014/main" id="{00000000-0008-0000-1F00-000006000000}"/>
            </a:ext>
          </a:extLst>
        </xdr:cNvPr>
        <xdr:cNvSpPr txBox="1"/>
      </xdr:nvSpPr>
      <xdr:spPr>
        <a:xfrm>
          <a:off x="8220075" y="0"/>
          <a:ext cx="2819400" cy="314325"/>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C00000"/>
              </a:solidFill>
              <a:latin typeface="Arial Narrow" panose="020B0606020202030204" pitchFamily="34" charset="0"/>
            </a:rPr>
            <a:t>Report Property Tax Surveys on M drive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38100</xdr:colOff>
      <xdr:row>3</xdr:row>
      <xdr:rowOff>44451</xdr:rowOff>
    </xdr:from>
    <xdr:to>
      <xdr:col>5</xdr:col>
      <xdr:colOff>1390649</xdr:colOff>
      <xdr:row>23</xdr:row>
      <xdr:rowOff>142875</xdr:rowOff>
    </xdr:to>
    <xdr:graphicFrame macro="">
      <xdr:nvGraphicFramePr>
        <xdr:cNvPr id="3" name="Chart 2">
          <a:extLst>
            <a:ext uri="{FF2B5EF4-FFF2-40B4-BE49-F238E27FC236}">
              <a16:creationId xmlns:a16="http://schemas.microsoft.com/office/drawing/2014/main" id="{00000000-0008-0000-2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129332</xdr:colOff>
      <xdr:row>21</xdr:row>
      <xdr:rowOff>65038</xdr:rowOff>
    </xdr:from>
    <xdr:to>
      <xdr:col>20</xdr:col>
      <xdr:colOff>180131</xdr:colOff>
      <xdr:row>42</xdr:row>
      <xdr:rowOff>64655</xdr:rowOff>
    </xdr:to>
    <xdr:graphicFrame macro="">
      <xdr:nvGraphicFramePr>
        <xdr:cNvPr id="1709134" name="Chart 1">
          <a:extLst>
            <a:ext uri="{FF2B5EF4-FFF2-40B4-BE49-F238E27FC236}">
              <a16:creationId xmlns:a16="http://schemas.microsoft.com/office/drawing/2014/main" id="{00000000-0008-0000-0300-00004E141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130968</xdr:colOff>
      <xdr:row>1</xdr:row>
      <xdr:rowOff>169334</xdr:rowOff>
    </xdr:from>
    <xdr:to>
      <xdr:col>20</xdr:col>
      <xdr:colOff>182403</xdr:colOff>
      <xdr:row>19</xdr:row>
      <xdr:rowOff>122235</xdr:rowOff>
    </xdr:to>
    <xdr:graphicFrame macro="">
      <xdr:nvGraphicFramePr>
        <xdr:cNvPr id="1709135" name="Chart 2">
          <a:extLst>
            <a:ext uri="{FF2B5EF4-FFF2-40B4-BE49-F238E27FC236}">
              <a16:creationId xmlns:a16="http://schemas.microsoft.com/office/drawing/2014/main" id="{00000000-0008-0000-0300-00004F141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34927</xdr:colOff>
      <xdr:row>1</xdr:row>
      <xdr:rowOff>26459</xdr:rowOff>
    </xdr:from>
    <xdr:to>
      <xdr:col>4</xdr:col>
      <xdr:colOff>5741459</xdr:colOff>
      <xdr:row>26</xdr:row>
      <xdr:rowOff>30692</xdr:rowOff>
    </xdr:to>
    <xdr:graphicFrame macro="">
      <xdr:nvGraphicFramePr>
        <xdr:cNvPr id="3" name="Chart 1">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7411</xdr:colOff>
      <xdr:row>5</xdr:row>
      <xdr:rowOff>49739</xdr:rowOff>
    </xdr:from>
    <xdr:to>
      <xdr:col>9</xdr:col>
      <xdr:colOff>331258</xdr:colOff>
      <xdr:row>21</xdr:row>
      <xdr:rowOff>144992</xdr:rowOff>
    </xdr:to>
    <xdr:graphicFrame macro="">
      <xdr:nvGraphicFramePr>
        <xdr:cNvPr id="3" name="Chart 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126154</xdr:colOff>
      <xdr:row>4</xdr:row>
      <xdr:rowOff>246593</xdr:rowOff>
    </xdr:from>
    <xdr:to>
      <xdr:col>11</xdr:col>
      <xdr:colOff>551391</xdr:colOff>
      <xdr:row>25</xdr:row>
      <xdr:rowOff>45509</xdr:rowOff>
    </xdr:to>
    <xdr:graphicFrame macro="">
      <xdr:nvGraphicFramePr>
        <xdr:cNvPr id="3" name="Chart 1">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368300</xdr:colOff>
      <xdr:row>24</xdr:row>
      <xdr:rowOff>25400</xdr:rowOff>
    </xdr:from>
    <xdr:to>
      <xdr:col>10</xdr:col>
      <xdr:colOff>158750</xdr:colOff>
      <xdr:row>41</xdr:row>
      <xdr:rowOff>122767</xdr:rowOff>
    </xdr:to>
    <xdr:graphicFrame macro="">
      <xdr:nvGraphicFramePr>
        <xdr:cNvPr id="3" name="Chart 1">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149225</xdr:colOff>
      <xdr:row>2</xdr:row>
      <xdr:rowOff>28575</xdr:rowOff>
    </xdr:from>
    <xdr:to>
      <xdr:col>11</xdr:col>
      <xdr:colOff>660400</xdr:colOff>
      <xdr:row>22</xdr:row>
      <xdr:rowOff>431800</xdr:rowOff>
    </xdr:to>
    <xdr:graphicFrame macro="">
      <xdr:nvGraphicFramePr>
        <xdr:cNvPr id="135343" name="Chart 1">
          <a:extLst>
            <a:ext uri="{FF2B5EF4-FFF2-40B4-BE49-F238E27FC236}">
              <a16:creationId xmlns:a16="http://schemas.microsoft.com/office/drawing/2014/main" id="{00000000-0008-0000-0E00-0000AF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38240</xdr:colOff>
      <xdr:row>39</xdr:row>
      <xdr:rowOff>102304</xdr:rowOff>
    </xdr:from>
    <xdr:to>
      <xdr:col>12</xdr:col>
      <xdr:colOff>448028</xdr:colOff>
      <xdr:row>65</xdr:row>
      <xdr:rowOff>137582</xdr:rowOff>
    </xdr:to>
    <xdr:graphicFrame macro="">
      <xdr:nvGraphicFramePr>
        <xdr:cNvPr id="9404" name="Chart 1">
          <a:extLst>
            <a:ext uri="{FF2B5EF4-FFF2-40B4-BE49-F238E27FC236}">
              <a16:creationId xmlns:a16="http://schemas.microsoft.com/office/drawing/2014/main" id="{00000000-0008-0000-1100-0000BC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659130</xdr:colOff>
      <xdr:row>36</xdr:row>
      <xdr:rowOff>9525</xdr:rowOff>
    </xdr:from>
    <xdr:to>
      <xdr:col>10</xdr:col>
      <xdr:colOff>781050</xdr:colOff>
      <xdr:row>57</xdr:row>
      <xdr:rowOff>190499</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344631</xdr:colOff>
      <xdr:row>16</xdr:row>
      <xdr:rowOff>63500</xdr:rowOff>
    </xdr:from>
    <xdr:to>
      <xdr:col>13</xdr:col>
      <xdr:colOff>192232</xdr:colOff>
      <xdr:row>24</xdr:row>
      <xdr:rowOff>127000</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7840806" y="3206750"/>
          <a:ext cx="4514851" cy="12065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C00000"/>
              </a:solidFill>
              <a:latin typeface="Arial Narrow" panose="020B0606020202030204" pitchFamily="34" charset="0"/>
            </a:rPr>
            <a:t>Cells in blue have been re-checked... grayed cells converted to formulas</a:t>
          </a:r>
        </a:p>
        <a:p>
          <a:r>
            <a:rPr lang="en-US" sz="1200">
              <a:solidFill>
                <a:srgbClr val="C00000"/>
              </a:solidFill>
              <a:latin typeface="Arial Narrow" panose="020B0606020202030204" pitchFamily="34" charset="0"/>
            </a:rPr>
            <a:t>Cells with red comment maker</a:t>
          </a:r>
          <a:r>
            <a:rPr lang="en-US" sz="1200" baseline="0">
              <a:solidFill>
                <a:srgbClr val="C00000"/>
              </a:solidFill>
              <a:latin typeface="Arial Narrow" panose="020B0606020202030204" pitchFamily="34" charset="0"/>
            </a:rPr>
            <a:t> have been adjusted per latest available data (vs original data noted in comment)</a:t>
          </a:r>
        </a:p>
        <a:p>
          <a:endParaRPr lang="en-US" sz="1200" baseline="0">
            <a:solidFill>
              <a:srgbClr val="C00000"/>
            </a:solidFill>
            <a:latin typeface="Arial Narrow" panose="020B0606020202030204" pitchFamily="34" charset="0"/>
          </a:endParaRPr>
        </a:p>
        <a:p>
          <a:r>
            <a:rPr lang="en-US" sz="1200" baseline="0">
              <a:solidFill>
                <a:srgbClr val="C00000"/>
              </a:solidFill>
              <a:latin typeface="Arial Narrow" panose="020B0606020202030204" pitchFamily="34" charset="0"/>
            </a:rPr>
            <a:t>...The most significant changes are in the HMO fund, which are made to capture "missing" collections that should go that HMO fund</a:t>
          </a:r>
          <a:endParaRPr lang="en-US" sz="1200">
            <a:solidFill>
              <a:srgbClr val="C00000"/>
            </a:solidFill>
            <a:latin typeface="Arial Narrow" panose="020B060602020203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37.bin"/><Relationship Id="rId4"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0.xml"/><Relationship Id="rId1" Type="http://schemas.openxmlformats.org/officeDocument/2006/relationships/printerSettings" Target="../printerSettings/printerSettings38.bin"/><Relationship Id="rId4"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s>
</file>

<file path=xl/worksheets/_rels/sheet39.xml.rels><?xml version="1.0" encoding="UTF-8" standalone="yes"?>
<Relationships xmlns="http://schemas.openxmlformats.org/package/2006/relationships"><Relationship Id="rId3" Type="http://schemas.openxmlformats.org/officeDocument/2006/relationships/hyperlink" Target="http://www.coopercenter.org/" TargetMode="External"/><Relationship Id="rId2" Type="http://schemas.openxmlformats.org/officeDocument/2006/relationships/hyperlink" Target="http://www.tax.virginia.gov/" TargetMode="External"/><Relationship Id="rId1" Type="http://schemas.openxmlformats.org/officeDocument/2006/relationships/printerSettings" Target="../printerSettings/printerSettings64.bin"/><Relationship Id="rId4" Type="http://schemas.openxmlformats.org/officeDocument/2006/relationships/printerSettings" Target="../printerSettings/printerSettings6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4"/>
  <dimension ref="A1:H20"/>
  <sheetViews>
    <sheetView tabSelected="1" zoomScaleNormal="100" workbookViewId="0"/>
  </sheetViews>
  <sheetFormatPr defaultRowHeight="12.5"/>
  <sheetData>
    <row r="1" spans="1:8" ht="15.5">
      <c r="A1" s="1"/>
      <c r="B1" s="49"/>
      <c r="C1" s="49"/>
      <c r="D1" s="49"/>
      <c r="E1" s="49"/>
      <c r="F1" s="49"/>
      <c r="G1" s="49"/>
      <c r="H1" s="49"/>
    </row>
    <row r="2" spans="1:8" ht="15.5">
      <c r="A2" s="49"/>
      <c r="B2" s="49"/>
      <c r="C2" s="49"/>
      <c r="D2" s="49"/>
      <c r="E2" s="49"/>
      <c r="F2" s="49"/>
      <c r="G2" s="49"/>
      <c r="H2" s="49"/>
    </row>
    <row r="3" spans="1:8" ht="15.5">
      <c r="A3" s="49"/>
      <c r="B3" s="49"/>
      <c r="C3" s="49"/>
      <c r="D3" s="49"/>
      <c r="E3" s="49"/>
      <c r="F3" s="49"/>
      <c r="G3" s="49"/>
      <c r="H3" s="49"/>
    </row>
    <row r="4" spans="1:8" ht="15.5">
      <c r="A4" s="49"/>
      <c r="B4" s="49"/>
      <c r="C4" s="49"/>
      <c r="D4" s="49"/>
      <c r="E4" s="49"/>
      <c r="F4" s="49"/>
      <c r="G4" s="49"/>
      <c r="H4" s="49"/>
    </row>
    <row r="5" spans="1:8" ht="20">
      <c r="A5" s="1603" t="s">
        <v>849</v>
      </c>
      <c r="B5" s="1603"/>
      <c r="C5" s="1603"/>
      <c r="D5" s="1603"/>
      <c r="E5" s="1603"/>
      <c r="F5" s="1603"/>
      <c r="G5" s="1603"/>
      <c r="H5" s="1603"/>
    </row>
    <row r="6" spans="1:8" ht="20">
      <c r="A6" s="50"/>
      <c r="B6" s="51"/>
      <c r="C6" s="51"/>
      <c r="D6" s="51"/>
      <c r="E6" s="51"/>
      <c r="F6" s="51"/>
      <c r="G6" s="51"/>
      <c r="H6" s="51"/>
    </row>
    <row r="7" spans="1:8" ht="20">
      <c r="A7" s="1603" t="s">
        <v>236</v>
      </c>
      <c r="B7" s="1603"/>
      <c r="C7" s="1603"/>
      <c r="D7" s="1603"/>
      <c r="E7" s="1603"/>
      <c r="F7" s="1603"/>
      <c r="G7" s="1603"/>
      <c r="H7" s="1603"/>
    </row>
    <row r="8" spans="1:8" ht="20">
      <c r="A8" s="50"/>
      <c r="B8" s="51"/>
      <c r="C8" s="51"/>
      <c r="D8" s="51"/>
      <c r="E8" s="51"/>
      <c r="F8" s="51"/>
      <c r="G8" s="51"/>
      <c r="H8" s="51"/>
    </row>
    <row r="9" spans="1:8" ht="20">
      <c r="A9" s="1603" t="s">
        <v>1311</v>
      </c>
      <c r="B9" s="1603"/>
      <c r="C9" s="1603"/>
      <c r="D9" s="1603"/>
      <c r="E9" s="1603"/>
      <c r="F9" s="1603"/>
      <c r="G9" s="1603"/>
      <c r="H9" s="1603"/>
    </row>
    <row r="10" spans="1:8" ht="15.5">
      <c r="A10" s="3"/>
      <c r="B10" s="49"/>
      <c r="C10" s="49"/>
      <c r="D10" s="49"/>
      <c r="E10" s="49"/>
      <c r="F10" s="49"/>
      <c r="G10" s="49"/>
      <c r="H10" s="49"/>
    </row>
    <row r="11" spans="1:8" ht="15.5">
      <c r="A11" s="3"/>
      <c r="B11" s="49"/>
      <c r="C11" s="49"/>
      <c r="D11" s="49"/>
      <c r="E11" s="49"/>
      <c r="F11" s="49"/>
      <c r="G11" s="49"/>
      <c r="H11" s="49"/>
    </row>
    <row r="12" spans="1:8" ht="17.5">
      <c r="A12" s="1602" t="s">
        <v>237</v>
      </c>
      <c r="B12" s="1602"/>
      <c r="C12" s="1602"/>
      <c r="D12" s="1602"/>
      <c r="E12" s="1602"/>
      <c r="F12" s="1602"/>
      <c r="G12" s="1602"/>
      <c r="H12" s="1602"/>
    </row>
    <row r="13" spans="1:8" ht="17.5">
      <c r="A13" s="1602" t="s">
        <v>238</v>
      </c>
      <c r="B13" s="1602"/>
      <c r="C13" s="1602"/>
      <c r="D13" s="1602"/>
      <c r="E13" s="1602"/>
      <c r="F13" s="1602"/>
      <c r="G13" s="1602"/>
      <c r="H13" s="1602"/>
    </row>
    <row r="14" spans="1:8" ht="17.5">
      <c r="A14" s="52"/>
      <c r="B14" s="52"/>
      <c r="C14" s="52"/>
      <c r="D14" s="52"/>
      <c r="E14" s="52"/>
      <c r="F14" s="52"/>
      <c r="G14" s="52"/>
      <c r="H14" s="52"/>
    </row>
    <row r="15" spans="1:8" ht="17.5">
      <c r="A15" s="52"/>
      <c r="B15" s="52"/>
      <c r="C15" s="52"/>
      <c r="D15" s="52"/>
      <c r="E15" s="52"/>
      <c r="F15" s="52"/>
      <c r="G15" s="52"/>
      <c r="H15" s="52"/>
    </row>
    <row r="16" spans="1:8" ht="17.5">
      <c r="A16" s="1602" t="s">
        <v>1175</v>
      </c>
      <c r="B16" s="1602"/>
      <c r="C16" s="1602"/>
      <c r="D16" s="1602"/>
      <c r="E16" s="1602"/>
      <c r="F16" s="1602"/>
      <c r="G16" s="1602"/>
      <c r="H16" s="1602"/>
    </row>
    <row r="17" spans="1:8" ht="17.5">
      <c r="A17" s="52"/>
      <c r="B17" s="52"/>
      <c r="C17" s="52"/>
      <c r="D17" s="52"/>
      <c r="E17" s="52"/>
      <c r="F17" s="52"/>
      <c r="G17" s="52"/>
      <c r="H17" s="52"/>
    </row>
    <row r="18" spans="1:8" ht="17.5">
      <c r="A18" s="1602" t="s">
        <v>1176</v>
      </c>
      <c r="B18" s="1602"/>
      <c r="C18" s="1602"/>
      <c r="D18" s="1602"/>
      <c r="E18" s="1602"/>
      <c r="F18" s="1602"/>
      <c r="G18" s="1602"/>
      <c r="H18" s="1602"/>
    </row>
    <row r="19" spans="1:8" ht="17.5">
      <c r="A19" s="52"/>
      <c r="B19" s="52"/>
      <c r="C19" s="52"/>
      <c r="D19" s="52"/>
      <c r="E19" s="52"/>
      <c r="F19" s="52"/>
      <c r="G19" s="52"/>
      <c r="H19" s="52"/>
    </row>
    <row r="20" spans="1:8" ht="17.5">
      <c r="A20" s="1602" t="s">
        <v>1312</v>
      </c>
      <c r="B20" s="1602"/>
      <c r="C20" s="1602"/>
      <c r="D20" s="1602"/>
      <c r="E20" s="1602"/>
      <c r="F20" s="1602"/>
      <c r="G20" s="1602"/>
      <c r="H20" s="1602"/>
    </row>
  </sheetData>
  <customSheetViews>
    <customSheetView guid="{E6BBE5A7-0B25-4EE8-BA45-5EA5DBAF3AD4}" showPageBreaks="1" printArea="1">
      <pageMargins left="0.75" right="0.75" top="1" bottom="1" header="0.5" footer="0.5"/>
      <printOptions horizontalCentered="1"/>
      <pageSetup orientation="landscape" r:id="rId1"/>
      <headerFooter alignWithMargins="0"/>
    </customSheetView>
  </customSheetViews>
  <mergeCells count="8">
    <mergeCell ref="A13:H13"/>
    <mergeCell ref="A16:H16"/>
    <mergeCell ref="A18:H18"/>
    <mergeCell ref="A20:H20"/>
    <mergeCell ref="A5:H5"/>
    <mergeCell ref="A7:H7"/>
    <mergeCell ref="A9:H9"/>
    <mergeCell ref="A12:H12"/>
  </mergeCells>
  <phoneticPr fontId="14" type="noConversion"/>
  <printOptions horizontalCentered="1"/>
  <pageMargins left="0.75" right="0.75" top="1" bottom="1" header="0.5" footer="0.5"/>
  <pageSetup orientation="landscape"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O181"/>
  <sheetViews>
    <sheetView showOutlineSymbols="0" zoomScale="95" zoomScaleNormal="95" zoomScaleSheetLayoutView="80" workbookViewId="0"/>
  </sheetViews>
  <sheetFormatPr defaultColWidth="10.7265625" defaultRowHeight="15.5"/>
  <cols>
    <col min="1" max="1" width="15" style="180" customWidth="1"/>
    <col min="2" max="2" width="6.6328125" style="970" hidden="1" customWidth="1"/>
    <col min="3" max="3" width="12.7265625" style="180" bestFit="1" customWidth="1"/>
    <col min="4" max="4" width="15.81640625" style="180" customWidth="1"/>
    <col min="5" max="5" width="2.7265625" style="180" customWidth="1"/>
    <col min="6" max="7" width="12" style="180" bestFit="1" customWidth="1"/>
    <col min="8" max="8" width="17.54296875" style="180" customWidth="1"/>
    <col min="9" max="9" width="12.7265625" style="180" bestFit="1" customWidth="1"/>
    <col min="10" max="10" width="2.54296875" style="180" customWidth="1"/>
    <col min="11" max="11" width="12" style="284" bestFit="1" customWidth="1"/>
    <col min="12" max="12" width="14.7265625" style="284" customWidth="1"/>
    <col min="13" max="13" width="16.6328125" style="284" customWidth="1"/>
    <col min="14" max="15" width="2.7265625" style="180" customWidth="1"/>
    <col min="16" max="16384" width="10.7265625" style="180"/>
  </cols>
  <sheetData>
    <row r="1" spans="1:15" ht="17.149999999999999" customHeight="1">
      <c r="A1" s="172" t="s">
        <v>593</v>
      </c>
      <c r="B1" s="985"/>
      <c r="C1" s="145"/>
      <c r="D1" s="171"/>
      <c r="E1" s="171"/>
      <c r="F1" s="145"/>
      <c r="G1" s="145"/>
      <c r="H1" s="171"/>
      <c r="I1" s="145"/>
      <c r="J1" s="145"/>
      <c r="K1" s="208"/>
      <c r="L1" s="208"/>
      <c r="M1" s="210"/>
      <c r="O1" s="811" t="s">
        <v>954</v>
      </c>
    </row>
    <row r="2" spans="1:15" ht="15" customHeight="1">
      <c r="A2" s="175" t="s">
        <v>760</v>
      </c>
      <c r="B2" s="985"/>
      <c r="C2" s="145"/>
      <c r="D2" s="171"/>
      <c r="E2" s="171"/>
      <c r="F2" s="145"/>
      <c r="G2" s="145"/>
      <c r="H2" s="171"/>
      <c r="I2" s="145"/>
      <c r="J2" s="145"/>
      <c r="K2" s="208"/>
      <c r="L2" s="208"/>
      <c r="M2" s="210"/>
    </row>
    <row r="3" spans="1:15" ht="15" customHeight="1">
      <c r="A3" s="993" t="s">
        <v>1283</v>
      </c>
      <c r="B3" s="986"/>
      <c r="C3" s="145"/>
      <c r="D3" s="171"/>
      <c r="E3" s="171"/>
      <c r="F3" s="145"/>
      <c r="G3" s="145"/>
      <c r="H3" s="171"/>
      <c r="I3" s="145"/>
      <c r="J3" s="145"/>
      <c r="K3" s="208"/>
      <c r="L3" s="208"/>
      <c r="M3" s="210"/>
    </row>
    <row r="4" spans="1:15" ht="3" customHeight="1">
      <c r="A4" s="184"/>
      <c r="B4" s="985"/>
      <c r="C4" s="145"/>
      <c r="D4" s="171"/>
      <c r="E4" s="171"/>
      <c r="F4" s="145"/>
      <c r="G4" s="145"/>
      <c r="H4" s="171"/>
      <c r="I4" s="145"/>
      <c r="J4" s="145"/>
      <c r="K4" s="208"/>
      <c r="L4" s="208"/>
      <c r="M4" s="210"/>
    </row>
    <row r="5" spans="1:15" ht="3" customHeight="1" thickBot="1">
      <c r="A5" s="184"/>
      <c r="C5" s="145"/>
      <c r="D5" s="171"/>
      <c r="E5" s="171"/>
      <c r="F5" s="145"/>
      <c r="G5" s="145"/>
      <c r="H5" s="171"/>
      <c r="I5" s="145"/>
      <c r="J5" s="145"/>
      <c r="K5" s="208"/>
      <c r="L5" s="208"/>
      <c r="M5" s="210"/>
    </row>
    <row r="6" spans="1:15" ht="13.15" customHeight="1">
      <c r="A6" s="800"/>
      <c r="B6" s="987"/>
      <c r="C6" s="971" t="s">
        <v>306</v>
      </c>
      <c r="D6" s="971"/>
      <c r="E6" s="237"/>
      <c r="F6" s="809" t="s">
        <v>307</v>
      </c>
      <c r="G6" s="972"/>
      <c r="H6" s="972"/>
      <c r="I6" s="972"/>
      <c r="J6" s="238"/>
      <c r="K6" s="973" t="s">
        <v>594</v>
      </c>
      <c r="L6" s="973"/>
      <c r="M6" s="974"/>
    </row>
    <row r="7" spans="1:15" ht="25" customHeight="1">
      <c r="A7" s="983" t="s">
        <v>18</v>
      </c>
      <c r="B7" s="984" t="s">
        <v>910</v>
      </c>
      <c r="C7" s="977" t="s">
        <v>595</v>
      </c>
      <c r="D7" s="976" t="s">
        <v>16</v>
      </c>
      <c r="E7" s="976"/>
      <c r="F7" s="978" t="s">
        <v>305</v>
      </c>
      <c r="G7" s="977" t="s">
        <v>304</v>
      </c>
      <c r="H7" s="976" t="s">
        <v>16</v>
      </c>
      <c r="I7" s="979" t="s">
        <v>1143</v>
      </c>
      <c r="J7" s="980"/>
      <c r="K7" s="981" t="s">
        <v>596</v>
      </c>
      <c r="L7" s="982" t="s">
        <v>1144</v>
      </c>
      <c r="M7" s="975" t="s">
        <v>1145</v>
      </c>
    </row>
    <row r="8" spans="1:15" ht="24" customHeight="1">
      <c r="A8" s="150" t="s">
        <v>311</v>
      </c>
      <c r="B8" s="988" t="s">
        <v>1009</v>
      </c>
      <c r="C8" s="145">
        <v>44497</v>
      </c>
      <c r="D8" s="150">
        <v>40226798.469999999</v>
      </c>
      <c r="E8" s="150"/>
      <c r="F8" s="252">
        <v>17804</v>
      </c>
      <c r="G8" s="145">
        <v>1967</v>
      </c>
      <c r="H8" s="150">
        <v>316987475.17000002</v>
      </c>
      <c r="I8" s="145">
        <v>19771</v>
      </c>
      <c r="J8" s="253"/>
      <c r="K8" s="208">
        <v>11708</v>
      </c>
      <c r="L8" s="208">
        <v>7237</v>
      </c>
      <c r="M8" s="208">
        <v>826</v>
      </c>
    </row>
    <row r="9" spans="1:15" ht="13.15" customHeight="1">
      <c r="A9" s="171" t="s">
        <v>315</v>
      </c>
      <c r="B9" s="970" t="s">
        <v>1010</v>
      </c>
      <c r="C9" s="145">
        <v>121440</v>
      </c>
      <c r="D9" s="145">
        <v>108930739.06999999</v>
      </c>
      <c r="E9" s="145"/>
      <c r="F9" s="252">
        <v>44833</v>
      </c>
      <c r="G9" s="145">
        <v>8180</v>
      </c>
      <c r="H9" s="145">
        <v>823150005.61000001</v>
      </c>
      <c r="I9" s="145">
        <v>53013</v>
      </c>
      <c r="J9" s="253"/>
      <c r="K9" s="208">
        <v>29561</v>
      </c>
      <c r="L9" s="208">
        <v>21687</v>
      </c>
      <c r="M9" s="208">
        <v>1765</v>
      </c>
    </row>
    <row r="10" spans="1:15" ht="13.15" customHeight="1">
      <c r="A10" s="171" t="s">
        <v>319</v>
      </c>
      <c r="B10" s="970" t="s">
        <v>1011</v>
      </c>
      <c r="C10" s="145">
        <v>16390</v>
      </c>
      <c r="D10" s="145">
        <v>14818717.27</v>
      </c>
      <c r="E10" s="145"/>
      <c r="F10" s="252">
        <v>6879</v>
      </c>
      <c r="G10" s="145">
        <v>305</v>
      </c>
      <c r="H10" s="145">
        <v>94425574.010000005</v>
      </c>
      <c r="I10" s="145">
        <v>7184</v>
      </c>
      <c r="J10" s="253"/>
      <c r="K10" s="208">
        <v>4010</v>
      </c>
      <c r="L10" s="208">
        <v>2967</v>
      </c>
      <c r="M10" s="208">
        <v>207</v>
      </c>
    </row>
    <row r="11" spans="1:15" ht="13.15" customHeight="1">
      <c r="A11" s="171" t="s">
        <v>323</v>
      </c>
      <c r="B11" s="970" t="s">
        <v>1012</v>
      </c>
      <c r="C11" s="145">
        <v>14209</v>
      </c>
      <c r="D11" s="145">
        <v>12909614.390000001</v>
      </c>
      <c r="E11" s="145"/>
      <c r="F11" s="252">
        <v>5800</v>
      </c>
      <c r="G11" s="145">
        <v>421</v>
      </c>
      <c r="H11" s="145">
        <v>80321025.109999999</v>
      </c>
      <c r="I11" s="145">
        <v>6221</v>
      </c>
      <c r="J11" s="253"/>
      <c r="K11" s="208">
        <v>3461</v>
      </c>
      <c r="L11" s="208">
        <v>2584</v>
      </c>
      <c r="M11" s="208">
        <v>176</v>
      </c>
    </row>
    <row r="12" spans="1:15" ht="13.15" customHeight="1">
      <c r="A12" s="171" t="s">
        <v>327</v>
      </c>
      <c r="B12" s="970" t="s">
        <v>1013</v>
      </c>
      <c r="C12" s="145">
        <v>31182</v>
      </c>
      <c r="D12" s="145">
        <v>28278222.030000001</v>
      </c>
      <c r="E12" s="145"/>
      <c r="F12" s="252">
        <v>13122</v>
      </c>
      <c r="G12" s="145">
        <v>586</v>
      </c>
      <c r="H12" s="145">
        <v>166557044.75999999</v>
      </c>
      <c r="I12" s="145">
        <v>13708</v>
      </c>
      <c r="J12" s="253"/>
      <c r="K12" s="208">
        <v>7796</v>
      </c>
      <c r="L12" s="208">
        <v>5546</v>
      </c>
      <c r="M12" s="208">
        <v>366</v>
      </c>
    </row>
    <row r="13" spans="1:15" ht="24" customHeight="1">
      <c r="A13" s="171" t="s">
        <v>331</v>
      </c>
      <c r="B13" s="970" t="s">
        <v>1014</v>
      </c>
      <c r="C13" s="145">
        <v>17066</v>
      </c>
      <c r="D13" s="145">
        <v>15504337</v>
      </c>
      <c r="E13" s="145"/>
      <c r="F13" s="252">
        <v>6832</v>
      </c>
      <c r="G13" s="145">
        <v>363</v>
      </c>
      <c r="H13" s="145">
        <v>87244267.359999999</v>
      </c>
      <c r="I13" s="145">
        <v>7195</v>
      </c>
      <c r="J13" s="253"/>
      <c r="K13" s="208">
        <v>3867</v>
      </c>
      <c r="L13" s="208">
        <v>3118</v>
      </c>
      <c r="M13" s="208">
        <v>210</v>
      </c>
    </row>
    <row r="14" spans="1:15" ht="13.15" customHeight="1">
      <c r="A14" s="171" t="s">
        <v>335</v>
      </c>
      <c r="B14" s="970" t="s">
        <v>1015</v>
      </c>
      <c r="C14" s="145">
        <v>242480</v>
      </c>
      <c r="D14" s="145">
        <v>217204898.19</v>
      </c>
      <c r="E14" s="145"/>
      <c r="F14" s="252">
        <v>105557</v>
      </c>
      <c r="G14" s="145">
        <v>28392</v>
      </c>
      <c r="H14" s="145">
        <v>2028698261.27</v>
      </c>
      <c r="I14" s="145">
        <v>133949</v>
      </c>
      <c r="J14" s="253"/>
      <c r="K14" s="208">
        <v>92561</v>
      </c>
      <c r="L14" s="208">
        <v>36087</v>
      </c>
      <c r="M14" s="208">
        <v>5301</v>
      </c>
    </row>
    <row r="15" spans="1:15" ht="13.15" customHeight="1">
      <c r="A15" s="171" t="s">
        <v>339</v>
      </c>
      <c r="B15" s="970" t="s">
        <v>1016</v>
      </c>
      <c r="C15" s="145">
        <v>83794</v>
      </c>
      <c r="D15" s="145">
        <v>75818450</v>
      </c>
      <c r="E15" s="145"/>
      <c r="F15" s="252">
        <v>34070</v>
      </c>
      <c r="G15" s="145">
        <v>2284</v>
      </c>
      <c r="H15" s="145">
        <v>461596343.95999998</v>
      </c>
      <c r="I15" s="145">
        <v>36354</v>
      </c>
      <c r="J15" s="253"/>
      <c r="K15" s="208">
        <v>19486</v>
      </c>
      <c r="L15" s="208">
        <v>15947</v>
      </c>
      <c r="M15" s="208">
        <v>921</v>
      </c>
    </row>
    <row r="16" spans="1:15" ht="13.15" customHeight="1">
      <c r="A16" s="171" t="s">
        <v>343</v>
      </c>
      <c r="B16" s="970" t="s">
        <v>1017</v>
      </c>
      <c r="C16" s="145">
        <v>5103</v>
      </c>
      <c r="D16" s="145">
        <v>4619305</v>
      </c>
      <c r="E16" s="145"/>
      <c r="F16" s="252">
        <v>2199</v>
      </c>
      <c r="G16" s="145">
        <v>125</v>
      </c>
      <c r="H16" s="145">
        <v>43729514.969999999</v>
      </c>
      <c r="I16" s="145">
        <v>2324</v>
      </c>
      <c r="J16" s="253"/>
      <c r="K16" s="208">
        <v>1328</v>
      </c>
      <c r="L16" s="208">
        <v>934</v>
      </c>
      <c r="M16" s="208">
        <v>62</v>
      </c>
    </row>
    <row r="17" spans="1:13" ht="13.15" customHeight="1">
      <c r="A17" s="171" t="s">
        <v>347</v>
      </c>
      <c r="B17" s="970" t="s">
        <v>1018</v>
      </c>
      <c r="C17" s="145">
        <v>87943</v>
      </c>
      <c r="D17" s="145">
        <v>79250367.640000001</v>
      </c>
      <c r="E17" s="145"/>
      <c r="F17" s="252">
        <v>33499</v>
      </c>
      <c r="G17" s="145">
        <v>3176</v>
      </c>
      <c r="H17" s="145">
        <v>490664287.19999999</v>
      </c>
      <c r="I17" s="145">
        <v>36675</v>
      </c>
      <c r="J17" s="253"/>
      <c r="K17" s="208">
        <v>18182</v>
      </c>
      <c r="L17" s="208">
        <v>17507</v>
      </c>
      <c r="M17" s="208">
        <v>986</v>
      </c>
    </row>
    <row r="18" spans="1:13" ht="24" customHeight="1">
      <c r="A18" s="171" t="s">
        <v>351</v>
      </c>
      <c r="B18" s="970" t="s">
        <v>1019</v>
      </c>
      <c r="C18" s="145">
        <v>5793</v>
      </c>
      <c r="D18" s="145">
        <v>5226012.37</v>
      </c>
      <c r="E18" s="145"/>
      <c r="F18" s="252">
        <v>2387</v>
      </c>
      <c r="G18" s="145">
        <v>94</v>
      </c>
      <c r="H18" s="145">
        <v>32392310.879999999</v>
      </c>
      <c r="I18" s="145">
        <v>2481</v>
      </c>
      <c r="J18" s="253"/>
      <c r="K18" s="208">
        <v>1214</v>
      </c>
      <c r="L18" s="208">
        <v>1189</v>
      </c>
      <c r="M18" s="208">
        <v>78</v>
      </c>
    </row>
    <row r="19" spans="1:13" ht="13.15" customHeight="1">
      <c r="A19" s="171" t="s">
        <v>355</v>
      </c>
      <c r="B19" s="970" t="s">
        <v>1020</v>
      </c>
      <c r="C19" s="145">
        <v>36991</v>
      </c>
      <c r="D19" s="145">
        <v>33357110.879999999</v>
      </c>
      <c r="E19" s="145"/>
      <c r="F19" s="252">
        <v>14092</v>
      </c>
      <c r="G19" s="145">
        <v>1372</v>
      </c>
      <c r="H19" s="145">
        <v>210847985.47999999</v>
      </c>
      <c r="I19" s="145">
        <v>15464</v>
      </c>
      <c r="J19" s="253"/>
      <c r="K19" s="208">
        <v>7572</v>
      </c>
      <c r="L19" s="208">
        <v>7521</v>
      </c>
      <c r="M19" s="208">
        <v>371</v>
      </c>
    </row>
    <row r="20" spans="1:13" ht="13.15" customHeight="1">
      <c r="A20" s="171" t="s">
        <v>359</v>
      </c>
      <c r="B20" s="970" t="s">
        <v>1021</v>
      </c>
      <c r="C20" s="145">
        <v>13598</v>
      </c>
      <c r="D20" s="145">
        <v>12314077.5</v>
      </c>
      <c r="E20" s="145"/>
      <c r="F20" s="252">
        <v>5800</v>
      </c>
      <c r="G20" s="145">
        <v>424</v>
      </c>
      <c r="H20" s="145">
        <v>71329852.489999995</v>
      </c>
      <c r="I20" s="145">
        <v>6224</v>
      </c>
      <c r="J20" s="253"/>
      <c r="K20" s="208">
        <v>4131</v>
      </c>
      <c r="L20" s="208">
        <v>1881</v>
      </c>
      <c r="M20" s="208">
        <v>212</v>
      </c>
    </row>
    <row r="21" spans="1:13" ht="13.15" customHeight="1">
      <c r="A21" s="171" t="s">
        <v>363</v>
      </c>
      <c r="B21" s="970" t="s">
        <v>1022</v>
      </c>
      <c r="C21" s="145">
        <v>14829</v>
      </c>
      <c r="D21" s="145">
        <v>13516671</v>
      </c>
      <c r="E21" s="145"/>
      <c r="F21" s="252">
        <v>6113</v>
      </c>
      <c r="G21" s="145">
        <v>154</v>
      </c>
      <c r="H21" s="145">
        <v>79825312.340000004</v>
      </c>
      <c r="I21" s="145">
        <v>6267</v>
      </c>
      <c r="J21" s="253"/>
      <c r="K21" s="208">
        <v>3207</v>
      </c>
      <c r="L21" s="208">
        <v>2918</v>
      </c>
      <c r="M21" s="208">
        <v>142</v>
      </c>
    </row>
    <row r="22" spans="1:13" ht="13.15" customHeight="1">
      <c r="A22" s="171" t="s">
        <v>367</v>
      </c>
      <c r="B22" s="970" t="s">
        <v>1023</v>
      </c>
      <c r="C22" s="145">
        <v>13952</v>
      </c>
      <c r="D22" s="145">
        <v>12657846.109999999</v>
      </c>
      <c r="E22" s="145"/>
      <c r="F22" s="252">
        <v>5889</v>
      </c>
      <c r="G22" s="145">
        <v>316</v>
      </c>
      <c r="H22" s="145">
        <v>71074078.290000007</v>
      </c>
      <c r="I22" s="145">
        <v>6205</v>
      </c>
      <c r="J22" s="253"/>
      <c r="K22" s="208">
        <v>3781</v>
      </c>
      <c r="L22" s="208">
        <v>2175</v>
      </c>
      <c r="M22" s="208">
        <v>249</v>
      </c>
    </row>
    <row r="23" spans="1:13" ht="24" customHeight="1">
      <c r="A23" s="171" t="s">
        <v>371</v>
      </c>
      <c r="B23" s="970" t="s">
        <v>1024</v>
      </c>
      <c r="C23" s="145">
        <v>54994</v>
      </c>
      <c r="D23" s="145">
        <v>49860933.609999999</v>
      </c>
      <c r="E23" s="145"/>
      <c r="F23" s="252">
        <v>23378</v>
      </c>
      <c r="G23" s="145">
        <v>1118</v>
      </c>
      <c r="H23" s="145">
        <v>293883835.70999998</v>
      </c>
      <c r="I23" s="145">
        <v>24496</v>
      </c>
      <c r="J23" s="253"/>
      <c r="K23" s="208">
        <v>14070</v>
      </c>
      <c r="L23" s="208">
        <v>9765</v>
      </c>
      <c r="M23" s="208">
        <v>661</v>
      </c>
    </row>
    <row r="24" spans="1:13" ht="13.15" customHeight="1">
      <c r="A24" s="171" t="s">
        <v>373</v>
      </c>
      <c r="B24" s="970" t="s">
        <v>1025</v>
      </c>
      <c r="C24" s="145">
        <v>31580</v>
      </c>
      <c r="D24" s="145">
        <v>28741683.23</v>
      </c>
      <c r="E24" s="145"/>
      <c r="F24" s="252">
        <v>13067</v>
      </c>
      <c r="G24" s="145">
        <v>1434</v>
      </c>
      <c r="H24" s="145">
        <v>176909385.31999999</v>
      </c>
      <c r="I24" s="145">
        <v>14501</v>
      </c>
      <c r="J24" s="253"/>
      <c r="K24" s="208">
        <v>8775</v>
      </c>
      <c r="L24" s="208">
        <v>5175</v>
      </c>
      <c r="M24" s="208">
        <v>551</v>
      </c>
    </row>
    <row r="25" spans="1:13" ht="13.15" customHeight="1">
      <c r="A25" s="171" t="s">
        <v>376</v>
      </c>
      <c r="B25" s="970" t="s">
        <v>1026</v>
      </c>
      <c r="C25" s="145">
        <v>28209</v>
      </c>
      <c r="D25" s="145">
        <v>25483946.760000002</v>
      </c>
      <c r="E25" s="145"/>
      <c r="F25" s="252">
        <v>12033</v>
      </c>
      <c r="G25" s="145">
        <v>358</v>
      </c>
      <c r="H25" s="145">
        <v>159785503.25</v>
      </c>
      <c r="I25" s="145">
        <v>12391</v>
      </c>
      <c r="J25" s="253"/>
      <c r="K25" s="208">
        <v>6538</v>
      </c>
      <c r="L25" s="208">
        <v>5442</v>
      </c>
      <c r="M25" s="208">
        <v>411</v>
      </c>
    </row>
    <row r="26" spans="1:13" ht="13.15" customHeight="1">
      <c r="A26" s="171" t="s">
        <v>379</v>
      </c>
      <c r="B26" s="970" t="s">
        <v>1027</v>
      </c>
      <c r="C26" s="145">
        <v>7128</v>
      </c>
      <c r="D26" s="145">
        <v>6456721</v>
      </c>
      <c r="E26" s="145"/>
      <c r="F26" s="252">
        <v>3083</v>
      </c>
      <c r="G26" s="145">
        <v>298</v>
      </c>
      <c r="H26" s="145">
        <v>42549822.049999997</v>
      </c>
      <c r="I26" s="145">
        <v>3381</v>
      </c>
      <c r="J26" s="253"/>
      <c r="K26" s="208">
        <v>2080</v>
      </c>
      <c r="L26" s="208">
        <v>1172</v>
      </c>
      <c r="M26" s="208">
        <v>129</v>
      </c>
    </row>
    <row r="27" spans="1:13" ht="13.15" customHeight="1">
      <c r="A27" s="171" t="s">
        <v>382</v>
      </c>
      <c r="B27" s="970" t="s">
        <v>1028</v>
      </c>
      <c r="C27" s="145">
        <v>11564</v>
      </c>
      <c r="D27" s="145">
        <v>10486382.289999999</v>
      </c>
      <c r="E27" s="145"/>
      <c r="F27" s="252">
        <v>4729</v>
      </c>
      <c r="G27" s="145">
        <v>242</v>
      </c>
      <c r="H27" s="145">
        <v>71287399.900000006</v>
      </c>
      <c r="I27" s="145">
        <v>4971</v>
      </c>
      <c r="J27" s="253"/>
      <c r="K27" s="208">
        <v>2905</v>
      </c>
      <c r="L27" s="208">
        <v>1901</v>
      </c>
      <c r="M27" s="208">
        <v>165</v>
      </c>
    </row>
    <row r="28" spans="1:13" ht="24" customHeight="1">
      <c r="A28" s="171" t="s">
        <v>384</v>
      </c>
      <c r="B28" s="970" t="s">
        <v>1029</v>
      </c>
      <c r="C28" s="145">
        <v>394981</v>
      </c>
      <c r="D28" s="145">
        <v>358046911.88999999</v>
      </c>
      <c r="E28" s="145"/>
      <c r="F28" s="252">
        <v>151071</v>
      </c>
      <c r="G28" s="145">
        <v>22378</v>
      </c>
      <c r="H28" s="145">
        <v>2271749294.3600001</v>
      </c>
      <c r="I28" s="145">
        <v>173449</v>
      </c>
      <c r="J28" s="253"/>
      <c r="K28" s="208">
        <v>100845</v>
      </c>
      <c r="L28" s="208">
        <v>67050</v>
      </c>
      <c r="M28" s="208">
        <v>5554</v>
      </c>
    </row>
    <row r="29" spans="1:13" ht="13.15" customHeight="1">
      <c r="A29" s="171" t="s">
        <v>387</v>
      </c>
      <c r="B29" s="970" t="s">
        <v>1030</v>
      </c>
      <c r="C29" s="145">
        <v>17380</v>
      </c>
      <c r="D29" s="145">
        <v>15683025.550000001</v>
      </c>
      <c r="E29" s="145"/>
      <c r="F29" s="252">
        <v>6454</v>
      </c>
      <c r="G29" s="145">
        <v>1177</v>
      </c>
      <c r="H29" s="145">
        <v>113795964.48999999</v>
      </c>
      <c r="I29" s="145">
        <v>7631</v>
      </c>
      <c r="J29" s="253"/>
      <c r="K29" s="208">
        <v>4166</v>
      </c>
      <c r="L29" s="208">
        <v>3263</v>
      </c>
      <c r="M29" s="208">
        <v>202</v>
      </c>
    </row>
    <row r="30" spans="1:13" ht="13.15" customHeight="1">
      <c r="A30" s="171" t="s">
        <v>389</v>
      </c>
      <c r="B30" s="970" t="s">
        <v>1031</v>
      </c>
      <c r="C30" s="145">
        <v>5136</v>
      </c>
      <c r="D30" s="145">
        <v>4650390.92</v>
      </c>
      <c r="E30" s="145"/>
      <c r="F30" s="252">
        <v>2149</v>
      </c>
      <c r="G30" s="145">
        <v>80</v>
      </c>
      <c r="H30" s="145">
        <v>27155499.760000002</v>
      </c>
      <c r="I30" s="145">
        <v>2229</v>
      </c>
      <c r="J30" s="253"/>
      <c r="K30" s="208">
        <v>1118</v>
      </c>
      <c r="L30" s="208">
        <v>1037</v>
      </c>
      <c r="M30" s="208">
        <v>74</v>
      </c>
    </row>
    <row r="31" spans="1:13" ht="13.15" customHeight="1">
      <c r="A31" s="171" t="s">
        <v>392</v>
      </c>
      <c r="B31" s="970" t="s">
        <v>1032</v>
      </c>
      <c r="C31" s="145">
        <v>55883</v>
      </c>
      <c r="D31" s="145">
        <v>50736810.740000002</v>
      </c>
      <c r="E31" s="145"/>
      <c r="F31" s="252">
        <v>21533</v>
      </c>
      <c r="G31" s="145">
        <v>2716</v>
      </c>
      <c r="H31" s="145">
        <v>310356037.48000002</v>
      </c>
      <c r="I31" s="145">
        <v>24249</v>
      </c>
      <c r="J31" s="253"/>
      <c r="K31" s="208">
        <v>13794</v>
      </c>
      <c r="L31" s="208">
        <v>9754</v>
      </c>
      <c r="M31" s="208">
        <v>701</v>
      </c>
    </row>
    <row r="32" spans="1:13" ht="13.15" customHeight="1">
      <c r="A32" s="171" t="s">
        <v>395</v>
      </c>
      <c r="B32" s="970" t="s">
        <v>1033</v>
      </c>
      <c r="C32" s="145">
        <v>9489</v>
      </c>
      <c r="D32" s="145">
        <v>8613205</v>
      </c>
      <c r="E32" s="145"/>
      <c r="F32" s="252">
        <v>3916</v>
      </c>
      <c r="G32" s="145">
        <v>272</v>
      </c>
      <c r="H32" s="145">
        <v>52945035.700000003</v>
      </c>
      <c r="I32" s="145">
        <v>4188</v>
      </c>
      <c r="J32" s="253"/>
      <c r="K32" s="208">
        <v>2421</v>
      </c>
      <c r="L32" s="208">
        <v>1594</v>
      </c>
      <c r="M32" s="208">
        <v>173</v>
      </c>
    </row>
    <row r="33" spans="1:13" ht="24" customHeight="1">
      <c r="A33" s="171" t="s">
        <v>398</v>
      </c>
      <c r="B33" s="970" t="s">
        <v>1034</v>
      </c>
      <c r="C33" s="145">
        <v>10993</v>
      </c>
      <c r="D33" s="145">
        <v>9997689</v>
      </c>
      <c r="E33" s="145"/>
      <c r="F33" s="252">
        <v>4610</v>
      </c>
      <c r="G33" s="145">
        <v>51</v>
      </c>
      <c r="H33" s="145">
        <v>55153620.420000002</v>
      </c>
      <c r="I33" s="145">
        <v>4661</v>
      </c>
      <c r="J33" s="253"/>
      <c r="K33" s="208">
        <v>2439</v>
      </c>
      <c r="L33" s="208">
        <v>2125</v>
      </c>
      <c r="M33" s="208">
        <v>97</v>
      </c>
    </row>
    <row r="34" spans="1:13" ht="13.15" customHeight="1">
      <c r="A34" s="171" t="s">
        <v>401</v>
      </c>
      <c r="B34" s="970" t="s">
        <v>1035</v>
      </c>
      <c r="C34" s="145">
        <v>27261</v>
      </c>
      <c r="D34" s="145">
        <v>24809536.469999999</v>
      </c>
      <c r="E34" s="145"/>
      <c r="F34" s="252">
        <v>11331</v>
      </c>
      <c r="G34" s="145">
        <v>1123</v>
      </c>
      <c r="H34" s="145">
        <v>152470506.96000001</v>
      </c>
      <c r="I34" s="145">
        <v>12454</v>
      </c>
      <c r="J34" s="253"/>
      <c r="K34" s="208">
        <v>7713</v>
      </c>
      <c r="L34" s="208">
        <v>4302</v>
      </c>
      <c r="M34" s="208">
        <v>439</v>
      </c>
    </row>
    <row r="35" spans="1:13" ht="13.15" customHeight="1">
      <c r="A35" s="171" t="s">
        <v>404</v>
      </c>
      <c r="B35" s="970" t="s">
        <v>1036</v>
      </c>
      <c r="C35" s="145">
        <v>11219</v>
      </c>
      <c r="D35" s="145">
        <v>10147204.800000001</v>
      </c>
      <c r="E35" s="145"/>
      <c r="F35" s="252">
        <v>4689</v>
      </c>
      <c r="G35" s="145">
        <v>445</v>
      </c>
      <c r="H35" s="145">
        <v>62116417.68</v>
      </c>
      <c r="I35" s="145">
        <v>5134</v>
      </c>
      <c r="J35" s="253"/>
      <c r="K35" s="208">
        <v>3223</v>
      </c>
      <c r="L35" s="208">
        <v>1723</v>
      </c>
      <c r="M35" s="208">
        <v>188</v>
      </c>
    </row>
    <row r="36" spans="1:13" ht="13.15" customHeight="1">
      <c r="A36" s="171" t="s">
        <v>407</v>
      </c>
      <c r="B36" s="970" t="s">
        <v>1037</v>
      </c>
      <c r="C36" s="145">
        <v>1226129</v>
      </c>
      <c r="D36" s="145">
        <v>1109965733.73</v>
      </c>
      <c r="E36" s="145"/>
      <c r="F36" s="252">
        <v>426898</v>
      </c>
      <c r="G36" s="145">
        <v>130470</v>
      </c>
      <c r="H36" s="145">
        <v>10279307167.51</v>
      </c>
      <c r="I36" s="145">
        <v>557368</v>
      </c>
      <c r="J36" s="253"/>
      <c r="K36" s="208">
        <v>316888</v>
      </c>
      <c r="L36" s="208">
        <v>219385</v>
      </c>
      <c r="M36" s="208">
        <v>21095</v>
      </c>
    </row>
    <row r="37" spans="1:13" ht="13.15" customHeight="1">
      <c r="A37" s="171" t="s">
        <v>410</v>
      </c>
      <c r="B37" s="970" t="s">
        <v>1038</v>
      </c>
      <c r="C37" s="145">
        <v>81943</v>
      </c>
      <c r="D37" s="145">
        <v>74357568.239999995</v>
      </c>
      <c r="E37" s="145"/>
      <c r="F37" s="252">
        <v>28370</v>
      </c>
      <c r="G37" s="145">
        <v>7003</v>
      </c>
      <c r="H37" s="145">
        <v>591336553.41999996</v>
      </c>
      <c r="I37" s="145">
        <v>35373</v>
      </c>
      <c r="J37" s="253"/>
      <c r="K37" s="208">
        <v>19076</v>
      </c>
      <c r="L37" s="208">
        <v>15281</v>
      </c>
      <c r="M37" s="208">
        <v>1016</v>
      </c>
    </row>
    <row r="38" spans="1:13" ht="24" customHeight="1">
      <c r="A38" s="171" t="s">
        <v>413</v>
      </c>
      <c r="B38" s="970" t="s">
        <v>1039</v>
      </c>
      <c r="C38" s="145">
        <v>16026</v>
      </c>
      <c r="D38" s="145">
        <v>14477905.75</v>
      </c>
      <c r="E38" s="145"/>
      <c r="F38" s="252">
        <v>6590</v>
      </c>
      <c r="G38" s="145">
        <v>279</v>
      </c>
      <c r="H38" s="145">
        <v>86519608.75</v>
      </c>
      <c r="I38" s="145">
        <v>6869</v>
      </c>
      <c r="J38" s="253"/>
      <c r="K38" s="208">
        <v>3478</v>
      </c>
      <c r="L38" s="208">
        <v>3222</v>
      </c>
      <c r="M38" s="208">
        <v>169</v>
      </c>
    </row>
    <row r="39" spans="1:13" ht="13.15" customHeight="1">
      <c r="A39" s="171" t="s">
        <v>415</v>
      </c>
      <c r="B39" s="970" t="s">
        <v>1040</v>
      </c>
      <c r="C39" s="145">
        <v>29277</v>
      </c>
      <c r="D39" s="145">
        <v>26360654.579999998</v>
      </c>
      <c r="E39" s="145"/>
      <c r="F39" s="252">
        <v>11586</v>
      </c>
      <c r="G39" s="145">
        <v>1040</v>
      </c>
      <c r="H39" s="145">
        <v>157773909.37</v>
      </c>
      <c r="I39" s="145">
        <v>12626</v>
      </c>
      <c r="J39" s="253"/>
      <c r="K39" s="208">
        <v>6711</v>
      </c>
      <c r="L39" s="208">
        <v>5465</v>
      </c>
      <c r="M39" s="208">
        <v>450</v>
      </c>
    </row>
    <row r="40" spans="1:13" ht="13.15" customHeight="1">
      <c r="A40" s="171" t="s">
        <v>418</v>
      </c>
      <c r="B40" s="970" t="s">
        <v>1041</v>
      </c>
      <c r="C40" s="145">
        <v>55936</v>
      </c>
      <c r="D40" s="145">
        <v>50435157.43</v>
      </c>
      <c r="E40" s="145"/>
      <c r="F40" s="252">
        <v>22285</v>
      </c>
      <c r="G40" s="145">
        <v>1580</v>
      </c>
      <c r="H40" s="145">
        <v>306905129.75</v>
      </c>
      <c r="I40" s="145">
        <v>23865</v>
      </c>
      <c r="J40" s="253"/>
      <c r="K40" s="208">
        <v>12547</v>
      </c>
      <c r="L40" s="208">
        <v>10649</v>
      </c>
      <c r="M40" s="208">
        <v>669</v>
      </c>
    </row>
    <row r="41" spans="1:13" ht="13.15" customHeight="1">
      <c r="A41" s="171" t="s">
        <v>420</v>
      </c>
      <c r="B41" s="970" t="s">
        <v>1042</v>
      </c>
      <c r="C41" s="145">
        <v>105679</v>
      </c>
      <c r="D41" s="145">
        <v>95588149.890000001</v>
      </c>
      <c r="E41" s="145"/>
      <c r="F41" s="252">
        <v>41363</v>
      </c>
      <c r="G41" s="145">
        <v>4972</v>
      </c>
      <c r="H41" s="145">
        <v>602177867.91999996</v>
      </c>
      <c r="I41" s="145">
        <v>46335</v>
      </c>
      <c r="J41" s="253"/>
      <c r="K41" s="208">
        <v>25726</v>
      </c>
      <c r="L41" s="208">
        <v>19197</v>
      </c>
      <c r="M41" s="208">
        <v>1412</v>
      </c>
    </row>
    <row r="42" spans="1:13" ht="13.15" customHeight="1">
      <c r="A42" s="171" t="s">
        <v>423</v>
      </c>
      <c r="B42" s="970" t="s">
        <v>1043</v>
      </c>
      <c r="C42" s="145">
        <v>16504</v>
      </c>
      <c r="D42" s="145">
        <v>14964585.949999999</v>
      </c>
      <c r="E42" s="145"/>
      <c r="F42" s="252">
        <v>7120</v>
      </c>
      <c r="G42" s="145">
        <v>220</v>
      </c>
      <c r="H42" s="145">
        <v>86206573.269999996</v>
      </c>
      <c r="I42" s="145">
        <v>7340</v>
      </c>
      <c r="J42" s="253"/>
      <c r="K42" s="208">
        <v>4114</v>
      </c>
      <c r="L42" s="208">
        <v>3027</v>
      </c>
      <c r="M42" s="208">
        <v>199</v>
      </c>
    </row>
    <row r="43" spans="1:13" ht="17.149999999999999" customHeight="1">
      <c r="A43" s="172" t="s">
        <v>597</v>
      </c>
      <c r="B43" s="985"/>
      <c r="C43" s="145"/>
      <c r="D43" s="145"/>
      <c r="E43" s="145"/>
      <c r="F43" s="145"/>
      <c r="G43" s="145"/>
      <c r="H43" s="145"/>
      <c r="I43" s="145"/>
      <c r="J43" s="145"/>
      <c r="K43" s="208"/>
      <c r="L43" s="208"/>
      <c r="M43" s="208"/>
    </row>
    <row r="44" spans="1:13" ht="15" customHeight="1">
      <c r="A44" s="175" t="str">
        <f>A2</f>
        <v>Exemptions, Standard and Itemized Deductions, and Number of Returns by Filing Status/Locality</v>
      </c>
      <c r="B44" s="985"/>
      <c r="C44" s="145"/>
      <c r="D44" s="145"/>
      <c r="E44" s="145"/>
      <c r="F44" s="145"/>
      <c r="G44" s="145"/>
      <c r="H44" s="145"/>
      <c r="I44" s="145"/>
      <c r="J44" s="145"/>
      <c r="K44" s="208"/>
      <c r="L44" s="208"/>
      <c r="M44" s="208"/>
    </row>
    <row r="45" spans="1:13" ht="15" customHeight="1">
      <c r="A45" s="993" t="str">
        <f>A$3</f>
        <v>Taxable Year 2022</v>
      </c>
      <c r="B45" s="986"/>
      <c r="C45" s="145"/>
      <c r="D45" s="145"/>
      <c r="E45" s="145"/>
      <c r="F45" s="145"/>
      <c r="G45" s="145"/>
      <c r="H45" s="145"/>
      <c r="I45" s="145"/>
      <c r="J45" s="145"/>
      <c r="K45" s="208"/>
      <c r="L45" s="208"/>
      <c r="M45" s="208"/>
    </row>
    <row r="46" spans="1:13" ht="3" customHeight="1">
      <c r="C46" s="254"/>
      <c r="D46" s="254"/>
      <c r="E46" s="254"/>
      <c r="F46" s="254"/>
      <c r="G46" s="254"/>
      <c r="H46" s="254"/>
      <c r="I46" s="254"/>
      <c r="J46" s="254"/>
      <c r="K46" s="255"/>
      <c r="L46" s="255"/>
      <c r="M46" s="255"/>
    </row>
    <row r="47" spans="1:13" ht="3" customHeight="1" thickBot="1">
      <c r="A47" s="184"/>
      <c r="C47" s="145"/>
      <c r="D47" s="171"/>
      <c r="E47" s="171"/>
      <c r="F47" s="145"/>
      <c r="G47" s="145"/>
      <c r="H47" s="171"/>
      <c r="I47" s="145"/>
      <c r="J47" s="145"/>
      <c r="K47" s="208"/>
      <c r="L47" s="208"/>
      <c r="M47" s="210"/>
    </row>
    <row r="48" spans="1:13" ht="13.15" customHeight="1">
      <c r="A48" s="800"/>
      <c r="B48" s="987"/>
      <c r="C48" s="971" t="s">
        <v>306</v>
      </c>
      <c r="D48" s="971"/>
      <c r="E48" s="237"/>
      <c r="F48" s="809" t="s">
        <v>307</v>
      </c>
      <c r="G48" s="972"/>
      <c r="H48" s="972"/>
      <c r="I48" s="972"/>
      <c r="J48" s="238"/>
      <c r="K48" s="973" t="s">
        <v>594</v>
      </c>
      <c r="L48" s="973"/>
      <c r="M48" s="974"/>
    </row>
    <row r="49" spans="1:13" ht="25" customHeight="1">
      <c r="A49" s="983" t="s">
        <v>18</v>
      </c>
      <c r="B49" s="984" t="s">
        <v>910</v>
      </c>
      <c r="C49" s="977" t="s">
        <v>595</v>
      </c>
      <c r="D49" s="976" t="s">
        <v>16</v>
      </c>
      <c r="E49" s="976"/>
      <c r="F49" s="978" t="s">
        <v>305</v>
      </c>
      <c r="G49" s="977" t="s">
        <v>304</v>
      </c>
      <c r="H49" s="976" t="s">
        <v>16</v>
      </c>
      <c r="I49" s="979" t="s">
        <v>1143</v>
      </c>
      <c r="J49" s="980"/>
      <c r="K49" s="981" t="s">
        <v>596</v>
      </c>
      <c r="L49" s="982" t="s">
        <v>1144</v>
      </c>
      <c r="M49" s="975" t="s">
        <v>1145</v>
      </c>
    </row>
    <row r="50" spans="1:13" ht="24" customHeight="1">
      <c r="A50" s="171" t="s">
        <v>426</v>
      </c>
      <c r="B50" s="970" t="s">
        <v>1044</v>
      </c>
      <c r="C50" s="145">
        <v>40555</v>
      </c>
      <c r="D50" s="150">
        <v>36599234.789999999</v>
      </c>
      <c r="E50" s="150"/>
      <c r="F50" s="252">
        <v>16468</v>
      </c>
      <c r="G50" s="145">
        <v>1491</v>
      </c>
      <c r="H50" s="150">
        <v>231889021.19999999</v>
      </c>
      <c r="I50" s="145">
        <v>17959</v>
      </c>
      <c r="J50" s="253"/>
      <c r="K50" s="208">
        <v>9755</v>
      </c>
      <c r="L50" s="208">
        <v>7604</v>
      </c>
      <c r="M50" s="208">
        <v>600</v>
      </c>
    </row>
    <row r="51" spans="1:13" ht="13.15" customHeight="1">
      <c r="A51" s="171" t="s">
        <v>428</v>
      </c>
      <c r="B51" s="970" t="s">
        <v>1045</v>
      </c>
      <c r="C51" s="145">
        <v>31333</v>
      </c>
      <c r="D51" s="145">
        <v>28119881.920000002</v>
      </c>
      <c r="E51" s="145"/>
      <c r="F51" s="252">
        <v>10537</v>
      </c>
      <c r="G51" s="145">
        <v>2379</v>
      </c>
      <c r="H51" s="145">
        <v>210643933.41</v>
      </c>
      <c r="I51" s="145">
        <v>12916</v>
      </c>
      <c r="J51" s="253"/>
      <c r="K51" s="208">
        <v>6054</v>
      </c>
      <c r="L51" s="208">
        <v>6442</v>
      </c>
      <c r="M51" s="208">
        <v>420</v>
      </c>
    </row>
    <row r="52" spans="1:13" ht="13.15" customHeight="1">
      <c r="A52" s="171" t="s">
        <v>430</v>
      </c>
      <c r="B52" s="970" t="s">
        <v>1046</v>
      </c>
      <c r="C52" s="145">
        <v>14805</v>
      </c>
      <c r="D52" s="145">
        <v>13373501.23</v>
      </c>
      <c r="E52" s="145"/>
      <c r="F52" s="252">
        <v>6235</v>
      </c>
      <c r="G52" s="145">
        <v>200</v>
      </c>
      <c r="H52" s="145">
        <v>77786529.299999997</v>
      </c>
      <c r="I52" s="145">
        <v>6435</v>
      </c>
      <c r="J52" s="253"/>
      <c r="K52" s="208">
        <v>3316</v>
      </c>
      <c r="L52" s="208">
        <v>2878</v>
      </c>
      <c r="M52" s="208">
        <v>241</v>
      </c>
    </row>
    <row r="53" spans="1:13" ht="13.15" customHeight="1">
      <c r="A53" s="171" t="s">
        <v>433</v>
      </c>
      <c r="B53" s="970" t="s">
        <v>1047</v>
      </c>
      <c r="C53" s="145">
        <v>21306</v>
      </c>
      <c r="D53" s="145">
        <v>19290871.050000001</v>
      </c>
      <c r="E53" s="145"/>
      <c r="F53" s="252">
        <v>8615</v>
      </c>
      <c r="G53" s="145">
        <v>717</v>
      </c>
      <c r="H53" s="145">
        <v>127896134.31999999</v>
      </c>
      <c r="I53" s="145">
        <v>9332</v>
      </c>
      <c r="J53" s="253"/>
      <c r="K53" s="208">
        <v>5149</v>
      </c>
      <c r="L53" s="208">
        <v>3882</v>
      </c>
      <c r="M53" s="208">
        <v>301</v>
      </c>
    </row>
    <row r="54" spans="1:13" ht="13.15" customHeight="1">
      <c r="A54" s="171" t="s">
        <v>436</v>
      </c>
      <c r="B54" s="970" t="s">
        <v>1048</v>
      </c>
      <c r="C54" s="145">
        <v>10666</v>
      </c>
      <c r="D54" s="145">
        <v>9696104.2899999991</v>
      </c>
      <c r="E54" s="145"/>
      <c r="F54" s="252">
        <v>4540</v>
      </c>
      <c r="G54" s="145">
        <v>409</v>
      </c>
      <c r="H54" s="145">
        <v>58921467.299999997</v>
      </c>
      <c r="I54" s="145">
        <v>4949</v>
      </c>
      <c r="J54" s="253"/>
      <c r="K54" s="208">
        <v>3462</v>
      </c>
      <c r="L54" s="208">
        <v>1271</v>
      </c>
      <c r="M54" s="208">
        <v>216</v>
      </c>
    </row>
    <row r="55" spans="1:13" ht="24" customHeight="1">
      <c r="A55" s="171" t="s">
        <v>312</v>
      </c>
      <c r="B55" s="970" t="s">
        <v>1049</v>
      </c>
      <c r="C55" s="145">
        <v>32966</v>
      </c>
      <c r="D55" s="145">
        <v>29877673.579999998</v>
      </c>
      <c r="E55" s="145"/>
      <c r="F55" s="252">
        <v>14155</v>
      </c>
      <c r="G55" s="145">
        <v>673</v>
      </c>
      <c r="H55" s="145">
        <v>167456374.56</v>
      </c>
      <c r="I55" s="145">
        <v>14828</v>
      </c>
      <c r="J55" s="253"/>
      <c r="K55" s="208">
        <v>9303</v>
      </c>
      <c r="L55" s="208">
        <v>4954</v>
      </c>
      <c r="M55" s="208">
        <v>571</v>
      </c>
    </row>
    <row r="56" spans="1:13" ht="13.15" customHeight="1">
      <c r="A56" s="171" t="s">
        <v>316</v>
      </c>
      <c r="B56" s="970" t="s">
        <v>1050</v>
      </c>
      <c r="C56" s="145">
        <v>125538</v>
      </c>
      <c r="D56" s="145">
        <v>113820086.14</v>
      </c>
      <c r="E56" s="145"/>
      <c r="F56" s="252">
        <v>46899</v>
      </c>
      <c r="G56" s="145">
        <v>6831</v>
      </c>
      <c r="H56" s="145">
        <v>724491948.19000006</v>
      </c>
      <c r="I56" s="145">
        <v>53730</v>
      </c>
      <c r="J56" s="253"/>
      <c r="K56" s="208">
        <v>28123</v>
      </c>
      <c r="L56" s="208">
        <v>24158</v>
      </c>
      <c r="M56" s="208">
        <v>1449</v>
      </c>
    </row>
    <row r="57" spans="1:13" ht="13.15" customHeight="1">
      <c r="A57" s="171" t="s">
        <v>320</v>
      </c>
      <c r="B57" s="970" t="s">
        <v>1051</v>
      </c>
      <c r="C57" s="145">
        <v>342862</v>
      </c>
      <c r="D57" s="145">
        <v>311042806.31999999</v>
      </c>
      <c r="E57" s="145"/>
      <c r="F57" s="252">
        <v>139598</v>
      </c>
      <c r="G57" s="145">
        <v>20378</v>
      </c>
      <c r="H57" s="145">
        <v>2065002061.98</v>
      </c>
      <c r="I57" s="145">
        <v>159976</v>
      </c>
      <c r="J57" s="253"/>
      <c r="K57" s="208">
        <v>102018</v>
      </c>
      <c r="L57" s="208">
        <v>52905</v>
      </c>
      <c r="M57" s="208">
        <v>5053</v>
      </c>
    </row>
    <row r="58" spans="1:13" ht="13.15" customHeight="1">
      <c r="A58" s="171" t="s">
        <v>324</v>
      </c>
      <c r="B58" s="970" t="s">
        <v>1052</v>
      </c>
      <c r="C58" s="145">
        <v>48694</v>
      </c>
      <c r="D58" s="145">
        <v>44198238.32</v>
      </c>
      <c r="E58" s="145"/>
      <c r="F58" s="252">
        <v>21256</v>
      </c>
      <c r="G58" s="145">
        <v>818</v>
      </c>
      <c r="H58" s="145">
        <v>253197712.97999999</v>
      </c>
      <c r="I58" s="145">
        <v>22074</v>
      </c>
      <c r="J58" s="253"/>
      <c r="K58" s="208">
        <v>13567</v>
      </c>
      <c r="L58" s="208">
        <v>7765</v>
      </c>
      <c r="M58" s="208">
        <v>742</v>
      </c>
    </row>
    <row r="59" spans="1:13" ht="13.15" customHeight="1">
      <c r="A59" s="171" t="s">
        <v>328</v>
      </c>
      <c r="B59" s="970" t="s">
        <v>1053</v>
      </c>
      <c r="C59" s="145">
        <v>2723</v>
      </c>
      <c r="D59" s="145">
        <v>2436179.7999999998</v>
      </c>
      <c r="E59" s="145"/>
      <c r="F59" s="252">
        <v>1020</v>
      </c>
      <c r="G59" s="145">
        <v>57</v>
      </c>
      <c r="H59" s="145">
        <v>14174464.07</v>
      </c>
      <c r="I59" s="145">
        <v>1077</v>
      </c>
      <c r="J59" s="253"/>
      <c r="K59" s="208">
        <v>507</v>
      </c>
      <c r="L59" s="208">
        <v>552</v>
      </c>
      <c r="M59" s="208">
        <v>18</v>
      </c>
    </row>
    <row r="60" spans="1:13" ht="24" customHeight="1">
      <c r="A60" s="171" t="s">
        <v>332</v>
      </c>
      <c r="B60" s="970" t="s">
        <v>1054</v>
      </c>
      <c r="C60" s="145">
        <v>41772</v>
      </c>
      <c r="D60" s="145">
        <v>37712104.229999997</v>
      </c>
      <c r="E60" s="145"/>
      <c r="F60" s="252">
        <v>15570</v>
      </c>
      <c r="G60" s="145">
        <v>2399</v>
      </c>
      <c r="H60" s="145">
        <v>241500532.34999999</v>
      </c>
      <c r="I60" s="145">
        <v>17969</v>
      </c>
      <c r="J60" s="253"/>
      <c r="K60" s="208">
        <v>9470</v>
      </c>
      <c r="L60" s="208">
        <v>7852</v>
      </c>
      <c r="M60" s="208">
        <v>647</v>
      </c>
    </row>
    <row r="61" spans="1:13" ht="13.15" customHeight="1">
      <c r="A61" s="171" t="s">
        <v>336</v>
      </c>
      <c r="B61" s="970" t="s">
        <v>1055</v>
      </c>
      <c r="C61" s="145">
        <v>93799</v>
      </c>
      <c r="D61" s="145">
        <v>83641126.760000005</v>
      </c>
      <c r="E61" s="145"/>
      <c r="F61" s="252">
        <v>32852</v>
      </c>
      <c r="G61" s="145">
        <v>5849</v>
      </c>
      <c r="H61" s="145">
        <v>568864658.92999995</v>
      </c>
      <c r="I61" s="145">
        <v>38701</v>
      </c>
      <c r="J61" s="253"/>
      <c r="K61" s="208">
        <v>19837</v>
      </c>
      <c r="L61" s="208">
        <v>17631</v>
      </c>
      <c r="M61" s="208">
        <v>1233</v>
      </c>
    </row>
    <row r="62" spans="1:13" ht="13.15" customHeight="1">
      <c r="A62" s="171" t="s">
        <v>340</v>
      </c>
      <c r="B62" s="970" t="s">
        <v>1056</v>
      </c>
      <c r="C62" s="145">
        <v>7066</v>
      </c>
      <c r="D62" s="145">
        <v>6408977.5800000001</v>
      </c>
      <c r="E62" s="145"/>
      <c r="F62" s="252">
        <v>3030</v>
      </c>
      <c r="G62" s="145">
        <v>238</v>
      </c>
      <c r="H62" s="145">
        <v>40814205.090000004</v>
      </c>
      <c r="I62" s="145">
        <v>3268</v>
      </c>
      <c r="J62" s="253"/>
      <c r="K62" s="208">
        <v>1990</v>
      </c>
      <c r="L62" s="208">
        <v>1159</v>
      </c>
      <c r="M62" s="208">
        <v>119</v>
      </c>
    </row>
    <row r="63" spans="1:13" ht="13.15" customHeight="1">
      <c r="A63" s="171" t="s">
        <v>344</v>
      </c>
      <c r="B63" s="970" t="s">
        <v>1057</v>
      </c>
      <c r="C63" s="145">
        <v>29434</v>
      </c>
      <c r="D63" s="145">
        <v>26704658.57</v>
      </c>
      <c r="E63" s="145"/>
      <c r="F63" s="252">
        <v>10903</v>
      </c>
      <c r="G63" s="145">
        <v>1829</v>
      </c>
      <c r="H63" s="145">
        <v>173560602.93000001</v>
      </c>
      <c r="I63" s="145">
        <v>12732</v>
      </c>
      <c r="J63" s="253"/>
      <c r="K63" s="208">
        <v>6850</v>
      </c>
      <c r="L63" s="208">
        <v>5325</v>
      </c>
      <c r="M63" s="208">
        <v>557</v>
      </c>
    </row>
    <row r="64" spans="1:13" ht="13.15" customHeight="1">
      <c r="A64" s="171" t="s">
        <v>348</v>
      </c>
      <c r="B64" s="970" t="s">
        <v>1058</v>
      </c>
      <c r="C64" s="145">
        <v>19687</v>
      </c>
      <c r="D64" s="145">
        <v>17913328.739999998</v>
      </c>
      <c r="E64" s="145"/>
      <c r="F64" s="252">
        <v>8178</v>
      </c>
      <c r="G64" s="145">
        <v>617</v>
      </c>
      <c r="H64" s="145">
        <v>108480009.66</v>
      </c>
      <c r="I64" s="145">
        <v>8795</v>
      </c>
      <c r="J64" s="253"/>
      <c r="K64" s="208">
        <v>4867</v>
      </c>
      <c r="L64" s="208">
        <v>3653</v>
      </c>
      <c r="M64" s="208">
        <v>275</v>
      </c>
    </row>
    <row r="65" spans="1:13" ht="24" customHeight="1">
      <c r="A65" s="171" t="s">
        <v>352</v>
      </c>
      <c r="B65" s="970" t="s">
        <v>1059</v>
      </c>
      <c r="C65" s="145">
        <v>13057</v>
      </c>
      <c r="D65" s="145">
        <v>11650540.289999999</v>
      </c>
      <c r="E65" s="145"/>
      <c r="F65" s="252">
        <v>4643</v>
      </c>
      <c r="G65" s="145">
        <v>898</v>
      </c>
      <c r="H65" s="145">
        <v>90420798.599999994</v>
      </c>
      <c r="I65" s="145">
        <v>5541</v>
      </c>
      <c r="J65" s="253"/>
      <c r="K65" s="208">
        <v>3171</v>
      </c>
      <c r="L65" s="208">
        <v>2203</v>
      </c>
      <c r="M65" s="208">
        <v>167</v>
      </c>
    </row>
    <row r="66" spans="1:13" ht="13.15" customHeight="1">
      <c r="A66" s="171" t="s">
        <v>356</v>
      </c>
      <c r="B66" s="970" t="s">
        <v>1060</v>
      </c>
      <c r="C66" s="145">
        <v>17902</v>
      </c>
      <c r="D66" s="145">
        <v>16209805.359999999</v>
      </c>
      <c r="E66" s="145"/>
      <c r="F66" s="252">
        <v>7398</v>
      </c>
      <c r="G66" s="145">
        <v>176</v>
      </c>
      <c r="H66" s="145">
        <v>92016521.590000004</v>
      </c>
      <c r="I66" s="145">
        <v>7574</v>
      </c>
      <c r="J66" s="253"/>
      <c r="K66" s="208">
        <v>4080</v>
      </c>
      <c r="L66" s="208">
        <v>3272</v>
      </c>
      <c r="M66" s="208">
        <v>222</v>
      </c>
    </row>
    <row r="67" spans="1:13" ht="13.15" customHeight="1">
      <c r="A67" s="171" t="s">
        <v>360</v>
      </c>
      <c r="B67" s="970" t="s">
        <v>1061</v>
      </c>
      <c r="C67" s="145">
        <v>478808</v>
      </c>
      <c r="D67" s="145">
        <v>436111185.02999997</v>
      </c>
      <c r="E67" s="145"/>
      <c r="F67" s="252">
        <v>150991</v>
      </c>
      <c r="G67" s="145">
        <v>51695</v>
      </c>
      <c r="H67" s="145">
        <v>3342091518.4499998</v>
      </c>
      <c r="I67" s="145">
        <v>202686</v>
      </c>
      <c r="J67" s="253"/>
      <c r="K67" s="208">
        <v>102414</v>
      </c>
      <c r="L67" s="208">
        <v>93392</v>
      </c>
      <c r="M67" s="208">
        <v>6880</v>
      </c>
    </row>
    <row r="68" spans="1:13" ht="13.15" customHeight="1">
      <c r="A68" s="171" t="s">
        <v>364</v>
      </c>
      <c r="B68" s="970" t="s">
        <v>1062</v>
      </c>
      <c r="C68" s="145">
        <v>41359</v>
      </c>
      <c r="D68" s="145">
        <v>37416213.009999998</v>
      </c>
      <c r="E68" s="145"/>
      <c r="F68" s="252">
        <v>16393</v>
      </c>
      <c r="G68" s="145">
        <v>1654</v>
      </c>
      <c r="H68" s="145">
        <v>229845859.97999999</v>
      </c>
      <c r="I68" s="145">
        <v>18047</v>
      </c>
      <c r="J68" s="253"/>
      <c r="K68" s="208">
        <v>9759</v>
      </c>
      <c r="L68" s="208">
        <v>7694</v>
      </c>
      <c r="M68" s="208">
        <v>594</v>
      </c>
    </row>
    <row r="69" spans="1:13" ht="13.15" customHeight="1">
      <c r="A69" s="171" t="s">
        <v>368</v>
      </c>
      <c r="B69" s="970" t="s">
        <v>1063</v>
      </c>
      <c r="C69" s="145">
        <v>10417</v>
      </c>
      <c r="D69" s="145">
        <v>9413920.2300000004</v>
      </c>
      <c r="E69" s="145"/>
      <c r="F69" s="252">
        <v>4329</v>
      </c>
      <c r="G69" s="145">
        <v>185</v>
      </c>
      <c r="H69" s="145">
        <v>51263835.060000002</v>
      </c>
      <c r="I69" s="145">
        <v>4514</v>
      </c>
      <c r="J69" s="253"/>
      <c r="K69" s="208">
        <v>2767</v>
      </c>
      <c r="L69" s="208">
        <v>1587</v>
      </c>
      <c r="M69" s="208">
        <v>160</v>
      </c>
    </row>
    <row r="70" spans="1:13" ht="24" customHeight="1">
      <c r="A70" s="171" t="s">
        <v>372</v>
      </c>
      <c r="B70" s="970" t="s">
        <v>1064</v>
      </c>
      <c r="C70" s="145">
        <v>14082</v>
      </c>
      <c r="D70" s="145">
        <v>12732757.890000001</v>
      </c>
      <c r="E70" s="145"/>
      <c r="F70" s="252">
        <v>5616</v>
      </c>
      <c r="G70" s="145">
        <v>494</v>
      </c>
      <c r="H70" s="145">
        <v>79415190.430000007</v>
      </c>
      <c r="I70" s="145">
        <v>6110</v>
      </c>
      <c r="J70" s="253"/>
      <c r="K70" s="208">
        <v>3304</v>
      </c>
      <c r="L70" s="208">
        <v>2637</v>
      </c>
      <c r="M70" s="208">
        <v>169</v>
      </c>
    </row>
    <row r="71" spans="1:13" ht="13.15" customHeight="1">
      <c r="A71" s="171" t="s">
        <v>374</v>
      </c>
      <c r="B71" s="970" t="s">
        <v>1065</v>
      </c>
      <c r="C71" s="145">
        <v>9886</v>
      </c>
      <c r="D71" s="145">
        <v>8845597.7200000007</v>
      </c>
      <c r="E71" s="145"/>
      <c r="F71" s="252">
        <v>3867</v>
      </c>
      <c r="G71" s="145">
        <v>331</v>
      </c>
      <c r="H71" s="145">
        <v>55189014.359999999</v>
      </c>
      <c r="I71" s="145">
        <v>4198</v>
      </c>
      <c r="J71" s="253"/>
      <c r="K71" s="208">
        <v>2169</v>
      </c>
      <c r="L71" s="208">
        <v>1896</v>
      </c>
      <c r="M71" s="208">
        <v>133</v>
      </c>
    </row>
    <row r="72" spans="1:13" ht="13.15" customHeight="1">
      <c r="A72" s="171" t="s">
        <v>377</v>
      </c>
      <c r="B72" s="970" t="s">
        <v>1066</v>
      </c>
      <c r="C72" s="145">
        <v>32220</v>
      </c>
      <c r="D72" s="145">
        <v>29062345.109999999</v>
      </c>
      <c r="E72" s="145"/>
      <c r="F72" s="252">
        <v>13437</v>
      </c>
      <c r="G72" s="145">
        <v>878</v>
      </c>
      <c r="H72" s="145">
        <v>182017562.38999999</v>
      </c>
      <c r="I72" s="145">
        <v>14315</v>
      </c>
      <c r="J72" s="253"/>
      <c r="K72" s="208">
        <v>8751</v>
      </c>
      <c r="L72" s="208">
        <v>5094</v>
      </c>
      <c r="M72" s="208">
        <v>470</v>
      </c>
    </row>
    <row r="73" spans="1:13" ht="13.15" customHeight="1">
      <c r="A73" s="171" t="s">
        <v>380</v>
      </c>
      <c r="B73" s="970" t="s">
        <v>1067</v>
      </c>
      <c r="C73" s="145">
        <v>12030</v>
      </c>
      <c r="D73" s="145">
        <v>10783695.93</v>
      </c>
      <c r="E73" s="145"/>
      <c r="F73" s="252">
        <v>4655</v>
      </c>
      <c r="G73" s="145">
        <v>439</v>
      </c>
      <c r="H73" s="145">
        <v>67178955.150000006</v>
      </c>
      <c r="I73" s="145">
        <v>5094</v>
      </c>
      <c r="J73" s="253"/>
      <c r="K73" s="208">
        <v>2735</v>
      </c>
      <c r="L73" s="208">
        <v>2212</v>
      </c>
      <c r="M73" s="208">
        <v>147</v>
      </c>
    </row>
    <row r="74" spans="1:13" ht="13.15" customHeight="1">
      <c r="A74" s="171" t="s">
        <v>383</v>
      </c>
      <c r="B74" s="970" t="s">
        <v>1068</v>
      </c>
      <c r="C74" s="145">
        <v>80120</v>
      </c>
      <c r="D74" s="145">
        <v>72261307.689999998</v>
      </c>
      <c r="E74" s="145"/>
      <c r="F74" s="252">
        <v>35569</v>
      </c>
      <c r="G74" s="145">
        <v>3115</v>
      </c>
      <c r="H74" s="145">
        <v>477225718.54000002</v>
      </c>
      <c r="I74" s="145">
        <v>38684</v>
      </c>
      <c r="J74" s="253"/>
      <c r="K74" s="208">
        <v>23448</v>
      </c>
      <c r="L74" s="208">
        <v>13958</v>
      </c>
      <c r="M74" s="208">
        <v>1278</v>
      </c>
    </row>
    <row r="75" spans="1:13" ht="24" customHeight="1">
      <c r="A75" s="171" t="s">
        <v>385</v>
      </c>
      <c r="B75" s="970" t="s">
        <v>1069</v>
      </c>
      <c r="C75" s="145">
        <v>16975</v>
      </c>
      <c r="D75" s="145">
        <v>15256985.9</v>
      </c>
      <c r="E75" s="145"/>
      <c r="F75" s="252">
        <v>6668</v>
      </c>
      <c r="G75" s="145">
        <v>620</v>
      </c>
      <c r="H75" s="145">
        <v>116454551.41</v>
      </c>
      <c r="I75" s="145">
        <v>7288</v>
      </c>
      <c r="J75" s="253"/>
      <c r="K75" s="208">
        <v>3931</v>
      </c>
      <c r="L75" s="208">
        <v>3149</v>
      </c>
      <c r="M75" s="208">
        <v>208</v>
      </c>
    </row>
    <row r="76" spans="1:13" ht="13.15" customHeight="1">
      <c r="A76" s="171" t="s">
        <v>388</v>
      </c>
      <c r="B76" s="970" t="s">
        <v>1070</v>
      </c>
      <c r="C76" s="145">
        <v>28764</v>
      </c>
      <c r="D76" s="145">
        <v>25892677.170000002</v>
      </c>
      <c r="E76" s="145"/>
      <c r="F76" s="252">
        <v>10637</v>
      </c>
      <c r="G76" s="145">
        <v>1546</v>
      </c>
      <c r="H76" s="145">
        <v>173762030.63999999</v>
      </c>
      <c r="I76" s="145">
        <v>12183</v>
      </c>
      <c r="J76" s="253"/>
      <c r="K76" s="208">
        <v>5923</v>
      </c>
      <c r="L76" s="208">
        <v>5830</v>
      </c>
      <c r="M76" s="208">
        <v>430</v>
      </c>
    </row>
    <row r="77" spans="1:13" ht="13.15" customHeight="1">
      <c r="A77" s="171" t="s">
        <v>390</v>
      </c>
      <c r="B77" s="970" t="s">
        <v>1071</v>
      </c>
      <c r="C77" s="145">
        <v>12683</v>
      </c>
      <c r="D77" s="145">
        <v>11366240.52</v>
      </c>
      <c r="E77" s="145"/>
      <c r="F77" s="252">
        <v>5207</v>
      </c>
      <c r="G77" s="145">
        <v>475</v>
      </c>
      <c r="H77" s="145">
        <v>79976839.400000006</v>
      </c>
      <c r="I77" s="145">
        <v>5682</v>
      </c>
      <c r="J77" s="253"/>
      <c r="K77" s="208">
        <v>3556</v>
      </c>
      <c r="L77" s="208">
        <v>1935</v>
      </c>
      <c r="M77" s="208">
        <v>191</v>
      </c>
    </row>
    <row r="78" spans="1:13" ht="13.15" customHeight="1">
      <c r="A78" s="171" t="s">
        <v>393</v>
      </c>
      <c r="B78" s="970" t="s">
        <v>1072</v>
      </c>
      <c r="C78" s="145">
        <v>14617</v>
      </c>
      <c r="D78" s="145">
        <v>13039487.77</v>
      </c>
      <c r="E78" s="145"/>
      <c r="F78" s="252">
        <v>5336</v>
      </c>
      <c r="G78" s="145">
        <v>736</v>
      </c>
      <c r="H78" s="145">
        <v>84345385.790000007</v>
      </c>
      <c r="I78" s="145">
        <v>6072</v>
      </c>
      <c r="J78" s="253"/>
      <c r="K78" s="208">
        <v>3248</v>
      </c>
      <c r="L78" s="208">
        <v>2626</v>
      </c>
      <c r="M78" s="208">
        <v>198</v>
      </c>
    </row>
    <row r="79" spans="1:13" ht="13.15" customHeight="1">
      <c r="A79" s="171" t="s">
        <v>396</v>
      </c>
      <c r="B79" s="970" t="s">
        <v>1073</v>
      </c>
      <c r="C79" s="145">
        <v>13024</v>
      </c>
      <c r="D79" s="145">
        <v>11819768.550000001</v>
      </c>
      <c r="E79" s="145"/>
      <c r="F79" s="252">
        <v>5527</v>
      </c>
      <c r="G79" s="145">
        <v>257</v>
      </c>
      <c r="H79" s="145">
        <v>66230308.32</v>
      </c>
      <c r="I79" s="145">
        <v>5784</v>
      </c>
      <c r="J79" s="253"/>
      <c r="K79" s="208">
        <v>3656</v>
      </c>
      <c r="L79" s="208">
        <v>1949</v>
      </c>
      <c r="M79" s="208">
        <v>179</v>
      </c>
    </row>
    <row r="80" spans="1:13" ht="24" customHeight="1">
      <c r="A80" s="171" t="s">
        <v>399</v>
      </c>
      <c r="B80" s="970" t="s">
        <v>1074</v>
      </c>
      <c r="C80" s="145">
        <v>42115</v>
      </c>
      <c r="D80" s="145">
        <v>38046827.560000002</v>
      </c>
      <c r="E80" s="145"/>
      <c r="F80" s="252">
        <v>16548</v>
      </c>
      <c r="G80" s="145">
        <v>1842</v>
      </c>
      <c r="H80" s="145">
        <v>242316485.28999999</v>
      </c>
      <c r="I80" s="145">
        <v>18390</v>
      </c>
      <c r="J80" s="253"/>
      <c r="K80" s="208">
        <v>10318</v>
      </c>
      <c r="L80" s="208">
        <v>7475</v>
      </c>
      <c r="M80" s="208">
        <v>597</v>
      </c>
    </row>
    <row r="81" spans="1:13" ht="13.15" customHeight="1">
      <c r="A81" s="171" t="s">
        <v>402</v>
      </c>
      <c r="B81" s="970" t="s">
        <v>1075</v>
      </c>
      <c r="C81" s="145">
        <v>23529</v>
      </c>
      <c r="D81" s="145">
        <v>21349021.859999999</v>
      </c>
      <c r="E81" s="145"/>
      <c r="F81" s="252">
        <v>10091</v>
      </c>
      <c r="G81" s="145">
        <v>469</v>
      </c>
      <c r="H81" s="145">
        <v>124441906.70999999</v>
      </c>
      <c r="I81" s="145">
        <v>10560</v>
      </c>
      <c r="J81" s="253"/>
      <c r="K81" s="208">
        <v>6039</v>
      </c>
      <c r="L81" s="208">
        <v>4255</v>
      </c>
      <c r="M81" s="208">
        <v>266</v>
      </c>
    </row>
    <row r="82" spans="1:13" ht="13.15" customHeight="1">
      <c r="A82" s="171" t="s">
        <v>405</v>
      </c>
      <c r="B82" s="970" t="s">
        <v>1076</v>
      </c>
      <c r="C82" s="145">
        <v>16389</v>
      </c>
      <c r="D82" s="145">
        <v>14775671.68</v>
      </c>
      <c r="E82" s="145"/>
      <c r="F82" s="252">
        <v>6843</v>
      </c>
      <c r="G82" s="145">
        <v>239</v>
      </c>
      <c r="H82" s="145">
        <v>84712575.480000004</v>
      </c>
      <c r="I82" s="145">
        <v>7082</v>
      </c>
      <c r="J82" s="253"/>
      <c r="K82" s="208">
        <v>3737</v>
      </c>
      <c r="L82" s="208">
        <v>3121</v>
      </c>
      <c r="M82" s="208">
        <v>224</v>
      </c>
    </row>
    <row r="83" spans="1:13" ht="13.15" customHeight="1">
      <c r="A83" s="171" t="s">
        <v>408</v>
      </c>
      <c r="B83" s="970" t="s">
        <v>1077</v>
      </c>
      <c r="C83" s="145">
        <v>59982</v>
      </c>
      <c r="D83" s="145">
        <v>54379976.590000004</v>
      </c>
      <c r="E83" s="145"/>
      <c r="F83" s="252">
        <v>25107</v>
      </c>
      <c r="G83" s="145">
        <v>1299</v>
      </c>
      <c r="H83" s="145">
        <v>323803980.55000001</v>
      </c>
      <c r="I83" s="145">
        <v>26406</v>
      </c>
      <c r="J83" s="253"/>
      <c r="K83" s="208">
        <v>15110</v>
      </c>
      <c r="L83" s="208">
        <v>10460</v>
      </c>
      <c r="M83" s="208">
        <v>836</v>
      </c>
    </row>
    <row r="84" spans="1:13" ht="13.15" customHeight="1">
      <c r="A84" s="171" t="s">
        <v>411</v>
      </c>
      <c r="B84" s="970" t="s">
        <v>1078</v>
      </c>
      <c r="C84" s="145">
        <v>35257</v>
      </c>
      <c r="D84" s="145">
        <v>31900851.010000002</v>
      </c>
      <c r="E84" s="145"/>
      <c r="F84" s="252">
        <v>12727</v>
      </c>
      <c r="G84" s="145">
        <v>1892</v>
      </c>
      <c r="H84" s="145">
        <v>204139839.74000001</v>
      </c>
      <c r="I84" s="145">
        <v>14619</v>
      </c>
      <c r="J84" s="253"/>
      <c r="K84" s="208">
        <v>6991</v>
      </c>
      <c r="L84" s="208">
        <v>7235</v>
      </c>
      <c r="M84" s="208">
        <v>393</v>
      </c>
    </row>
    <row r="85" spans="1:13" ht="17.149999999999999" customHeight="1">
      <c r="A85" s="172" t="s">
        <v>597</v>
      </c>
      <c r="B85" s="985"/>
      <c r="C85" s="145"/>
      <c r="D85" s="145"/>
      <c r="E85" s="145"/>
      <c r="F85" s="145"/>
      <c r="G85" s="145"/>
      <c r="H85" s="145"/>
      <c r="I85" s="145"/>
      <c r="J85" s="145"/>
      <c r="K85" s="208"/>
      <c r="L85" s="208"/>
      <c r="M85" s="208"/>
    </row>
    <row r="86" spans="1:13" ht="15" customHeight="1">
      <c r="A86" s="175" t="str">
        <f>A44</f>
        <v>Exemptions, Standard and Itemized Deductions, and Number of Returns by Filing Status/Locality</v>
      </c>
      <c r="B86" s="985"/>
      <c r="C86" s="145"/>
      <c r="D86" s="145"/>
      <c r="E86" s="145"/>
      <c r="F86" s="145"/>
      <c r="G86" s="145"/>
      <c r="H86" s="145"/>
      <c r="I86" s="145"/>
      <c r="J86" s="145"/>
      <c r="K86" s="208"/>
      <c r="L86" s="208"/>
      <c r="M86" s="208"/>
    </row>
    <row r="87" spans="1:13" ht="15" customHeight="1">
      <c r="A87" s="993" t="str">
        <f>A$3</f>
        <v>Taxable Year 2022</v>
      </c>
      <c r="B87" s="986"/>
      <c r="C87" s="145"/>
      <c r="D87" s="145"/>
      <c r="E87" s="145"/>
      <c r="F87" s="145"/>
      <c r="G87" s="145"/>
      <c r="H87" s="145"/>
      <c r="I87" s="145"/>
      <c r="J87" s="145"/>
      <c r="K87" s="255"/>
      <c r="L87" s="255"/>
      <c r="M87" s="255"/>
    </row>
    <row r="88" spans="1:13" ht="3" customHeight="1">
      <c r="A88" s="184"/>
      <c r="B88" s="985"/>
      <c r="C88" s="254"/>
      <c r="D88" s="254"/>
      <c r="E88" s="254"/>
      <c r="F88" s="254"/>
      <c r="G88" s="254"/>
      <c r="H88" s="254"/>
      <c r="I88" s="254"/>
      <c r="J88" s="254"/>
      <c r="K88" s="255"/>
      <c r="L88" s="255"/>
      <c r="M88" s="255"/>
    </row>
    <row r="89" spans="1:13" ht="3" customHeight="1" thickBot="1">
      <c r="A89" s="184"/>
      <c r="C89" s="145"/>
      <c r="D89" s="171"/>
      <c r="E89" s="171"/>
      <c r="F89" s="145"/>
      <c r="G89" s="145"/>
      <c r="H89" s="171"/>
      <c r="I89" s="145"/>
      <c r="J89" s="145"/>
      <c r="K89" s="208"/>
      <c r="L89" s="208"/>
      <c r="M89" s="210"/>
    </row>
    <row r="90" spans="1:13" ht="13.15" customHeight="1">
      <c r="A90" s="800"/>
      <c r="B90" s="987"/>
      <c r="C90" s="971" t="s">
        <v>306</v>
      </c>
      <c r="D90" s="971"/>
      <c r="E90" s="237"/>
      <c r="F90" s="809" t="s">
        <v>307</v>
      </c>
      <c r="G90" s="972"/>
      <c r="H90" s="972"/>
      <c r="I90" s="972"/>
      <c r="J90" s="238"/>
      <c r="K90" s="973" t="s">
        <v>594</v>
      </c>
      <c r="L90" s="973"/>
      <c r="M90" s="974"/>
    </row>
    <row r="91" spans="1:13" ht="25" customHeight="1">
      <c r="A91" s="983" t="s">
        <v>18</v>
      </c>
      <c r="B91" s="984" t="s">
        <v>910</v>
      </c>
      <c r="C91" s="977" t="s">
        <v>595</v>
      </c>
      <c r="D91" s="976" t="s">
        <v>16</v>
      </c>
      <c r="E91" s="976"/>
      <c r="F91" s="978" t="s">
        <v>305</v>
      </c>
      <c r="G91" s="977" t="s">
        <v>304</v>
      </c>
      <c r="H91" s="976" t="s">
        <v>16</v>
      </c>
      <c r="I91" s="979" t="s">
        <v>1143</v>
      </c>
      <c r="J91" s="980"/>
      <c r="K91" s="981" t="s">
        <v>596</v>
      </c>
      <c r="L91" s="982" t="s">
        <v>1144</v>
      </c>
      <c r="M91" s="975" t="s">
        <v>1145</v>
      </c>
    </row>
    <row r="92" spans="1:13" ht="24" customHeight="1">
      <c r="A92" s="171" t="s">
        <v>414</v>
      </c>
      <c r="B92" s="970" t="s">
        <v>1079</v>
      </c>
      <c r="C92" s="145">
        <v>17194</v>
      </c>
      <c r="D92" s="150">
        <v>15536855.630000001</v>
      </c>
      <c r="E92" s="150"/>
      <c r="F92" s="252">
        <v>7393</v>
      </c>
      <c r="G92" s="145">
        <v>465</v>
      </c>
      <c r="H92" s="150">
        <v>99015523.189999998</v>
      </c>
      <c r="I92" s="145">
        <v>7858</v>
      </c>
      <c r="J92" s="253"/>
      <c r="K92" s="208">
        <v>4975</v>
      </c>
      <c r="L92" s="208">
        <v>2596</v>
      </c>
      <c r="M92" s="208">
        <v>287</v>
      </c>
    </row>
    <row r="93" spans="1:13" ht="13.15" customHeight="1">
      <c r="A93" s="171" t="s">
        <v>416</v>
      </c>
      <c r="B93" s="970" t="s">
        <v>1080</v>
      </c>
      <c r="C93" s="145">
        <v>33206</v>
      </c>
      <c r="D93" s="145">
        <v>30059214.920000002</v>
      </c>
      <c r="E93" s="145"/>
      <c r="F93" s="252">
        <v>13296</v>
      </c>
      <c r="G93" s="145">
        <v>1487</v>
      </c>
      <c r="H93" s="145">
        <v>186950153.08000001</v>
      </c>
      <c r="I93" s="145">
        <v>14783</v>
      </c>
      <c r="J93" s="253"/>
      <c r="K93" s="208">
        <v>8652</v>
      </c>
      <c r="L93" s="208">
        <v>5506</v>
      </c>
      <c r="M93" s="208">
        <v>625</v>
      </c>
    </row>
    <row r="94" spans="1:13" ht="13.15" customHeight="1">
      <c r="A94" s="171" t="s">
        <v>419</v>
      </c>
      <c r="B94" s="970" t="s">
        <v>1081</v>
      </c>
      <c r="C94" s="145">
        <v>501126</v>
      </c>
      <c r="D94" s="145">
        <v>457028629.42000002</v>
      </c>
      <c r="E94" s="145"/>
      <c r="F94" s="252">
        <v>180039</v>
      </c>
      <c r="G94" s="145">
        <v>45430</v>
      </c>
      <c r="H94" s="145">
        <v>3229655269.6300001</v>
      </c>
      <c r="I94" s="145">
        <v>225469</v>
      </c>
      <c r="J94" s="253"/>
      <c r="K94" s="208">
        <v>133320</v>
      </c>
      <c r="L94" s="208">
        <v>83664</v>
      </c>
      <c r="M94" s="208">
        <v>8485</v>
      </c>
    </row>
    <row r="95" spans="1:13" ht="13.15" customHeight="1">
      <c r="A95" s="171" t="s">
        <v>421</v>
      </c>
      <c r="B95" s="970" t="s">
        <v>1082</v>
      </c>
      <c r="C95" s="145">
        <v>30755</v>
      </c>
      <c r="D95" s="145">
        <v>27870129.350000001</v>
      </c>
      <c r="E95" s="145"/>
      <c r="F95" s="252">
        <v>13477</v>
      </c>
      <c r="G95" s="145">
        <v>509</v>
      </c>
      <c r="H95" s="145">
        <v>163795407.53</v>
      </c>
      <c r="I95" s="145">
        <v>13986</v>
      </c>
      <c r="J95" s="253"/>
      <c r="K95" s="208">
        <v>8003</v>
      </c>
      <c r="L95" s="208">
        <v>5610</v>
      </c>
      <c r="M95" s="208">
        <v>373</v>
      </c>
    </row>
    <row r="96" spans="1:13" ht="13.15" customHeight="1">
      <c r="A96" s="171" t="s">
        <v>424</v>
      </c>
      <c r="B96" s="970" t="s">
        <v>1083</v>
      </c>
      <c r="C96" s="145">
        <v>8485</v>
      </c>
      <c r="D96" s="145">
        <v>7615937</v>
      </c>
      <c r="E96" s="145"/>
      <c r="F96" s="252">
        <v>3056</v>
      </c>
      <c r="G96" s="145">
        <v>621</v>
      </c>
      <c r="H96" s="145">
        <v>82890675.030000001</v>
      </c>
      <c r="I96" s="145">
        <v>3677</v>
      </c>
      <c r="J96" s="253"/>
      <c r="K96" s="208">
        <v>1961</v>
      </c>
      <c r="L96" s="208">
        <v>1575</v>
      </c>
      <c r="M96" s="208">
        <v>141</v>
      </c>
    </row>
    <row r="97" spans="1:13" ht="24" customHeight="1">
      <c r="A97" s="171" t="s">
        <v>354</v>
      </c>
      <c r="B97" s="970" t="s">
        <v>1084</v>
      </c>
      <c r="C97" s="145">
        <v>14376</v>
      </c>
      <c r="D97" s="145">
        <v>13054975.039999999</v>
      </c>
      <c r="E97" s="145"/>
      <c r="F97" s="252">
        <v>5381</v>
      </c>
      <c r="G97" s="145">
        <v>939</v>
      </c>
      <c r="H97" s="145">
        <v>158034613.58000001</v>
      </c>
      <c r="I97" s="145">
        <v>6320</v>
      </c>
      <c r="J97" s="253"/>
      <c r="K97" s="208">
        <v>3558</v>
      </c>
      <c r="L97" s="208">
        <v>2407</v>
      </c>
      <c r="M97" s="208">
        <v>355</v>
      </c>
    </row>
    <row r="98" spans="1:13" ht="13.15" customHeight="1">
      <c r="A98" s="171" t="s">
        <v>358</v>
      </c>
      <c r="B98" s="970" t="s">
        <v>1085</v>
      </c>
      <c r="C98" s="145">
        <v>106756</v>
      </c>
      <c r="D98" s="145">
        <v>96250335.209999993</v>
      </c>
      <c r="E98" s="145"/>
      <c r="F98" s="252">
        <v>42594</v>
      </c>
      <c r="G98" s="145">
        <v>3901</v>
      </c>
      <c r="H98" s="145">
        <v>595465808.30999994</v>
      </c>
      <c r="I98" s="145">
        <v>46495</v>
      </c>
      <c r="J98" s="253"/>
      <c r="K98" s="208">
        <v>25663</v>
      </c>
      <c r="L98" s="208">
        <v>19542</v>
      </c>
      <c r="M98" s="208">
        <v>1290</v>
      </c>
    </row>
    <row r="99" spans="1:13" ht="13.15" customHeight="1">
      <c r="A99" s="171" t="s">
        <v>431</v>
      </c>
      <c r="B99" s="970" t="s">
        <v>1086</v>
      </c>
      <c r="C99" s="145">
        <v>22540</v>
      </c>
      <c r="D99" s="145">
        <v>20279510.149999999</v>
      </c>
      <c r="E99" s="145"/>
      <c r="F99" s="252">
        <v>9164</v>
      </c>
      <c r="G99" s="145">
        <v>614</v>
      </c>
      <c r="H99" s="145">
        <v>123134839.06</v>
      </c>
      <c r="I99" s="145">
        <v>9778</v>
      </c>
      <c r="J99" s="253"/>
      <c r="K99" s="208">
        <v>5307</v>
      </c>
      <c r="L99" s="208">
        <v>4192</v>
      </c>
      <c r="M99" s="208">
        <v>279</v>
      </c>
    </row>
    <row r="100" spans="1:13" ht="13.15" customHeight="1">
      <c r="A100" s="171" t="s">
        <v>434</v>
      </c>
      <c r="B100" s="970" t="s">
        <v>1087</v>
      </c>
      <c r="C100" s="145">
        <v>92065</v>
      </c>
      <c r="D100" s="145">
        <v>83402509.209999993</v>
      </c>
      <c r="E100" s="145"/>
      <c r="F100" s="252">
        <v>36580</v>
      </c>
      <c r="G100" s="145">
        <v>2961</v>
      </c>
      <c r="H100" s="145">
        <v>514318417</v>
      </c>
      <c r="I100" s="145">
        <v>39541</v>
      </c>
      <c r="J100" s="253"/>
      <c r="K100" s="208">
        <v>21415</v>
      </c>
      <c r="L100" s="208">
        <v>17141</v>
      </c>
      <c r="M100" s="208">
        <v>985</v>
      </c>
    </row>
    <row r="101" spans="1:13" ht="13.15" customHeight="1">
      <c r="A101" s="171" t="s">
        <v>437</v>
      </c>
      <c r="B101" s="970" t="s">
        <v>1088</v>
      </c>
      <c r="C101" s="145">
        <v>22113</v>
      </c>
      <c r="D101" s="145">
        <v>20119664.02</v>
      </c>
      <c r="E101" s="145"/>
      <c r="F101" s="252">
        <v>9279</v>
      </c>
      <c r="G101" s="145">
        <v>189</v>
      </c>
      <c r="H101" s="145">
        <v>113820473.22</v>
      </c>
      <c r="I101" s="145">
        <v>9468</v>
      </c>
      <c r="J101" s="253"/>
      <c r="K101" s="208">
        <v>4730</v>
      </c>
      <c r="L101" s="208">
        <v>4491</v>
      </c>
      <c r="M101" s="208">
        <v>247</v>
      </c>
    </row>
    <row r="102" spans="1:13" ht="24" customHeight="1">
      <c r="A102" s="171" t="s">
        <v>313</v>
      </c>
      <c r="B102" s="970" t="s">
        <v>1089</v>
      </c>
      <c r="C102" s="145">
        <v>19659</v>
      </c>
      <c r="D102" s="145">
        <v>17779764.32</v>
      </c>
      <c r="E102" s="145"/>
      <c r="F102" s="252">
        <v>8301</v>
      </c>
      <c r="G102" s="145">
        <v>219</v>
      </c>
      <c r="H102" s="145">
        <v>101027906.14</v>
      </c>
      <c r="I102" s="145">
        <v>8520</v>
      </c>
      <c r="J102" s="253"/>
      <c r="K102" s="208">
        <v>4344</v>
      </c>
      <c r="L102" s="208">
        <v>3748</v>
      </c>
      <c r="M102" s="208">
        <v>428</v>
      </c>
    </row>
    <row r="103" spans="1:13" ht="13.15" customHeight="1">
      <c r="A103" s="171" t="s">
        <v>317</v>
      </c>
      <c r="B103" s="970" t="s">
        <v>1090</v>
      </c>
      <c r="C103" s="145">
        <v>47618</v>
      </c>
      <c r="D103" s="145">
        <v>43138827.659999996</v>
      </c>
      <c r="E103" s="145"/>
      <c r="F103" s="252">
        <v>19709</v>
      </c>
      <c r="G103" s="145">
        <v>1620</v>
      </c>
      <c r="H103" s="145">
        <v>262616174.53999999</v>
      </c>
      <c r="I103" s="145">
        <v>21329</v>
      </c>
      <c r="J103" s="253"/>
      <c r="K103" s="208">
        <v>12543</v>
      </c>
      <c r="L103" s="208">
        <v>8227</v>
      </c>
      <c r="M103" s="208">
        <v>559</v>
      </c>
    </row>
    <row r="104" spans="1:13" ht="13.15" customHeight="1">
      <c r="A104" s="171" t="s">
        <v>321</v>
      </c>
      <c r="B104" s="970" t="s">
        <v>1091</v>
      </c>
      <c r="C104" s="145">
        <v>26840</v>
      </c>
      <c r="D104" s="145">
        <v>24344250.289999999</v>
      </c>
      <c r="E104" s="145"/>
      <c r="F104" s="252">
        <v>11818</v>
      </c>
      <c r="G104" s="145">
        <v>334</v>
      </c>
      <c r="H104" s="145">
        <v>140759437.55000001</v>
      </c>
      <c r="I104" s="145">
        <v>12152</v>
      </c>
      <c r="J104" s="253"/>
      <c r="K104" s="208">
        <v>7001</v>
      </c>
      <c r="L104" s="208">
        <v>4789</v>
      </c>
      <c r="M104" s="208">
        <v>362</v>
      </c>
    </row>
    <row r="105" spans="1:13" ht="13.15" customHeight="1">
      <c r="A105" s="171" t="s">
        <v>325</v>
      </c>
      <c r="B105" s="970" t="s">
        <v>1092</v>
      </c>
      <c r="C105" s="145">
        <v>18134</v>
      </c>
      <c r="D105" s="145">
        <v>16418985.720000001</v>
      </c>
      <c r="E105" s="145"/>
      <c r="F105" s="252">
        <v>7359</v>
      </c>
      <c r="G105" s="145">
        <v>629</v>
      </c>
      <c r="H105" s="145">
        <v>98261609.640000001</v>
      </c>
      <c r="I105" s="145">
        <v>7988</v>
      </c>
      <c r="J105" s="253"/>
      <c r="K105" s="208">
        <v>4609</v>
      </c>
      <c r="L105" s="208">
        <v>3043</v>
      </c>
      <c r="M105" s="208">
        <v>336</v>
      </c>
    </row>
    <row r="106" spans="1:13" ht="13.15" customHeight="1">
      <c r="A106" s="171" t="s">
        <v>329</v>
      </c>
      <c r="B106" s="970" t="s">
        <v>1093</v>
      </c>
      <c r="C106" s="145">
        <v>151414</v>
      </c>
      <c r="D106" s="145">
        <v>137409292.81</v>
      </c>
      <c r="E106" s="145"/>
      <c r="F106" s="252">
        <v>57578</v>
      </c>
      <c r="G106" s="145">
        <v>9430</v>
      </c>
      <c r="H106" s="145">
        <v>895058251.33000004</v>
      </c>
      <c r="I106" s="145">
        <v>67008</v>
      </c>
      <c r="J106" s="253"/>
      <c r="K106" s="208">
        <v>38728</v>
      </c>
      <c r="L106" s="208">
        <v>26092</v>
      </c>
      <c r="M106" s="208">
        <v>2188</v>
      </c>
    </row>
    <row r="107" spans="1:13" ht="24" customHeight="1">
      <c r="A107" s="171" t="s">
        <v>333</v>
      </c>
      <c r="B107" s="970" t="s">
        <v>1094</v>
      </c>
      <c r="C107" s="145">
        <v>163188</v>
      </c>
      <c r="D107" s="145">
        <v>148225635.40000001</v>
      </c>
      <c r="E107" s="145"/>
      <c r="F107" s="252">
        <v>57352</v>
      </c>
      <c r="G107" s="145">
        <v>13243</v>
      </c>
      <c r="H107" s="145">
        <v>994558765.25999999</v>
      </c>
      <c r="I107" s="145">
        <v>70595</v>
      </c>
      <c r="J107" s="253"/>
      <c r="K107" s="208">
        <v>38903</v>
      </c>
      <c r="L107" s="208">
        <v>28909</v>
      </c>
      <c r="M107" s="208">
        <v>2783</v>
      </c>
    </row>
    <row r="108" spans="1:13" ht="13.15" customHeight="1">
      <c r="A108" s="171" t="s">
        <v>337</v>
      </c>
      <c r="B108" s="970" t="s">
        <v>1095</v>
      </c>
      <c r="C108" s="145">
        <v>7204</v>
      </c>
      <c r="D108" s="145">
        <v>6527241.0800000001</v>
      </c>
      <c r="E108" s="145"/>
      <c r="F108" s="252">
        <v>3024</v>
      </c>
      <c r="G108" s="145">
        <v>279</v>
      </c>
      <c r="H108" s="145">
        <v>40121128.490000002</v>
      </c>
      <c r="I108" s="145">
        <v>3303</v>
      </c>
      <c r="J108" s="253"/>
      <c r="K108" s="208">
        <v>1907</v>
      </c>
      <c r="L108" s="208">
        <v>1237</v>
      </c>
      <c r="M108" s="208">
        <v>159</v>
      </c>
    </row>
    <row r="109" spans="1:13" ht="13.15" customHeight="1">
      <c r="A109" s="171" t="s">
        <v>341</v>
      </c>
      <c r="B109" s="970" t="s">
        <v>1096</v>
      </c>
      <c r="C109" s="145">
        <v>8231</v>
      </c>
      <c r="D109" s="145">
        <v>7467527.8099999996</v>
      </c>
      <c r="E109" s="145"/>
      <c r="F109" s="252">
        <v>3522</v>
      </c>
      <c r="G109" s="145">
        <v>310</v>
      </c>
      <c r="H109" s="145">
        <v>45009169.030000001</v>
      </c>
      <c r="I109" s="145">
        <v>3832</v>
      </c>
      <c r="J109" s="253"/>
      <c r="K109" s="208">
        <v>2541</v>
      </c>
      <c r="L109" s="208">
        <v>1133</v>
      </c>
      <c r="M109" s="208">
        <v>158</v>
      </c>
    </row>
    <row r="110" spans="1:13" ht="13.15" customHeight="1">
      <c r="A110" s="171" t="s">
        <v>345</v>
      </c>
      <c r="B110" s="970" t="s">
        <v>1097</v>
      </c>
      <c r="C110" s="145">
        <v>36172</v>
      </c>
      <c r="D110" s="145">
        <v>32788584.850000001</v>
      </c>
      <c r="E110" s="145"/>
      <c r="F110" s="252">
        <v>14864</v>
      </c>
      <c r="G110" s="145">
        <v>501</v>
      </c>
      <c r="H110" s="145">
        <v>186188389.63999999</v>
      </c>
      <c r="I110" s="145">
        <v>15365</v>
      </c>
      <c r="J110" s="253"/>
      <c r="K110" s="208">
        <v>8055</v>
      </c>
      <c r="L110" s="208">
        <v>6880</v>
      </c>
      <c r="M110" s="208">
        <v>430</v>
      </c>
    </row>
    <row r="111" spans="1:13" ht="13.15" customHeight="1">
      <c r="A111" s="171" t="s">
        <v>349</v>
      </c>
      <c r="B111" s="970" t="s">
        <v>1098</v>
      </c>
      <c r="C111" s="145">
        <v>42430</v>
      </c>
      <c r="D111" s="145">
        <v>38498613.829999998</v>
      </c>
      <c r="E111" s="145"/>
      <c r="F111" s="252">
        <v>17493</v>
      </c>
      <c r="G111" s="145">
        <v>1889</v>
      </c>
      <c r="H111" s="145">
        <v>265859666.22999999</v>
      </c>
      <c r="I111" s="145">
        <v>19382</v>
      </c>
      <c r="J111" s="253"/>
      <c r="K111" s="208">
        <v>11525</v>
      </c>
      <c r="L111" s="208">
        <v>7248</v>
      </c>
      <c r="M111" s="208">
        <v>609</v>
      </c>
    </row>
    <row r="112" spans="1:13" ht="24" customHeight="1">
      <c r="A112" s="150" t="s">
        <v>353</v>
      </c>
      <c r="B112" s="988" t="s">
        <v>1099</v>
      </c>
      <c r="C112" s="145">
        <v>58307</v>
      </c>
      <c r="D112" s="145">
        <v>52707405.159999996</v>
      </c>
      <c r="E112" s="145"/>
      <c r="F112" s="252">
        <v>24475</v>
      </c>
      <c r="G112" s="145">
        <v>1291</v>
      </c>
      <c r="H112" s="145">
        <v>325296943.91000003</v>
      </c>
      <c r="I112" s="145">
        <v>25766</v>
      </c>
      <c r="J112" s="253"/>
      <c r="K112" s="208">
        <v>13519</v>
      </c>
      <c r="L112" s="208">
        <v>11042</v>
      </c>
      <c r="M112" s="208">
        <v>1205</v>
      </c>
    </row>
    <row r="113" spans="1:13" ht="13.15" customHeight="1">
      <c r="A113" s="171" t="s">
        <v>357</v>
      </c>
      <c r="B113" s="970" t="s">
        <v>1100</v>
      </c>
      <c r="C113" s="145">
        <v>19347</v>
      </c>
      <c r="D113" s="145">
        <v>17402677.77</v>
      </c>
      <c r="E113" s="145"/>
      <c r="F113" s="252">
        <v>7739</v>
      </c>
      <c r="G113" s="145">
        <v>913</v>
      </c>
      <c r="H113" s="145">
        <v>106908361.81999999</v>
      </c>
      <c r="I113" s="145">
        <v>8652</v>
      </c>
      <c r="J113" s="253"/>
      <c r="K113" s="208">
        <v>5261</v>
      </c>
      <c r="L113" s="208">
        <v>3054</v>
      </c>
      <c r="M113" s="208">
        <v>337</v>
      </c>
    </row>
    <row r="114" spans="1:13" ht="13.15" customHeight="1">
      <c r="A114" s="171" t="s">
        <v>361</v>
      </c>
      <c r="B114" s="970" t="s">
        <v>1101</v>
      </c>
      <c r="C114" s="145">
        <v>29836</v>
      </c>
      <c r="D114" s="145">
        <v>27097774.550000001</v>
      </c>
      <c r="E114" s="145"/>
      <c r="F114" s="252">
        <v>12576</v>
      </c>
      <c r="G114" s="145">
        <v>308</v>
      </c>
      <c r="H114" s="145">
        <v>151328115.81</v>
      </c>
      <c r="I114" s="145">
        <v>12884</v>
      </c>
      <c r="J114" s="253"/>
      <c r="K114" s="208">
        <v>7091</v>
      </c>
      <c r="L114" s="208">
        <v>5417</v>
      </c>
      <c r="M114" s="208">
        <v>376</v>
      </c>
    </row>
    <row r="115" spans="1:13" ht="13.15" customHeight="1">
      <c r="A115" s="171" t="s">
        <v>365</v>
      </c>
      <c r="B115" s="970" t="s">
        <v>1102</v>
      </c>
      <c r="C115" s="145">
        <v>27216</v>
      </c>
      <c r="D115" s="145">
        <v>24682890.010000002</v>
      </c>
      <c r="E115" s="145"/>
      <c r="F115" s="252">
        <v>11875</v>
      </c>
      <c r="G115" s="145">
        <v>369</v>
      </c>
      <c r="H115" s="145">
        <v>143982906.41</v>
      </c>
      <c r="I115" s="145">
        <v>12244</v>
      </c>
      <c r="J115" s="253"/>
      <c r="K115" s="208">
        <v>6905</v>
      </c>
      <c r="L115" s="208">
        <v>4935</v>
      </c>
      <c r="M115" s="208">
        <v>404</v>
      </c>
    </row>
    <row r="116" spans="1:13" ht="13.15" customHeight="1">
      <c r="A116" s="171" t="s">
        <v>369</v>
      </c>
      <c r="B116" s="970" t="s">
        <v>1103</v>
      </c>
      <c r="C116" s="145">
        <v>72371</v>
      </c>
      <c r="D116" s="145">
        <v>65092461.200000003</v>
      </c>
      <c r="E116" s="145"/>
      <c r="F116" s="252">
        <v>26710</v>
      </c>
      <c r="G116" s="145">
        <v>3787</v>
      </c>
      <c r="H116" s="145">
        <v>420647919.75999999</v>
      </c>
      <c r="I116" s="145">
        <v>30497</v>
      </c>
      <c r="J116" s="253"/>
      <c r="K116" s="208">
        <v>15583</v>
      </c>
      <c r="L116" s="208">
        <v>13808</v>
      </c>
      <c r="M116" s="208">
        <v>1106</v>
      </c>
    </row>
    <row r="117" spans="1:13" ht="10.75" customHeight="1">
      <c r="A117" s="171"/>
      <c r="C117" s="145"/>
      <c r="D117" s="265"/>
      <c r="E117" s="265"/>
      <c r="F117" s="266"/>
      <c r="G117" s="265"/>
      <c r="H117" s="265"/>
      <c r="I117" s="265"/>
      <c r="J117" s="267"/>
      <c r="K117" s="268"/>
      <c r="L117" s="208"/>
      <c r="M117" s="208"/>
    </row>
    <row r="118" spans="1:13" ht="13.15" customHeight="1">
      <c r="A118" s="182" t="s">
        <v>19</v>
      </c>
      <c r="B118" s="989"/>
      <c r="C118" s="270">
        <f>SUM(C8:C42)+SUM(C50:C84)+SUM(C92:C116)</f>
        <v>6359583</v>
      </c>
      <c r="D118" s="183">
        <f>SUM(D8:D42)+SUM(D50:D84)+SUM(D92:D116)</f>
        <v>5758446706.3499985</v>
      </c>
      <c r="E118" s="271"/>
      <c r="F118" s="272">
        <f t="shared" ref="F118:I118" si="0">SUM(F8:F42)+SUM(F50:F84)+SUM(F92:F116)</f>
        <v>2407230</v>
      </c>
      <c r="G118" s="270">
        <f t="shared" si="0"/>
        <v>431778</v>
      </c>
      <c r="H118" s="183">
        <f t="shared" si="0"/>
        <v>41635462931.309998</v>
      </c>
      <c r="I118" s="270">
        <f t="shared" si="0"/>
        <v>2839008</v>
      </c>
      <c r="J118" s="273"/>
      <c r="K118" s="274">
        <f t="shared" ref="K118:M118" si="1">SUM(K8:K42)+SUM(K50:K84)+SUM(K92:K116)</f>
        <v>1615966</v>
      </c>
      <c r="L118" s="274">
        <f t="shared" si="1"/>
        <v>1126124</v>
      </c>
      <c r="M118" s="274">
        <f t="shared" si="1"/>
        <v>96918</v>
      </c>
    </row>
    <row r="119" spans="1:13" ht="16" customHeight="1">
      <c r="A119" s="172" t="s">
        <v>597</v>
      </c>
      <c r="B119" s="985"/>
      <c r="C119" s="145"/>
      <c r="D119" s="145"/>
      <c r="E119" s="145"/>
      <c r="F119" s="145"/>
      <c r="G119" s="145"/>
      <c r="H119" s="145"/>
      <c r="I119" s="145"/>
      <c r="J119" s="145"/>
      <c r="K119" s="208"/>
      <c r="L119" s="208"/>
      <c r="M119" s="208"/>
    </row>
    <row r="120" spans="1:13" ht="14" customHeight="1">
      <c r="A120" s="175" t="str">
        <f>A86</f>
        <v>Exemptions, Standard and Itemized Deductions, and Number of Returns by Filing Status/Locality</v>
      </c>
      <c r="B120" s="985"/>
      <c r="C120" s="145"/>
      <c r="D120" s="145"/>
      <c r="E120" s="145"/>
      <c r="F120" s="145"/>
      <c r="G120" s="145"/>
      <c r="H120" s="145"/>
      <c r="I120" s="145"/>
      <c r="J120" s="145"/>
      <c r="K120" s="208"/>
      <c r="L120" s="208"/>
      <c r="M120" s="208"/>
    </row>
    <row r="121" spans="1:13" ht="13" customHeight="1">
      <c r="A121" s="993" t="str">
        <f>A$3</f>
        <v>Taxable Year 2022</v>
      </c>
      <c r="B121" s="986"/>
      <c r="C121" s="145"/>
      <c r="D121" s="145"/>
      <c r="E121" s="145"/>
      <c r="F121" s="145"/>
      <c r="G121" s="145"/>
      <c r="H121" s="145"/>
      <c r="I121" s="145"/>
      <c r="J121" s="145"/>
      <c r="K121" s="208"/>
      <c r="L121" s="208"/>
      <c r="M121" s="208"/>
    </row>
    <row r="122" spans="1:13" ht="3" customHeight="1">
      <c r="C122" s="254"/>
      <c r="D122" s="254"/>
      <c r="E122" s="254"/>
      <c r="F122" s="254"/>
      <c r="G122" s="254"/>
      <c r="H122" s="254"/>
      <c r="I122" s="254"/>
      <c r="J122" s="254"/>
      <c r="K122" s="255"/>
      <c r="L122" s="255"/>
      <c r="M122" s="255"/>
    </row>
    <row r="123" spans="1:13" ht="3" customHeight="1" thickBot="1">
      <c r="A123" s="184"/>
      <c r="C123" s="145"/>
      <c r="D123" s="171"/>
      <c r="E123" s="171"/>
      <c r="F123" s="145"/>
      <c r="G123" s="145"/>
      <c r="H123" s="171"/>
      <c r="I123" s="145"/>
      <c r="J123" s="145"/>
      <c r="K123" s="208"/>
      <c r="L123" s="208"/>
      <c r="M123" s="210"/>
    </row>
    <row r="124" spans="1:13" ht="12" customHeight="1">
      <c r="A124" s="800"/>
      <c r="B124" s="987"/>
      <c r="C124" s="971" t="s">
        <v>306</v>
      </c>
      <c r="D124" s="971"/>
      <c r="E124" s="237"/>
      <c r="F124" s="809" t="s">
        <v>307</v>
      </c>
      <c r="G124" s="972"/>
      <c r="H124" s="972"/>
      <c r="I124" s="972"/>
      <c r="J124" s="238"/>
      <c r="K124" s="973" t="s">
        <v>594</v>
      </c>
      <c r="L124" s="973"/>
      <c r="M124" s="974"/>
    </row>
    <row r="125" spans="1:13" ht="25" customHeight="1">
      <c r="A125" s="983" t="s">
        <v>20</v>
      </c>
      <c r="B125" s="984" t="s">
        <v>910</v>
      </c>
      <c r="C125" s="977" t="s">
        <v>595</v>
      </c>
      <c r="D125" s="976" t="s">
        <v>16</v>
      </c>
      <c r="E125" s="976"/>
      <c r="F125" s="978" t="s">
        <v>305</v>
      </c>
      <c r="G125" s="977" t="s">
        <v>304</v>
      </c>
      <c r="H125" s="976" t="s">
        <v>16</v>
      </c>
      <c r="I125" s="979" t="s">
        <v>1143</v>
      </c>
      <c r="J125" s="980"/>
      <c r="K125" s="981" t="s">
        <v>596</v>
      </c>
      <c r="L125" s="982" t="s">
        <v>1144</v>
      </c>
      <c r="M125" s="975" t="s">
        <v>1145</v>
      </c>
    </row>
    <row r="126" spans="1:13" ht="19" customHeight="1">
      <c r="A126" s="171" t="s">
        <v>386</v>
      </c>
      <c r="B126" s="970" t="s">
        <v>1104</v>
      </c>
      <c r="C126" s="145">
        <v>166696</v>
      </c>
      <c r="D126" s="150">
        <v>149771084.88999999</v>
      </c>
      <c r="E126" s="150"/>
      <c r="F126" s="252">
        <v>68911</v>
      </c>
      <c r="G126" s="145">
        <v>20815</v>
      </c>
      <c r="H126" s="150">
        <v>1385903355.8</v>
      </c>
      <c r="I126" s="145">
        <v>89726</v>
      </c>
      <c r="J126" s="253"/>
      <c r="K126" s="208">
        <v>61216</v>
      </c>
      <c r="L126" s="208">
        <v>24496</v>
      </c>
      <c r="M126" s="208">
        <v>4014</v>
      </c>
    </row>
    <row r="127" spans="1:13" ht="12" customHeight="1">
      <c r="A127" s="171" t="s">
        <v>391</v>
      </c>
      <c r="B127" s="970" t="s">
        <v>1105</v>
      </c>
      <c r="C127" s="145">
        <v>23512</v>
      </c>
      <c r="D127" s="145">
        <v>21355930.18</v>
      </c>
      <c r="E127" s="145"/>
      <c r="F127" s="252">
        <v>11087</v>
      </c>
      <c r="G127" s="145">
        <v>431</v>
      </c>
      <c r="H127" s="145">
        <v>158634445.56</v>
      </c>
      <c r="I127" s="145">
        <v>11518</v>
      </c>
      <c r="J127" s="253"/>
      <c r="K127" s="208">
        <v>6921</v>
      </c>
      <c r="L127" s="208">
        <v>3370</v>
      </c>
      <c r="M127" s="208">
        <v>1227</v>
      </c>
    </row>
    <row r="128" spans="1:13" ht="12" customHeight="1">
      <c r="A128" s="171" t="s">
        <v>394</v>
      </c>
      <c r="B128" s="970" t="s">
        <v>1106</v>
      </c>
      <c r="C128" s="145">
        <v>6150</v>
      </c>
      <c r="D128" s="145">
        <v>5558089.4699999997</v>
      </c>
      <c r="E128" s="145"/>
      <c r="F128" s="252">
        <v>2706</v>
      </c>
      <c r="G128" s="145">
        <v>99</v>
      </c>
      <c r="H128" s="145">
        <v>39395251.689999998</v>
      </c>
      <c r="I128" s="145">
        <v>2805</v>
      </c>
      <c r="J128" s="253"/>
      <c r="K128" s="208">
        <v>1683</v>
      </c>
      <c r="L128" s="208">
        <v>1042</v>
      </c>
      <c r="M128" s="208">
        <v>80</v>
      </c>
    </row>
    <row r="129" spans="1:13" ht="12" customHeight="1">
      <c r="A129" s="171" t="s">
        <v>397</v>
      </c>
      <c r="B129" s="970" t="s">
        <v>1107</v>
      </c>
      <c r="C129" s="145">
        <v>40425</v>
      </c>
      <c r="D129" s="145">
        <v>36383799.5</v>
      </c>
      <c r="E129" s="145"/>
      <c r="F129" s="252">
        <v>18709</v>
      </c>
      <c r="G129" s="145">
        <v>2531</v>
      </c>
      <c r="H129" s="145">
        <v>364918386.00999999</v>
      </c>
      <c r="I129" s="145">
        <v>21240</v>
      </c>
      <c r="J129" s="253"/>
      <c r="K129" s="208">
        <v>14532</v>
      </c>
      <c r="L129" s="208">
        <v>5929</v>
      </c>
      <c r="M129" s="208">
        <v>779</v>
      </c>
    </row>
    <row r="130" spans="1:13" ht="12" customHeight="1">
      <c r="A130" s="171" t="s">
        <v>400</v>
      </c>
      <c r="B130" s="970" t="s">
        <v>1108</v>
      </c>
      <c r="C130" s="145">
        <v>242255</v>
      </c>
      <c r="D130" s="145">
        <v>219378819.97999999</v>
      </c>
      <c r="E130" s="145"/>
      <c r="F130" s="252">
        <v>94962</v>
      </c>
      <c r="G130" s="145">
        <v>14413</v>
      </c>
      <c r="H130" s="145">
        <v>1429380712.1900001</v>
      </c>
      <c r="I130" s="145">
        <v>109375</v>
      </c>
      <c r="J130" s="253"/>
      <c r="K130" s="208">
        <v>64007</v>
      </c>
      <c r="L130" s="208">
        <v>40201</v>
      </c>
      <c r="M130" s="208">
        <v>5167</v>
      </c>
    </row>
    <row r="131" spans="1:13" ht="19" customHeight="1">
      <c r="A131" s="171" t="s">
        <v>403</v>
      </c>
      <c r="B131" s="970" t="s">
        <v>1109</v>
      </c>
      <c r="C131" s="145">
        <v>18211</v>
      </c>
      <c r="D131" s="145">
        <v>16499731.720000001</v>
      </c>
      <c r="E131" s="145"/>
      <c r="F131" s="252">
        <v>7889</v>
      </c>
      <c r="G131" s="145">
        <v>610</v>
      </c>
      <c r="H131" s="145">
        <v>98533832.969999999</v>
      </c>
      <c r="I131" s="145">
        <v>8499</v>
      </c>
      <c r="J131" s="253"/>
      <c r="K131" s="208">
        <v>5734</v>
      </c>
      <c r="L131" s="208">
        <v>2554</v>
      </c>
      <c r="M131" s="208">
        <v>211</v>
      </c>
    </row>
    <row r="132" spans="1:13" ht="12" customHeight="1">
      <c r="A132" s="171" t="s">
        <v>406</v>
      </c>
      <c r="B132" s="970" t="s">
        <v>1110</v>
      </c>
      <c r="C132" s="145">
        <v>5649</v>
      </c>
      <c r="D132" s="145">
        <v>5133948</v>
      </c>
      <c r="E132" s="145"/>
      <c r="F132" s="252">
        <v>2629</v>
      </c>
      <c r="G132" s="145">
        <v>55</v>
      </c>
      <c r="H132" s="145">
        <v>32860517.039999999</v>
      </c>
      <c r="I132" s="145">
        <v>2684</v>
      </c>
      <c r="J132" s="253"/>
      <c r="K132" s="208">
        <v>1787</v>
      </c>
      <c r="L132" s="208">
        <v>832</v>
      </c>
      <c r="M132" s="208">
        <v>65</v>
      </c>
    </row>
    <row r="133" spans="1:13" ht="12" customHeight="1">
      <c r="A133" s="171" t="s">
        <v>409</v>
      </c>
      <c r="B133" s="970" t="s">
        <v>1111</v>
      </c>
      <c r="C133" s="145">
        <v>40714</v>
      </c>
      <c r="D133" s="145">
        <v>36955365.060000002</v>
      </c>
      <c r="E133" s="145"/>
      <c r="F133" s="252">
        <v>18126</v>
      </c>
      <c r="G133" s="145">
        <v>1136</v>
      </c>
      <c r="H133" s="145">
        <v>211459324.81999999</v>
      </c>
      <c r="I133" s="145">
        <v>19262</v>
      </c>
      <c r="J133" s="253"/>
      <c r="K133" s="208">
        <v>13699</v>
      </c>
      <c r="L133" s="208">
        <v>4665</v>
      </c>
      <c r="M133" s="208">
        <v>898</v>
      </c>
    </row>
    <row r="134" spans="1:13" ht="12" customHeight="1">
      <c r="A134" s="171" t="s">
        <v>412</v>
      </c>
      <c r="B134" s="970" t="s">
        <v>1112</v>
      </c>
      <c r="C134" s="145">
        <v>4973</v>
      </c>
      <c r="D134" s="145">
        <v>4553917.04</v>
      </c>
      <c r="E134" s="145"/>
      <c r="F134" s="252">
        <v>2288</v>
      </c>
      <c r="G134" s="145">
        <v>149</v>
      </c>
      <c r="H134" s="145">
        <v>30743896.57</v>
      </c>
      <c r="I134" s="145">
        <v>2437</v>
      </c>
      <c r="J134" s="253"/>
      <c r="K134" s="208">
        <v>1926</v>
      </c>
      <c r="L134" s="208">
        <v>410</v>
      </c>
      <c r="M134" s="208">
        <v>101</v>
      </c>
    </row>
    <row r="135" spans="1:13" ht="12" customHeight="1">
      <c r="A135" s="171" t="s">
        <v>407</v>
      </c>
      <c r="B135" s="970" t="s">
        <v>1113</v>
      </c>
      <c r="C135" s="145">
        <v>33559</v>
      </c>
      <c r="D135" s="145">
        <v>30426501.02</v>
      </c>
      <c r="E135" s="145"/>
      <c r="F135" s="252">
        <v>12911</v>
      </c>
      <c r="G135" s="145">
        <v>3296</v>
      </c>
      <c r="H135" s="145">
        <v>252533339.00999999</v>
      </c>
      <c r="I135" s="145">
        <v>16207</v>
      </c>
      <c r="J135" s="253"/>
      <c r="K135" s="208">
        <v>9586</v>
      </c>
      <c r="L135" s="208">
        <v>5921</v>
      </c>
      <c r="M135" s="208">
        <v>700</v>
      </c>
    </row>
    <row r="136" spans="1:13" ht="19" customHeight="1">
      <c r="A136" s="171" t="s">
        <v>417</v>
      </c>
      <c r="B136" s="970" t="s">
        <v>1114</v>
      </c>
      <c r="C136" s="145">
        <v>18879</v>
      </c>
      <c r="D136" s="145">
        <v>16977832.09</v>
      </c>
      <c r="E136" s="145"/>
      <c r="F136" s="252">
        <v>6304</v>
      </c>
      <c r="G136" s="145">
        <v>2216</v>
      </c>
      <c r="H136" s="145">
        <v>167568872.63</v>
      </c>
      <c r="I136" s="145">
        <v>8520</v>
      </c>
      <c r="J136" s="253"/>
      <c r="K136" s="208">
        <v>4857</v>
      </c>
      <c r="L136" s="208">
        <v>3337</v>
      </c>
      <c r="M136" s="208">
        <v>326</v>
      </c>
    </row>
    <row r="137" spans="1:13" ht="12" customHeight="1">
      <c r="A137" s="171" t="s">
        <v>21</v>
      </c>
      <c r="B137" s="970" t="s">
        <v>1115</v>
      </c>
      <c r="C137" s="145">
        <v>7979</v>
      </c>
      <c r="D137" s="145">
        <v>7244577.3200000003</v>
      </c>
      <c r="E137" s="145"/>
      <c r="F137" s="252">
        <v>3302</v>
      </c>
      <c r="G137" s="145">
        <v>281</v>
      </c>
      <c r="H137" s="145">
        <v>42907442.68</v>
      </c>
      <c r="I137" s="145">
        <v>3583</v>
      </c>
      <c r="J137" s="253"/>
      <c r="K137" s="208">
        <v>2563</v>
      </c>
      <c r="L137" s="208">
        <v>895</v>
      </c>
      <c r="M137" s="208">
        <v>125</v>
      </c>
    </row>
    <row r="138" spans="1:13" ht="12" customHeight="1">
      <c r="A138" s="171" t="s">
        <v>422</v>
      </c>
      <c r="B138" s="970" t="s">
        <v>1116</v>
      </c>
      <c r="C138" s="145">
        <v>28479</v>
      </c>
      <c r="D138" s="145">
        <v>25803249.57</v>
      </c>
      <c r="E138" s="145"/>
      <c r="F138" s="252">
        <v>12435</v>
      </c>
      <c r="G138" s="145">
        <v>1867</v>
      </c>
      <c r="H138" s="145">
        <v>180770402.27000001</v>
      </c>
      <c r="I138" s="145">
        <v>14302</v>
      </c>
      <c r="J138" s="253"/>
      <c r="K138" s="208">
        <v>9812</v>
      </c>
      <c r="L138" s="208">
        <v>3956</v>
      </c>
      <c r="M138" s="208">
        <v>534</v>
      </c>
    </row>
    <row r="139" spans="1:13" ht="12" customHeight="1">
      <c r="A139" s="171" t="s">
        <v>425</v>
      </c>
      <c r="B139" s="970" t="s">
        <v>1117</v>
      </c>
      <c r="C139" s="145">
        <v>7164</v>
      </c>
      <c r="D139" s="145">
        <v>6503193</v>
      </c>
      <c r="E139" s="145"/>
      <c r="F139" s="252">
        <v>3154</v>
      </c>
      <c r="G139" s="145">
        <v>119</v>
      </c>
      <c r="H139" s="145">
        <v>37862032.810000002</v>
      </c>
      <c r="I139" s="145">
        <v>3273</v>
      </c>
      <c r="J139" s="253"/>
      <c r="K139" s="208">
        <v>2102</v>
      </c>
      <c r="L139" s="208">
        <v>1070</v>
      </c>
      <c r="M139" s="208">
        <v>101</v>
      </c>
    </row>
    <row r="140" spans="1:13" ht="12" customHeight="1">
      <c r="A140" s="171" t="s">
        <v>427</v>
      </c>
      <c r="B140" s="970" t="s">
        <v>1118</v>
      </c>
      <c r="C140" s="145">
        <v>117503</v>
      </c>
      <c r="D140" s="145">
        <v>106348755.05</v>
      </c>
      <c r="E140" s="145"/>
      <c r="F140" s="252">
        <v>52090</v>
      </c>
      <c r="G140" s="145">
        <v>5256</v>
      </c>
      <c r="H140" s="145">
        <v>656374602.53999996</v>
      </c>
      <c r="I140" s="145">
        <v>57346</v>
      </c>
      <c r="J140" s="253"/>
      <c r="K140" s="208">
        <v>39959</v>
      </c>
      <c r="L140" s="208">
        <v>14966</v>
      </c>
      <c r="M140" s="208">
        <v>2421</v>
      </c>
    </row>
    <row r="141" spans="1:13" ht="19" customHeight="1">
      <c r="A141" s="171" t="s">
        <v>429</v>
      </c>
      <c r="B141" s="970" t="s">
        <v>1119</v>
      </c>
      <c r="C141" s="145">
        <v>37628</v>
      </c>
      <c r="D141" s="145">
        <v>34206330.659999996</v>
      </c>
      <c r="E141" s="145"/>
      <c r="F141" s="252">
        <v>17723</v>
      </c>
      <c r="G141" s="145">
        <v>992</v>
      </c>
      <c r="H141" s="145">
        <v>208378050.83000001</v>
      </c>
      <c r="I141" s="145">
        <v>18715</v>
      </c>
      <c r="J141" s="253"/>
      <c r="K141" s="208">
        <v>13177</v>
      </c>
      <c r="L141" s="208">
        <v>5103</v>
      </c>
      <c r="M141" s="208">
        <v>435</v>
      </c>
    </row>
    <row r="142" spans="1:13" ht="12" customHeight="1">
      <c r="A142" s="171" t="s">
        <v>432</v>
      </c>
      <c r="B142" s="970" t="s">
        <v>1120</v>
      </c>
      <c r="C142" s="145">
        <v>19853</v>
      </c>
      <c r="D142" s="145">
        <v>18084087.07</v>
      </c>
      <c r="E142" s="145"/>
      <c r="F142" s="252">
        <v>9187</v>
      </c>
      <c r="G142" s="145">
        <v>553</v>
      </c>
      <c r="H142" s="145">
        <v>104807057.40000001</v>
      </c>
      <c r="I142" s="145">
        <v>9740</v>
      </c>
      <c r="J142" s="253"/>
      <c r="K142" s="208">
        <v>7378</v>
      </c>
      <c r="L142" s="208">
        <v>2082</v>
      </c>
      <c r="M142" s="208">
        <v>280</v>
      </c>
    </row>
    <row r="143" spans="1:13" ht="12" customHeight="1">
      <c r="A143" s="171" t="s">
        <v>435</v>
      </c>
      <c r="B143" s="970" t="s">
        <v>1121</v>
      </c>
      <c r="C143" s="145">
        <v>5812</v>
      </c>
      <c r="D143" s="145">
        <v>5168874.72</v>
      </c>
      <c r="E143" s="145"/>
      <c r="F143" s="252">
        <v>2330</v>
      </c>
      <c r="G143" s="145">
        <v>309</v>
      </c>
      <c r="H143" s="145">
        <v>35610065.789999999</v>
      </c>
      <c r="I143" s="145">
        <v>2639</v>
      </c>
      <c r="J143" s="253"/>
      <c r="K143" s="208">
        <v>1596</v>
      </c>
      <c r="L143" s="208">
        <v>973</v>
      </c>
      <c r="M143" s="208">
        <v>70</v>
      </c>
    </row>
    <row r="144" spans="1:13" ht="12" customHeight="1">
      <c r="A144" s="171" t="s">
        <v>438</v>
      </c>
      <c r="B144" s="970" t="s">
        <v>1122</v>
      </c>
      <c r="C144" s="145">
        <v>68580</v>
      </c>
      <c r="D144" s="145">
        <v>61943610.210000001</v>
      </c>
      <c r="E144" s="145"/>
      <c r="F144" s="252">
        <v>31002</v>
      </c>
      <c r="G144" s="145">
        <v>2188</v>
      </c>
      <c r="H144" s="145">
        <v>397089784.82999998</v>
      </c>
      <c r="I144" s="145">
        <v>33190</v>
      </c>
      <c r="J144" s="253"/>
      <c r="K144" s="208">
        <v>22237</v>
      </c>
      <c r="L144" s="208">
        <v>9971</v>
      </c>
      <c r="M144" s="208">
        <v>982</v>
      </c>
    </row>
    <row r="145" spans="1:13" ht="12" customHeight="1">
      <c r="A145" s="171" t="s">
        <v>314</v>
      </c>
      <c r="B145" s="970" t="s">
        <v>1123</v>
      </c>
      <c r="C145" s="145">
        <v>44799</v>
      </c>
      <c r="D145" s="145">
        <v>40961471.890000001</v>
      </c>
      <c r="E145" s="145"/>
      <c r="F145" s="252">
        <v>18576</v>
      </c>
      <c r="G145" s="145">
        <v>3187</v>
      </c>
      <c r="H145" s="145">
        <v>272895438.43000001</v>
      </c>
      <c r="I145" s="145">
        <v>21763</v>
      </c>
      <c r="J145" s="253"/>
      <c r="K145" s="208">
        <v>14341</v>
      </c>
      <c r="L145" s="208">
        <v>6620</v>
      </c>
      <c r="M145" s="208">
        <v>802</v>
      </c>
    </row>
    <row r="146" spans="1:13" ht="19" customHeight="1">
      <c r="A146" s="171" t="s">
        <v>318</v>
      </c>
      <c r="B146" s="970" t="s">
        <v>1124</v>
      </c>
      <c r="C146" s="145">
        <v>18174</v>
      </c>
      <c r="D146" s="145">
        <v>16674220.32</v>
      </c>
      <c r="E146" s="145"/>
      <c r="F146" s="252">
        <v>7935</v>
      </c>
      <c r="G146" s="145">
        <v>1183</v>
      </c>
      <c r="H146" s="145">
        <v>108484570.01000001</v>
      </c>
      <c r="I146" s="145">
        <v>9118</v>
      </c>
      <c r="J146" s="253"/>
      <c r="K146" s="208">
        <v>6140</v>
      </c>
      <c r="L146" s="208">
        <v>2636</v>
      </c>
      <c r="M146" s="208">
        <v>342</v>
      </c>
    </row>
    <row r="147" spans="1:13" ht="12" customHeight="1">
      <c r="A147" s="171" t="s">
        <v>322</v>
      </c>
      <c r="B147" s="970" t="s">
        <v>1125</v>
      </c>
      <c r="C147" s="145">
        <v>12946</v>
      </c>
      <c r="D147" s="145">
        <v>11731079.199999999</v>
      </c>
      <c r="E147" s="145"/>
      <c r="F147" s="252">
        <v>5769</v>
      </c>
      <c r="G147" s="145">
        <v>333</v>
      </c>
      <c r="H147" s="145">
        <v>70141972.5</v>
      </c>
      <c r="I147" s="145">
        <v>6102</v>
      </c>
      <c r="J147" s="253"/>
      <c r="K147" s="208">
        <v>4294</v>
      </c>
      <c r="L147" s="208">
        <v>1530</v>
      </c>
      <c r="M147" s="208">
        <v>278</v>
      </c>
    </row>
    <row r="148" spans="1:13" ht="12" customHeight="1">
      <c r="A148" s="171" t="s">
        <v>326</v>
      </c>
      <c r="B148" s="970" t="s">
        <v>1126</v>
      </c>
      <c r="C148" s="145">
        <v>158110</v>
      </c>
      <c r="D148" s="145">
        <v>143526834.13999999</v>
      </c>
      <c r="E148" s="145"/>
      <c r="F148" s="252">
        <v>70918</v>
      </c>
      <c r="G148" s="145">
        <v>6590</v>
      </c>
      <c r="H148" s="145">
        <v>882719885.37</v>
      </c>
      <c r="I148" s="145">
        <v>77508</v>
      </c>
      <c r="J148" s="253"/>
      <c r="K148" s="208">
        <v>54226</v>
      </c>
      <c r="L148" s="208">
        <v>20157</v>
      </c>
      <c r="M148" s="208">
        <v>3125</v>
      </c>
    </row>
    <row r="149" spans="1:13" ht="12" customHeight="1">
      <c r="A149" s="171" t="s">
        <v>330</v>
      </c>
      <c r="B149" s="970" t="s">
        <v>1127</v>
      </c>
      <c r="C149" s="145">
        <v>178290</v>
      </c>
      <c r="D149" s="145">
        <v>161596948.97999999</v>
      </c>
      <c r="E149" s="145"/>
      <c r="F149" s="252">
        <v>82322</v>
      </c>
      <c r="G149" s="145">
        <v>8382</v>
      </c>
      <c r="H149" s="145">
        <v>1113338767.27</v>
      </c>
      <c r="I149" s="145">
        <v>90704</v>
      </c>
      <c r="J149" s="253"/>
      <c r="K149" s="208">
        <v>64122</v>
      </c>
      <c r="L149" s="208">
        <v>21996</v>
      </c>
      <c r="M149" s="208">
        <v>4586</v>
      </c>
    </row>
    <row r="150" spans="1:13" ht="12" customHeight="1">
      <c r="A150" s="171" t="s">
        <v>334</v>
      </c>
      <c r="B150" s="970" t="s">
        <v>1128</v>
      </c>
      <c r="C150" s="145">
        <v>3772</v>
      </c>
      <c r="D150" s="145">
        <v>3427132</v>
      </c>
      <c r="E150" s="145"/>
      <c r="F150" s="252">
        <v>1629</v>
      </c>
      <c r="G150" s="145">
        <v>56</v>
      </c>
      <c r="H150" s="145">
        <v>19539538.260000002</v>
      </c>
      <c r="I150" s="145">
        <v>1685</v>
      </c>
      <c r="J150" s="253"/>
      <c r="K150" s="208">
        <v>1010</v>
      </c>
      <c r="L150" s="208">
        <v>616</v>
      </c>
      <c r="M150" s="208">
        <v>59</v>
      </c>
    </row>
    <row r="151" spans="1:13" ht="19" customHeight="1">
      <c r="A151" s="171" t="s">
        <v>338</v>
      </c>
      <c r="B151" s="970" t="s">
        <v>1129</v>
      </c>
      <c r="C151" s="145">
        <v>26504</v>
      </c>
      <c r="D151" s="145">
        <v>24113809.440000001</v>
      </c>
      <c r="E151" s="145"/>
      <c r="F151" s="252">
        <v>12658</v>
      </c>
      <c r="G151" s="145">
        <v>1093</v>
      </c>
      <c r="H151" s="145">
        <v>145545790.55000001</v>
      </c>
      <c r="I151" s="145">
        <v>13751</v>
      </c>
      <c r="J151" s="253"/>
      <c r="K151" s="208">
        <v>11330</v>
      </c>
      <c r="L151" s="208">
        <v>1925</v>
      </c>
      <c r="M151" s="208">
        <v>496</v>
      </c>
    </row>
    <row r="152" spans="1:13" ht="12" customHeight="1">
      <c r="A152" s="171" t="s">
        <v>342</v>
      </c>
      <c r="B152" s="970" t="s">
        <v>1130</v>
      </c>
      <c r="C152" s="145">
        <v>13446</v>
      </c>
      <c r="D152" s="145">
        <v>12131740.85</v>
      </c>
      <c r="E152" s="145"/>
      <c r="F152" s="252">
        <v>4793</v>
      </c>
      <c r="G152" s="145">
        <v>786</v>
      </c>
      <c r="H152" s="145">
        <v>79691573.579999998</v>
      </c>
      <c r="I152" s="145">
        <v>5579</v>
      </c>
      <c r="J152" s="253"/>
      <c r="K152" s="208">
        <v>2744</v>
      </c>
      <c r="L152" s="208">
        <v>2671</v>
      </c>
      <c r="M152" s="208">
        <v>164</v>
      </c>
    </row>
    <row r="153" spans="1:13" ht="12" customHeight="1">
      <c r="A153" s="171" t="s">
        <v>346</v>
      </c>
      <c r="B153" s="970" t="s">
        <v>1131</v>
      </c>
      <c r="C153" s="145">
        <v>80956</v>
      </c>
      <c r="D153" s="145">
        <v>73540967.489999995</v>
      </c>
      <c r="E153" s="145"/>
      <c r="F153" s="252">
        <v>35951</v>
      </c>
      <c r="G153" s="145">
        <v>3773</v>
      </c>
      <c r="H153" s="145">
        <v>456392663.89999998</v>
      </c>
      <c r="I153" s="145">
        <v>39724</v>
      </c>
      <c r="J153" s="253"/>
      <c r="K153" s="208">
        <v>28808</v>
      </c>
      <c r="L153" s="208">
        <v>9251</v>
      </c>
      <c r="M153" s="208">
        <v>1665</v>
      </c>
    </row>
    <row r="154" spans="1:13" ht="12" customHeight="1">
      <c r="A154" s="171" t="s">
        <v>350</v>
      </c>
      <c r="B154" s="970" t="s">
        <v>1132</v>
      </c>
      <c r="C154" s="145">
        <v>11496</v>
      </c>
      <c r="D154" s="145">
        <v>10409366.359999999</v>
      </c>
      <c r="E154" s="145"/>
      <c r="F154" s="252">
        <v>5554</v>
      </c>
      <c r="G154" s="145">
        <v>235</v>
      </c>
      <c r="H154" s="145">
        <v>67466610.799999997</v>
      </c>
      <c r="I154" s="145">
        <v>5789</v>
      </c>
      <c r="J154" s="253"/>
      <c r="K154" s="208">
        <v>3885</v>
      </c>
      <c r="L154" s="208">
        <v>1758</v>
      </c>
      <c r="M154" s="208">
        <v>146</v>
      </c>
    </row>
    <row r="155" spans="1:13" ht="12" customHeight="1">
      <c r="A155" s="171" t="s">
        <v>354</v>
      </c>
      <c r="B155" s="970" t="s">
        <v>1133</v>
      </c>
      <c r="C155" s="145">
        <v>190073</v>
      </c>
      <c r="D155" s="145">
        <v>172319294.34</v>
      </c>
      <c r="E155" s="145"/>
      <c r="F155" s="252">
        <v>93991</v>
      </c>
      <c r="G155" s="145">
        <v>12484</v>
      </c>
      <c r="H155" s="145">
        <v>1940189076.99</v>
      </c>
      <c r="I155" s="145">
        <v>106475</v>
      </c>
      <c r="J155" s="253"/>
      <c r="K155" s="208">
        <v>81526</v>
      </c>
      <c r="L155" s="208">
        <v>21565</v>
      </c>
      <c r="M155" s="208">
        <v>3384</v>
      </c>
    </row>
    <row r="156" spans="1:13" ht="19" customHeight="1">
      <c r="A156" s="171" t="s">
        <v>22</v>
      </c>
      <c r="B156" s="970" t="s">
        <v>1134</v>
      </c>
      <c r="C156" s="145">
        <v>89215</v>
      </c>
      <c r="D156" s="145">
        <v>80894490.980000004</v>
      </c>
      <c r="E156" s="145"/>
      <c r="F156" s="252">
        <v>42298</v>
      </c>
      <c r="G156" s="145">
        <v>2576</v>
      </c>
      <c r="H156" s="145">
        <v>502843706.99000001</v>
      </c>
      <c r="I156" s="145">
        <v>44874</v>
      </c>
      <c r="J156" s="253"/>
      <c r="K156" s="208">
        <v>32374</v>
      </c>
      <c r="L156" s="208">
        <v>11215</v>
      </c>
      <c r="M156" s="208">
        <v>1285</v>
      </c>
    </row>
    <row r="157" spans="1:13" ht="12" customHeight="1">
      <c r="A157" s="171" t="s">
        <v>362</v>
      </c>
      <c r="B157" s="970" t="s">
        <v>1135</v>
      </c>
      <c r="C157" s="145">
        <v>26418</v>
      </c>
      <c r="D157" s="145">
        <v>23850336.73</v>
      </c>
      <c r="E157" s="145"/>
      <c r="F157" s="252">
        <v>11121</v>
      </c>
      <c r="G157" s="145">
        <v>888</v>
      </c>
      <c r="H157" s="145">
        <v>148479559.61000001</v>
      </c>
      <c r="I157" s="145">
        <v>12009</v>
      </c>
      <c r="J157" s="253"/>
      <c r="K157" s="208">
        <v>7202</v>
      </c>
      <c r="L157" s="208">
        <v>4443</v>
      </c>
      <c r="M157" s="208">
        <v>364</v>
      </c>
    </row>
    <row r="158" spans="1:13" ht="12" customHeight="1">
      <c r="A158" s="171" t="s">
        <v>366</v>
      </c>
      <c r="B158" s="970" t="s">
        <v>1136</v>
      </c>
      <c r="C158" s="145">
        <v>25508</v>
      </c>
      <c r="D158" s="145">
        <v>22988875.32</v>
      </c>
      <c r="E158" s="145"/>
      <c r="F158" s="252">
        <v>11459</v>
      </c>
      <c r="G158" s="145">
        <v>702</v>
      </c>
      <c r="H158" s="145">
        <v>142589843.34999999</v>
      </c>
      <c r="I158" s="145">
        <v>12161</v>
      </c>
      <c r="J158" s="253"/>
      <c r="K158" s="208">
        <v>7810</v>
      </c>
      <c r="L158" s="208">
        <v>3960</v>
      </c>
      <c r="M158" s="208">
        <v>391</v>
      </c>
    </row>
    <row r="159" spans="1:13" ht="12" customHeight="1">
      <c r="A159" s="171" t="s">
        <v>370</v>
      </c>
      <c r="B159" s="970" t="s">
        <v>1137</v>
      </c>
      <c r="C159" s="145">
        <v>93736</v>
      </c>
      <c r="D159" s="145">
        <v>84940866.739999995</v>
      </c>
      <c r="E159" s="145"/>
      <c r="F159" s="252">
        <v>36113</v>
      </c>
      <c r="G159" s="145">
        <v>6380</v>
      </c>
      <c r="H159" s="145">
        <v>562501568.30999994</v>
      </c>
      <c r="I159" s="145">
        <v>42493</v>
      </c>
      <c r="J159" s="253"/>
      <c r="K159" s="208">
        <v>25549</v>
      </c>
      <c r="L159" s="208">
        <v>14997</v>
      </c>
      <c r="M159" s="208">
        <v>1947</v>
      </c>
    </row>
    <row r="160" spans="1:13" ht="19" customHeight="1">
      <c r="A160" s="171" t="s">
        <v>23</v>
      </c>
      <c r="B160" s="970" t="s">
        <v>1138</v>
      </c>
      <c r="C160" s="145">
        <v>433606</v>
      </c>
      <c r="D160" s="145">
        <v>391697326.69999999</v>
      </c>
      <c r="E160" s="145"/>
      <c r="F160" s="252">
        <v>178272</v>
      </c>
      <c r="G160" s="145">
        <v>25340</v>
      </c>
      <c r="H160" s="145">
        <v>3002884725.8899999</v>
      </c>
      <c r="I160" s="145">
        <v>203612</v>
      </c>
      <c r="J160" s="253"/>
      <c r="K160" s="208">
        <v>124007</v>
      </c>
      <c r="L160" s="208">
        <v>70588</v>
      </c>
      <c r="M160" s="208">
        <v>9017</v>
      </c>
    </row>
    <row r="161" spans="1:13" ht="12" customHeight="1">
      <c r="A161" s="171" t="s">
        <v>375</v>
      </c>
      <c r="B161" s="970" t="s">
        <v>1139</v>
      </c>
      <c r="C161" s="145">
        <v>22455</v>
      </c>
      <c r="D161" s="145">
        <v>20351063.600000001</v>
      </c>
      <c r="E161" s="145"/>
      <c r="F161" s="252">
        <v>10201</v>
      </c>
      <c r="G161" s="145">
        <v>506</v>
      </c>
      <c r="H161" s="145">
        <v>118702926.59</v>
      </c>
      <c r="I161" s="145">
        <v>10707</v>
      </c>
      <c r="J161" s="253"/>
      <c r="K161" s="208">
        <v>7104</v>
      </c>
      <c r="L161" s="208">
        <v>3329</v>
      </c>
      <c r="M161" s="208">
        <v>274</v>
      </c>
    </row>
    <row r="162" spans="1:13" ht="12" customHeight="1">
      <c r="A162" s="171" t="s">
        <v>378</v>
      </c>
      <c r="B162" s="970" t="s">
        <v>1140</v>
      </c>
      <c r="C162" s="145">
        <v>14508</v>
      </c>
      <c r="D162" s="145">
        <v>12941420.470000001</v>
      </c>
      <c r="E162" s="145"/>
      <c r="F162" s="252">
        <v>6406</v>
      </c>
      <c r="G162" s="145">
        <v>837</v>
      </c>
      <c r="H162" s="145">
        <v>118919684.48</v>
      </c>
      <c r="I162" s="145">
        <v>7243</v>
      </c>
      <c r="J162" s="253"/>
      <c r="K162" s="208">
        <v>4765</v>
      </c>
      <c r="L162" s="208">
        <v>2162</v>
      </c>
      <c r="M162" s="208">
        <v>316</v>
      </c>
    </row>
    <row r="163" spans="1:13" ht="12" customHeight="1">
      <c r="A163" s="171" t="s">
        <v>381</v>
      </c>
      <c r="B163" s="970" t="s">
        <v>1141</v>
      </c>
      <c r="C163" s="145">
        <v>28371</v>
      </c>
      <c r="D163" s="145">
        <v>25636377.84</v>
      </c>
      <c r="E163" s="145"/>
      <c r="F163" s="252">
        <v>13012</v>
      </c>
      <c r="G163" s="145">
        <v>1027</v>
      </c>
      <c r="H163" s="145">
        <v>189006195.33000001</v>
      </c>
      <c r="I163" s="145">
        <v>14039</v>
      </c>
      <c r="J163" s="253"/>
      <c r="K163" s="208">
        <v>9743</v>
      </c>
      <c r="L163" s="208">
        <v>3835</v>
      </c>
      <c r="M163" s="208">
        <v>461</v>
      </c>
    </row>
    <row r="164" spans="1:13" ht="6" customHeight="1">
      <c r="A164" s="146"/>
      <c r="B164" s="990"/>
      <c r="C164" s="275"/>
      <c r="D164" s="275"/>
      <c r="E164" s="276"/>
      <c r="F164" s="277"/>
      <c r="G164" s="275"/>
      <c r="H164" s="275"/>
      <c r="I164" s="275"/>
      <c r="J164" s="276"/>
      <c r="K164" s="278"/>
      <c r="L164" s="278"/>
      <c r="M164" s="268"/>
    </row>
    <row r="165" spans="1:13" ht="12.75" customHeight="1">
      <c r="A165" s="184" t="s">
        <v>24</v>
      </c>
      <c r="B165" s="985"/>
      <c r="C165" s="257">
        <f>SUM(C126:C163)</f>
        <v>2366404</v>
      </c>
      <c r="D165" s="281">
        <f>SUM(D126:D163)</f>
        <v>2142031319.9399998</v>
      </c>
      <c r="E165" s="281"/>
      <c r="F165" s="258">
        <f t="shared" ref="F165:I165" si="2">SUM(F126:F163)</f>
        <v>1026723</v>
      </c>
      <c r="G165" s="257">
        <f t="shared" si="2"/>
        <v>133674</v>
      </c>
      <c r="H165" s="281">
        <f t="shared" si="2"/>
        <v>15778065471.65</v>
      </c>
      <c r="I165" s="257">
        <f t="shared" si="2"/>
        <v>1160397</v>
      </c>
      <c r="J165" s="282"/>
      <c r="K165" s="283">
        <f t="shared" ref="K165:M165" si="3">SUM(K126:K163)</f>
        <v>775752</v>
      </c>
      <c r="L165" s="283">
        <f t="shared" si="3"/>
        <v>337027</v>
      </c>
      <c r="M165" s="283">
        <f t="shared" si="3"/>
        <v>47618</v>
      </c>
    </row>
    <row r="166" spans="1:13" ht="12.75" customHeight="1">
      <c r="A166" s="182" t="s">
        <v>19</v>
      </c>
      <c r="B166" s="989"/>
      <c r="C166" s="270">
        <f>C118</f>
        <v>6359583</v>
      </c>
      <c r="D166" s="243">
        <f>D118</f>
        <v>5758446706.3499985</v>
      </c>
      <c r="E166" s="271"/>
      <c r="F166" s="272">
        <f>F118</f>
        <v>2407230</v>
      </c>
      <c r="G166" s="270">
        <f>G118</f>
        <v>431778</v>
      </c>
      <c r="H166" s="270">
        <f>H118</f>
        <v>41635462931.309998</v>
      </c>
      <c r="I166" s="270">
        <f>I118</f>
        <v>2839008</v>
      </c>
      <c r="J166" s="273"/>
      <c r="K166" s="274">
        <f>K118</f>
        <v>1615966</v>
      </c>
      <c r="L166" s="274">
        <f>L118</f>
        <v>1126124</v>
      </c>
      <c r="M166" s="274">
        <f>M118</f>
        <v>96918</v>
      </c>
    </row>
    <row r="167" spans="1:13" ht="12.75" customHeight="1">
      <c r="A167" s="182" t="s">
        <v>591</v>
      </c>
      <c r="B167" s="992" t="s">
        <v>1142</v>
      </c>
      <c r="C167" s="510">
        <v>366369</v>
      </c>
      <c r="D167" s="1502">
        <v>260553813.41</v>
      </c>
      <c r="E167" s="511"/>
      <c r="F167" s="512">
        <v>138896</v>
      </c>
      <c r="G167" s="510">
        <v>46310</v>
      </c>
      <c r="H167" s="510">
        <v>14772783279.280001</v>
      </c>
      <c r="I167" s="510">
        <v>185206</v>
      </c>
      <c r="J167" s="513"/>
      <c r="K167" s="514">
        <v>99151</v>
      </c>
      <c r="L167" s="514">
        <v>55036</v>
      </c>
      <c r="M167" s="514">
        <v>31019</v>
      </c>
    </row>
    <row r="168" spans="1:13" ht="6" customHeight="1">
      <c r="A168" s="184"/>
      <c r="B168" s="985"/>
      <c r="C168" s="257"/>
      <c r="D168" s="270"/>
      <c r="E168" s="279"/>
      <c r="F168" s="258"/>
      <c r="G168" s="257"/>
      <c r="H168" s="257"/>
      <c r="I168" s="270"/>
      <c r="J168" s="282"/>
      <c r="K168" s="283"/>
      <c r="L168" s="283"/>
      <c r="M168" s="208"/>
    </row>
    <row r="169" spans="1:13" ht="13" customHeight="1">
      <c r="A169" s="182" t="s">
        <v>25</v>
      </c>
      <c r="B169" s="989"/>
      <c r="C169" s="270">
        <f>SUM(C165:C167)</f>
        <v>9092356</v>
      </c>
      <c r="D169" s="270">
        <f>SUM(D165:D167)</f>
        <v>8161031839.6999979</v>
      </c>
      <c r="E169" s="271"/>
      <c r="F169" s="270">
        <f>SUM(F165:F167)</f>
        <v>3572849</v>
      </c>
      <c r="G169" s="270">
        <f>SUM(G165:G167)</f>
        <v>611762</v>
      </c>
      <c r="H169" s="270">
        <f>SUM(H165:H167)</f>
        <v>72186311682.240005</v>
      </c>
      <c r="I169" s="270">
        <f>SUM(I165:I167)</f>
        <v>4184611</v>
      </c>
      <c r="J169" s="273"/>
      <c r="K169" s="274">
        <f>SUM(K165:K167)</f>
        <v>2490869</v>
      </c>
      <c r="L169" s="274">
        <f>SUM(L165:L167)</f>
        <v>1518187</v>
      </c>
      <c r="M169" s="274">
        <f>SUM(M165:M167)</f>
        <v>175555</v>
      </c>
    </row>
    <row r="170" spans="1:13" ht="6" customHeight="1">
      <c r="A170" s="171"/>
      <c r="C170" s="145"/>
      <c r="D170" s="171"/>
      <c r="E170" s="171"/>
      <c r="F170" s="145"/>
      <c r="G170" s="145"/>
      <c r="H170" s="171"/>
      <c r="I170" s="145"/>
      <c r="J170" s="145"/>
      <c r="K170" s="208"/>
      <c r="L170" s="208"/>
      <c r="M170" s="210"/>
    </row>
    <row r="171" spans="1:13" s="1071" customFormat="1" ht="10" customHeight="1">
      <c r="A171" s="1070" t="s">
        <v>1</v>
      </c>
      <c r="B171" s="968"/>
      <c r="C171" s="1072"/>
      <c r="D171" s="1072"/>
      <c r="E171" s="1072"/>
      <c r="K171" s="1077"/>
      <c r="L171" s="1077"/>
      <c r="M171" s="1077"/>
    </row>
    <row r="172" spans="1:13" s="1071" customFormat="1" ht="10" customHeight="1">
      <c r="A172" s="1070" t="str">
        <f>'1.5'!A174</f>
        <v>* Returns not assigned to a locality are generally nonresident returns.  In these cases, the taxpayer did not report a locality in which the Virginia portion of income was earned.</v>
      </c>
      <c r="B172" s="968"/>
      <c r="K172" s="1077"/>
      <c r="L172" s="1077"/>
      <c r="M172" s="1077"/>
    </row>
    <row r="173" spans="1:13" s="667" customFormat="1" ht="12.75" customHeight="1">
      <c r="A173" s="745" t="s">
        <v>930</v>
      </c>
      <c r="B173" s="991"/>
      <c r="C173" s="668"/>
      <c r="D173" s="668"/>
      <c r="E173" s="668"/>
      <c r="F173" s="669"/>
    </row>
    <row r="175" spans="1:13">
      <c r="C175" s="515"/>
      <c r="D175" s="515"/>
      <c r="E175" s="515"/>
      <c r="F175" s="515"/>
      <c r="G175" s="515"/>
      <c r="H175" s="515"/>
      <c r="I175" s="515"/>
      <c r="J175" s="515"/>
      <c r="K175" s="515"/>
      <c r="L175" s="515"/>
      <c r="M175" s="515"/>
    </row>
    <row r="176" spans="1:13">
      <c r="C176" s="516"/>
      <c r="D176" s="516"/>
      <c r="E176" s="516"/>
      <c r="F176" s="516"/>
      <c r="G176" s="516"/>
      <c r="H176" s="516"/>
      <c r="I176" s="516"/>
      <c r="J176" s="516"/>
      <c r="K176" s="516"/>
      <c r="L176" s="516"/>
      <c r="M176" s="516"/>
    </row>
    <row r="180" spans="2:2" s="1278" customFormat="1" ht="11.5">
      <c r="B180" s="968"/>
    </row>
    <row r="181" spans="2:2" s="1278" customFormat="1" ht="10" customHeight="1">
      <c r="B181" s="968"/>
    </row>
  </sheetData>
  <customSheetViews>
    <customSheetView guid="{E6BBE5A7-0B25-4EE8-BA45-5EA5DBAF3AD4}" showPageBreaks="1" outlineSymbols="0" printArea="1">
      <rowBreaks count="4" manualBreakCount="4">
        <brk id="43" max="11" man="1"/>
        <brk id="86" max="11" man="1"/>
        <brk id="129" max="11" man="1"/>
        <brk id="172" max="11" man="1"/>
      </rowBreaks>
      <pageMargins left="0.5" right="0.5" top="0.5" bottom="1" header="0.5" footer="0.5"/>
      <printOptions horizontalCentered="1"/>
      <pageSetup scale="84" firstPageNumber="12" orientation="landscape" useFirstPageNumber="1" r:id="rId1"/>
      <headerFooter alignWithMargins="0"/>
    </customSheetView>
  </customSheetViews>
  <hyperlinks>
    <hyperlink ref="O1" location="TOC!A1" display="Back" xr:uid="{00000000-0004-0000-0900-000000000000}"/>
  </hyperlinks>
  <pageMargins left="0.6" right="0.25" top="0.25" bottom="0.15" header="0.25" footer="0.15"/>
  <pageSetup scale="84" firstPageNumber="12" orientation="landscape" r:id="rId2"/>
  <headerFooter scaleWithDoc="0">
    <oddHeader>&amp;R&amp;P</oddHeader>
  </headerFooter>
  <rowBreaks count="3" manualBreakCount="3">
    <brk id="42" max="11" man="1"/>
    <brk id="84" max="11" man="1"/>
    <brk id="118" max="11"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N173"/>
  <sheetViews>
    <sheetView showOutlineSymbols="0" zoomScaleNormal="100" workbookViewId="0">
      <selection activeCell="A3" sqref="A3"/>
    </sheetView>
  </sheetViews>
  <sheetFormatPr defaultColWidth="10.7265625" defaultRowHeight="15.5"/>
  <cols>
    <col min="1" max="1" width="15" style="180" customWidth="1"/>
    <col min="2" max="2" width="12.7265625" style="180" bestFit="1" customWidth="1"/>
    <col min="3" max="3" width="15.81640625" style="180" customWidth="1"/>
    <col min="4" max="4" width="2.7265625" style="180" customWidth="1"/>
    <col min="5" max="6" width="12" style="180" bestFit="1" customWidth="1"/>
    <col min="7" max="7" width="17.54296875" style="180" customWidth="1"/>
    <col min="8" max="8" width="12.7265625" style="180" bestFit="1" customWidth="1"/>
    <col min="9" max="9" width="2.54296875" style="180" customWidth="1"/>
    <col min="10" max="10" width="12" style="284" bestFit="1" customWidth="1"/>
    <col min="11" max="11" width="14.7265625" style="284" customWidth="1"/>
    <col min="12" max="12" width="12.81640625" style="284" customWidth="1"/>
    <col min="13" max="16384" width="10.7265625" style="180"/>
  </cols>
  <sheetData>
    <row r="1" spans="1:12" ht="18">
      <c r="A1" s="172" t="s">
        <v>593</v>
      </c>
      <c r="B1" s="145"/>
      <c r="C1" s="171"/>
      <c r="D1" s="171"/>
      <c r="E1" s="145"/>
      <c r="F1" s="145"/>
      <c r="G1" s="171"/>
      <c r="H1" s="145"/>
      <c r="I1" s="145"/>
      <c r="J1" s="208"/>
      <c r="K1" s="208"/>
      <c r="L1" s="210"/>
    </row>
    <row r="2" spans="1:12">
      <c r="A2" s="175" t="s">
        <v>760</v>
      </c>
      <c r="B2" s="145"/>
      <c r="C2" s="171"/>
      <c r="D2" s="171"/>
      <c r="E2" s="145"/>
      <c r="F2" s="145"/>
      <c r="G2" s="171"/>
      <c r="H2" s="145"/>
      <c r="I2" s="145"/>
      <c r="J2" s="208"/>
      <c r="K2" s="208"/>
      <c r="L2" s="210"/>
    </row>
    <row r="3" spans="1:12">
      <c r="A3" s="176" t="s">
        <v>868</v>
      </c>
      <c r="B3" s="145"/>
      <c r="C3" s="171"/>
      <c r="D3" s="171"/>
      <c r="E3" s="145"/>
      <c r="F3" s="145"/>
      <c r="G3" s="171"/>
      <c r="H3" s="145"/>
      <c r="I3" s="145"/>
      <c r="J3" s="208"/>
      <c r="K3" s="208"/>
      <c r="L3" s="210"/>
    </row>
    <row r="4" spans="1:12" ht="13.15" customHeight="1" thickBot="1">
      <c r="A4" s="184"/>
      <c r="B4" s="145"/>
      <c r="C4" s="171"/>
      <c r="D4" s="171"/>
      <c r="E4" s="145"/>
      <c r="F4" s="145"/>
      <c r="G4" s="171"/>
      <c r="H4" s="145"/>
      <c r="I4" s="145"/>
      <c r="J4" s="208"/>
      <c r="K4" s="208"/>
      <c r="L4" s="210"/>
    </row>
    <row r="5" spans="1:12">
      <c r="A5" s="800"/>
      <c r="B5" s="1611" t="s">
        <v>306</v>
      </c>
      <c r="C5" s="1611"/>
      <c r="D5" s="237"/>
      <c r="E5" s="1609" t="s">
        <v>307</v>
      </c>
      <c r="F5" s="1610"/>
      <c r="G5" s="1610"/>
      <c r="H5" s="1610"/>
      <c r="I5" s="238"/>
      <c r="J5" s="239"/>
      <c r="K5" s="240" t="s">
        <v>594</v>
      </c>
      <c r="L5" s="241"/>
    </row>
    <row r="6" spans="1:12" ht="13.15" customHeight="1">
      <c r="A6" s="242"/>
      <c r="B6" s="243"/>
      <c r="C6" s="244"/>
      <c r="D6" s="244"/>
      <c r="E6" s="245"/>
      <c r="F6" s="243"/>
      <c r="G6" s="244"/>
      <c r="H6" s="246" t="s">
        <v>13</v>
      </c>
      <c r="I6" s="247"/>
      <c r="J6" s="248"/>
      <c r="K6" s="249" t="s">
        <v>749</v>
      </c>
      <c r="L6" s="249" t="s">
        <v>749</v>
      </c>
    </row>
    <row r="7" spans="1:12" ht="13.15" customHeight="1">
      <c r="A7" s="453" t="s">
        <v>18</v>
      </c>
      <c r="B7" s="801" t="s">
        <v>595</v>
      </c>
      <c r="C7" s="453" t="s">
        <v>16</v>
      </c>
      <c r="D7" s="453"/>
      <c r="E7" s="250" t="s">
        <v>305</v>
      </c>
      <c r="F7" s="801" t="s">
        <v>304</v>
      </c>
      <c r="G7" s="453" t="s">
        <v>16</v>
      </c>
      <c r="H7" s="801" t="s">
        <v>302</v>
      </c>
      <c r="I7" s="251"/>
      <c r="J7" s="802" t="s">
        <v>596</v>
      </c>
      <c r="K7" s="802" t="s">
        <v>301</v>
      </c>
      <c r="L7" s="803" t="s">
        <v>748</v>
      </c>
    </row>
    <row r="8" spans="1:12" ht="21" customHeight="1">
      <c r="A8" s="150" t="s">
        <v>311</v>
      </c>
      <c r="B8" s="145">
        <v>41962</v>
      </c>
      <c r="C8" s="150">
        <v>38037527.109999999</v>
      </c>
      <c r="D8" s="150"/>
      <c r="E8" s="252">
        <v>16502</v>
      </c>
      <c r="F8" s="145">
        <v>2053</v>
      </c>
      <c r="G8" s="150">
        <v>238754516.80000001</v>
      </c>
      <c r="H8" s="145">
        <v>18555</v>
      </c>
      <c r="I8" s="253"/>
      <c r="J8" s="208">
        <v>10998</v>
      </c>
      <c r="K8" s="208">
        <v>6844</v>
      </c>
      <c r="L8" s="208">
        <v>713</v>
      </c>
    </row>
    <row r="9" spans="1:12" ht="13.15" customHeight="1">
      <c r="A9" s="171" t="s">
        <v>315</v>
      </c>
      <c r="B9" s="145">
        <v>115211</v>
      </c>
      <c r="C9" s="145">
        <v>103548527.94</v>
      </c>
      <c r="D9" s="145"/>
      <c r="E9" s="252">
        <v>39952</v>
      </c>
      <c r="F9" s="145">
        <v>10066</v>
      </c>
      <c r="G9" s="145">
        <v>545671635.89999998</v>
      </c>
      <c r="H9" s="145">
        <v>50018</v>
      </c>
      <c r="I9" s="253"/>
      <c r="J9" s="208">
        <v>27622</v>
      </c>
      <c r="K9" s="208">
        <v>20816</v>
      </c>
      <c r="L9" s="208">
        <v>1580</v>
      </c>
    </row>
    <row r="10" spans="1:12" ht="13.15" customHeight="1">
      <c r="A10" s="171" t="s">
        <v>319</v>
      </c>
      <c r="B10" s="145">
        <v>16510</v>
      </c>
      <c r="C10" s="145">
        <v>14978843.380000001</v>
      </c>
      <c r="D10" s="145"/>
      <c r="E10" s="252">
        <v>6790</v>
      </c>
      <c r="F10" s="145">
        <v>385</v>
      </c>
      <c r="G10" s="145">
        <v>44854096.700000003</v>
      </c>
      <c r="H10" s="145">
        <v>7175</v>
      </c>
      <c r="I10" s="253"/>
      <c r="J10" s="208">
        <v>3844</v>
      </c>
      <c r="K10" s="208">
        <v>3148</v>
      </c>
      <c r="L10" s="208">
        <v>183</v>
      </c>
    </row>
    <row r="11" spans="1:12" ht="13.15" customHeight="1">
      <c r="A11" s="171" t="s">
        <v>323</v>
      </c>
      <c r="B11" s="145">
        <v>13867</v>
      </c>
      <c r="C11" s="145">
        <v>12635969.699999999</v>
      </c>
      <c r="D11" s="145"/>
      <c r="E11" s="252">
        <v>5457</v>
      </c>
      <c r="F11" s="145">
        <v>549</v>
      </c>
      <c r="G11" s="145">
        <v>49484304.200000003</v>
      </c>
      <c r="H11" s="145">
        <v>6006</v>
      </c>
      <c r="I11" s="253"/>
      <c r="J11" s="208">
        <v>3282</v>
      </c>
      <c r="K11" s="208">
        <v>2579</v>
      </c>
      <c r="L11" s="208">
        <v>145</v>
      </c>
    </row>
    <row r="12" spans="1:12" ht="13.15" customHeight="1">
      <c r="A12" s="171" t="s">
        <v>327</v>
      </c>
      <c r="B12" s="145">
        <v>30880</v>
      </c>
      <c r="C12" s="145">
        <v>28052369.440000001</v>
      </c>
      <c r="D12" s="145"/>
      <c r="E12" s="252">
        <v>12622</v>
      </c>
      <c r="F12" s="145">
        <v>897</v>
      </c>
      <c r="G12" s="145">
        <v>77787188.900000006</v>
      </c>
      <c r="H12" s="145">
        <v>13519</v>
      </c>
      <c r="I12" s="253"/>
      <c r="J12" s="208">
        <v>7589</v>
      </c>
      <c r="K12" s="208">
        <v>5608</v>
      </c>
      <c r="L12" s="208">
        <v>322</v>
      </c>
    </row>
    <row r="13" spans="1:12" ht="21" customHeight="1">
      <c r="A13" s="171" t="s">
        <v>331</v>
      </c>
      <c r="B13" s="145">
        <v>16252</v>
      </c>
      <c r="C13" s="145">
        <v>14783254.460000001</v>
      </c>
      <c r="D13" s="145"/>
      <c r="E13" s="252">
        <v>6385</v>
      </c>
      <c r="F13" s="145">
        <v>480</v>
      </c>
      <c r="G13" s="145">
        <v>44713050.899999999</v>
      </c>
      <c r="H13" s="145">
        <v>6865</v>
      </c>
      <c r="I13" s="253"/>
      <c r="J13" s="208">
        <v>3626</v>
      </c>
      <c r="K13" s="208">
        <v>3054</v>
      </c>
      <c r="L13" s="208">
        <v>185</v>
      </c>
    </row>
    <row r="14" spans="1:12" ht="13.15" customHeight="1">
      <c r="A14" s="171" t="s">
        <v>335</v>
      </c>
      <c r="B14" s="145">
        <v>240939</v>
      </c>
      <c r="C14" s="145">
        <v>215819320.75999999</v>
      </c>
      <c r="D14" s="145"/>
      <c r="E14" s="252">
        <v>98213</v>
      </c>
      <c r="F14" s="145">
        <v>33646</v>
      </c>
      <c r="G14" s="145">
        <v>1424664013.6800001</v>
      </c>
      <c r="H14" s="145">
        <v>131859</v>
      </c>
      <c r="I14" s="253"/>
      <c r="J14" s="208">
        <v>89184</v>
      </c>
      <c r="K14" s="208">
        <v>37458</v>
      </c>
      <c r="L14" s="208">
        <v>5217</v>
      </c>
    </row>
    <row r="15" spans="1:12" ht="13.15" customHeight="1">
      <c r="A15" s="171" t="s">
        <v>339</v>
      </c>
      <c r="B15" s="145">
        <v>80790</v>
      </c>
      <c r="C15" s="145">
        <v>73257851.530000001</v>
      </c>
      <c r="D15" s="145"/>
      <c r="E15" s="252">
        <v>31687</v>
      </c>
      <c r="F15" s="145">
        <v>2930</v>
      </c>
      <c r="G15" s="145">
        <v>217388300.30000001</v>
      </c>
      <c r="H15" s="145">
        <v>34617</v>
      </c>
      <c r="I15" s="253"/>
      <c r="J15" s="208">
        <v>17920</v>
      </c>
      <c r="K15" s="208">
        <v>15901</v>
      </c>
      <c r="L15" s="208">
        <v>796</v>
      </c>
    </row>
    <row r="16" spans="1:12" ht="13.15" customHeight="1">
      <c r="A16" s="171" t="s">
        <v>343</v>
      </c>
      <c r="B16" s="145">
        <v>5270</v>
      </c>
      <c r="C16" s="145">
        <v>4761911.1500000004</v>
      </c>
      <c r="D16" s="145"/>
      <c r="E16" s="252">
        <v>2234</v>
      </c>
      <c r="F16" s="145">
        <v>168</v>
      </c>
      <c r="G16" s="145">
        <v>20530866.809999999</v>
      </c>
      <c r="H16" s="145">
        <v>2402</v>
      </c>
      <c r="I16" s="253"/>
      <c r="J16" s="208">
        <v>1345</v>
      </c>
      <c r="K16" s="208">
        <v>999</v>
      </c>
      <c r="L16" s="208">
        <v>58</v>
      </c>
    </row>
    <row r="17" spans="1:12" ht="13.15" customHeight="1">
      <c r="A17" s="171" t="s">
        <v>347</v>
      </c>
      <c r="B17" s="145">
        <v>84885</v>
      </c>
      <c r="C17" s="145">
        <v>76766126.209999993</v>
      </c>
      <c r="D17" s="145"/>
      <c r="E17" s="252">
        <v>31708</v>
      </c>
      <c r="F17" s="145">
        <v>3854</v>
      </c>
      <c r="G17" s="145">
        <v>255825894.80000001</v>
      </c>
      <c r="H17" s="145">
        <v>35562</v>
      </c>
      <c r="I17" s="253"/>
      <c r="J17" s="208">
        <v>17375</v>
      </c>
      <c r="K17" s="208">
        <v>17319</v>
      </c>
      <c r="L17" s="208">
        <v>868</v>
      </c>
    </row>
    <row r="18" spans="1:12" ht="21" customHeight="1">
      <c r="A18" s="171" t="s">
        <v>351</v>
      </c>
      <c r="B18" s="145">
        <v>5797</v>
      </c>
      <c r="C18" s="145">
        <v>5250389.4400000004</v>
      </c>
      <c r="D18" s="145"/>
      <c r="E18" s="252">
        <v>2386</v>
      </c>
      <c r="F18" s="145">
        <v>121</v>
      </c>
      <c r="G18" s="145">
        <v>14284228.9</v>
      </c>
      <c r="H18" s="145">
        <v>2507</v>
      </c>
      <c r="I18" s="253"/>
      <c r="J18" s="208">
        <v>1240</v>
      </c>
      <c r="K18" s="208">
        <v>1185</v>
      </c>
      <c r="L18" s="208">
        <v>82</v>
      </c>
    </row>
    <row r="19" spans="1:12" ht="13.15" customHeight="1">
      <c r="A19" s="171" t="s">
        <v>355</v>
      </c>
      <c r="B19" s="145">
        <v>35942</v>
      </c>
      <c r="C19" s="145">
        <v>32558225.710000001</v>
      </c>
      <c r="D19" s="145"/>
      <c r="E19" s="252">
        <v>13025</v>
      </c>
      <c r="F19" s="145">
        <v>1818</v>
      </c>
      <c r="G19" s="145">
        <v>111847979.2</v>
      </c>
      <c r="H19" s="145">
        <v>14843</v>
      </c>
      <c r="I19" s="253"/>
      <c r="J19" s="208">
        <v>6974</v>
      </c>
      <c r="K19" s="208">
        <v>7529</v>
      </c>
      <c r="L19" s="208">
        <v>340</v>
      </c>
    </row>
    <row r="20" spans="1:12" ht="13.15" customHeight="1">
      <c r="A20" s="171" t="s">
        <v>359</v>
      </c>
      <c r="B20" s="145">
        <v>14031</v>
      </c>
      <c r="C20" s="145">
        <v>12751734.6</v>
      </c>
      <c r="D20" s="145"/>
      <c r="E20" s="252">
        <v>5741</v>
      </c>
      <c r="F20" s="145">
        <v>511</v>
      </c>
      <c r="G20" s="145">
        <v>39076554</v>
      </c>
      <c r="H20" s="145">
        <v>6252</v>
      </c>
      <c r="I20" s="253"/>
      <c r="J20" s="208">
        <v>4062</v>
      </c>
      <c r="K20" s="208">
        <v>1980</v>
      </c>
      <c r="L20" s="208">
        <v>210</v>
      </c>
    </row>
    <row r="21" spans="1:12" ht="13.15" customHeight="1">
      <c r="A21" s="171" t="s">
        <v>363</v>
      </c>
      <c r="B21" s="145">
        <v>16235</v>
      </c>
      <c r="C21" s="145">
        <v>14839292.560000001</v>
      </c>
      <c r="D21" s="145"/>
      <c r="E21" s="252">
        <v>6581</v>
      </c>
      <c r="F21" s="145">
        <v>211</v>
      </c>
      <c r="G21" s="145">
        <v>40626375.299999997</v>
      </c>
      <c r="H21" s="145">
        <v>6792</v>
      </c>
      <c r="I21" s="253"/>
      <c r="J21" s="208">
        <v>3263</v>
      </c>
      <c r="K21" s="208">
        <v>3370</v>
      </c>
      <c r="L21" s="208">
        <v>159</v>
      </c>
    </row>
    <row r="22" spans="1:12" ht="13.15" customHeight="1">
      <c r="A22" s="171" t="s">
        <v>367</v>
      </c>
      <c r="B22" s="145">
        <v>13648</v>
      </c>
      <c r="C22" s="145">
        <v>12413995.68</v>
      </c>
      <c r="D22" s="145"/>
      <c r="E22" s="252">
        <v>5669</v>
      </c>
      <c r="F22" s="145">
        <v>344</v>
      </c>
      <c r="G22" s="145">
        <v>32242188</v>
      </c>
      <c r="H22" s="145">
        <v>6013</v>
      </c>
      <c r="I22" s="253"/>
      <c r="J22" s="208">
        <v>3628</v>
      </c>
      <c r="K22" s="208">
        <v>2177</v>
      </c>
      <c r="L22" s="208">
        <v>208</v>
      </c>
    </row>
    <row r="23" spans="1:12" ht="21" customHeight="1">
      <c r="A23" s="171" t="s">
        <v>371</v>
      </c>
      <c r="B23" s="145">
        <v>54307</v>
      </c>
      <c r="C23" s="145">
        <v>49361351.5</v>
      </c>
      <c r="D23" s="145"/>
      <c r="E23" s="252">
        <v>22615</v>
      </c>
      <c r="F23" s="145">
        <v>1431</v>
      </c>
      <c r="G23" s="208">
        <v>133462999.90000001</v>
      </c>
      <c r="H23" s="145">
        <v>24046</v>
      </c>
      <c r="I23" s="253"/>
      <c r="J23" s="208">
        <v>13465</v>
      </c>
      <c r="K23" s="208">
        <v>9956</v>
      </c>
      <c r="L23" s="208">
        <v>625</v>
      </c>
    </row>
    <row r="24" spans="1:12" ht="13.15" customHeight="1">
      <c r="A24" s="171" t="s">
        <v>373</v>
      </c>
      <c r="B24" s="145">
        <v>30191</v>
      </c>
      <c r="C24" s="145">
        <v>27508270.780000001</v>
      </c>
      <c r="D24" s="145"/>
      <c r="E24" s="252">
        <v>11875</v>
      </c>
      <c r="F24" s="145">
        <v>1742</v>
      </c>
      <c r="G24" s="145">
        <v>92465163.099999994</v>
      </c>
      <c r="H24" s="145">
        <v>13617</v>
      </c>
      <c r="I24" s="253"/>
      <c r="J24" s="208">
        <v>8097</v>
      </c>
      <c r="K24" s="208">
        <v>5057</v>
      </c>
      <c r="L24" s="208">
        <v>463</v>
      </c>
    </row>
    <row r="25" spans="1:12" ht="13.15" customHeight="1">
      <c r="A25" s="171" t="s">
        <v>376</v>
      </c>
      <c r="B25" s="145">
        <v>28130</v>
      </c>
      <c r="C25" s="145">
        <v>25523189.82</v>
      </c>
      <c r="D25" s="145"/>
      <c r="E25" s="252">
        <v>11778</v>
      </c>
      <c r="F25" s="145">
        <v>444</v>
      </c>
      <c r="G25" s="145">
        <v>67016790.600000001</v>
      </c>
      <c r="H25" s="145">
        <v>12222</v>
      </c>
      <c r="I25" s="253"/>
      <c r="J25" s="208">
        <v>6292</v>
      </c>
      <c r="K25" s="208">
        <v>5542</v>
      </c>
      <c r="L25" s="208">
        <v>388</v>
      </c>
    </row>
    <row r="26" spans="1:12" ht="13.15" customHeight="1">
      <c r="A26" s="171" t="s">
        <v>379</v>
      </c>
      <c r="B26" s="145">
        <v>7278</v>
      </c>
      <c r="C26" s="145">
        <v>6606309</v>
      </c>
      <c r="D26" s="145"/>
      <c r="E26" s="252">
        <v>3089</v>
      </c>
      <c r="F26" s="145">
        <v>351</v>
      </c>
      <c r="G26" s="145">
        <v>21660061.100000001</v>
      </c>
      <c r="H26" s="145">
        <v>3440</v>
      </c>
      <c r="I26" s="253"/>
      <c r="J26" s="208">
        <v>2096</v>
      </c>
      <c r="K26" s="208">
        <v>1218</v>
      </c>
      <c r="L26" s="208">
        <v>126</v>
      </c>
    </row>
    <row r="27" spans="1:12" ht="13.15" customHeight="1">
      <c r="A27" s="171" t="s">
        <v>382</v>
      </c>
      <c r="B27" s="145">
        <v>11869</v>
      </c>
      <c r="C27" s="145">
        <v>10792266.67</v>
      </c>
      <c r="D27" s="145"/>
      <c r="E27" s="252">
        <v>4803</v>
      </c>
      <c r="F27" s="145">
        <v>283</v>
      </c>
      <c r="G27" s="145">
        <v>34229457.299999997</v>
      </c>
      <c r="H27" s="145">
        <v>5086</v>
      </c>
      <c r="I27" s="253"/>
      <c r="J27" s="208">
        <v>2886</v>
      </c>
      <c r="K27" s="208">
        <v>2049</v>
      </c>
      <c r="L27" s="208">
        <v>151</v>
      </c>
    </row>
    <row r="28" spans="1:12" ht="21" customHeight="1">
      <c r="A28" s="171" t="s">
        <v>384</v>
      </c>
      <c r="B28" s="145">
        <v>369274</v>
      </c>
      <c r="C28" s="145">
        <v>335111182.70999998</v>
      </c>
      <c r="D28" s="145"/>
      <c r="E28" s="252">
        <v>132267</v>
      </c>
      <c r="F28" s="145">
        <v>27043</v>
      </c>
      <c r="G28" s="145">
        <v>1245715200.6099999</v>
      </c>
      <c r="H28" s="145">
        <v>159310</v>
      </c>
      <c r="I28" s="253"/>
      <c r="J28" s="208">
        <v>89630</v>
      </c>
      <c r="K28" s="208">
        <v>64927</v>
      </c>
      <c r="L28" s="208">
        <v>4753</v>
      </c>
    </row>
    <row r="29" spans="1:12" ht="13.15" customHeight="1">
      <c r="A29" s="171" t="s">
        <v>387</v>
      </c>
      <c r="B29" s="145">
        <v>16602</v>
      </c>
      <c r="C29" s="145">
        <v>15008044.9</v>
      </c>
      <c r="D29" s="145"/>
      <c r="E29" s="252">
        <v>5713</v>
      </c>
      <c r="F29" s="145">
        <v>1510</v>
      </c>
      <c r="G29" s="145">
        <v>65965361</v>
      </c>
      <c r="H29" s="145">
        <v>7223</v>
      </c>
      <c r="I29" s="253"/>
      <c r="J29" s="208">
        <v>3824</v>
      </c>
      <c r="K29" s="208">
        <v>3192</v>
      </c>
      <c r="L29" s="208">
        <v>207</v>
      </c>
    </row>
    <row r="30" spans="1:12" ht="13.15" customHeight="1">
      <c r="A30" s="171" t="s">
        <v>389</v>
      </c>
      <c r="B30" s="145">
        <v>5125</v>
      </c>
      <c r="C30" s="145">
        <v>4654515.37</v>
      </c>
      <c r="D30" s="145"/>
      <c r="E30" s="252">
        <v>2072</v>
      </c>
      <c r="F30" s="145">
        <v>124</v>
      </c>
      <c r="G30" s="145">
        <v>12305562.1</v>
      </c>
      <c r="H30" s="145">
        <v>2196</v>
      </c>
      <c r="I30" s="253"/>
      <c r="J30" s="208">
        <v>1093</v>
      </c>
      <c r="K30" s="208">
        <v>1052</v>
      </c>
      <c r="L30" s="208">
        <v>51</v>
      </c>
    </row>
    <row r="31" spans="1:12" ht="13.15" customHeight="1">
      <c r="A31" s="171" t="s">
        <v>392</v>
      </c>
      <c r="B31" s="145">
        <v>52852</v>
      </c>
      <c r="C31" s="145">
        <v>48067578.109999999</v>
      </c>
      <c r="D31" s="145"/>
      <c r="E31" s="252">
        <v>18740</v>
      </c>
      <c r="F31" s="145">
        <v>3654</v>
      </c>
      <c r="G31" s="145">
        <v>171736565</v>
      </c>
      <c r="H31" s="145">
        <v>22394</v>
      </c>
      <c r="I31" s="253"/>
      <c r="J31" s="208">
        <v>12365</v>
      </c>
      <c r="K31" s="208">
        <v>9413</v>
      </c>
      <c r="L31" s="208">
        <v>616</v>
      </c>
    </row>
    <row r="32" spans="1:12" ht="13.15" customHeight="1">
      <c r="A32" s="171" t="s">
        <v>395</v>
      </c>
      <c r="B32" s="145">
        <v>9236</v>
      </c>
      <c r="C32" s="145">
        <v>8387564.6900000004</v>
      </c>
      <c r="D32" s="145"/>
      <c r="E32" s="252">
        <v>3732</v>
      </c>
      <c r="F32" s="145">
        <v>329</v>
      </c>
      <c r="G32" s="145">
        <v>24218418.100000001</v>
      </c>
      <c r="H32" s="145">
        <v>4061</v>
      </c>
      <c r="I32" s="253"/>
      <c r="J32" s="208">
        <v>2352</v>
      </c>
      <c r="K32" s="208">
        <v>1544</v>
      </c>
      <c r="L32" s="208">
        <v>165</v>
      </c>
    </row>
    <row r="33" spans="1:12" ht="21" customHeight="1">
      <c r="A33" s="171" t="s">
        <v>398</v>
      </c>
      <c r="B33" s="145">
        <v>11271</v>
      </c>
      <c r="C33" s="145">
        <v>10292608.98</v>
      </c>
      <c r="D33" s="145"/>
      <c r="E33" s="252">
        <v>4578</v>
      </c>
      <c r="F33" s="145">
        <v>79</v>
      </c>
      <c r="G33" s="145">
        <v>54937513.5</v>
      </c>
      <c r="H33" s="145">
        <v>4657</v>
      </c>
      <c r="I33" s="253"/>
      <c r="J33" s="208">
        <v>2267</v>
      </c>
      <c r="K33" s="208">
        <v>2281</v>
      </c>
      <c r="L33" s="208">
        <v>109</v>
      </c>
    </row>
    <row r="34" spans="1:12" ht="13.15" customHeight="1">
      <c r="A34" s="171" t="s">
        <v>401</v>
      </c>
      <c r="B34" s="145">
        <v>26867</v>
      </c>
      <c r="C34" s="145">
        <v>24497063.140000001</v>
      </c>
      <c r="D34" s="145"/>
      <c r="E34" s="252">
        <v>10767</v>
      </c>
      <c r="F34" s="145">
        <v>1281</v>
      </c>
      <c r="G34" s="145">
        <v>79913245.900000006</v>
      </c>
      <c r="H34" s="145">
        <v>12048</v>
      </c>
      <c r="I34" s="253"/>
      <c r="J34" s="208">
        <v>7240</v>
      </c>
      <c r="K34" s="208">
        <v>4397</v>
      </c>
      <c r="L34" s="208">
        <v>411</v>
      </c>
    </row>
    <row r="35" spans="1:12" ht="13.15" customHeight="1">
      <c r="A35" s="171" t="s">
        <v>404</v>
      </c>
      <c r="B35" s="145">
        <v>11278</v>
      </c>
      <c r="C35" s="145">
        <v>10229868</v>
      </c>
      <c r="D35" s="145"/>
      <c r="E35" s="252">
        <v>4513</v>
      </c>
      <c r="F35" s="145">
        <v>552</v>
      </c>
      <c r="G35" s="208">
        <v>36161765.899999999</v>
      </c>
      <c r="H35" s="145">
        <v>5065</v>
      </c>
      <c r="I35" s="253"/>
      <c r="J35" s="208">
        <v>3126</v>
      </c>
      <c r="K35" s="208">
        <v>1759</v>
      </c>
      <c r="L35" s="208">
        <v>180</v>
      </c>
    </row>
    <row r="36" spans="1:12" ht="13.15" customHeight="1">
      <c r="A36" s="171" t="s">
        <v>407</v>
      </c>
      <c r="B36" s="145">
        <v>1215046</v>
      </c>
      <c r="C36" s="145">
        <v>1100636293.79</v>
      </c>
      <c r="D36" s="145"/>
      <c r="E36" s="252">
        <v>378174</v>
      </c>
      <c r="F36" s="145">
        <v>162660</v>
      </c>
      <c r="G36" s="145">
        <v>6897461141.8599997</v>
      </c>
      <c r="H36" s="145">
        <v>540834</v>
      </c>
      <c r="I36" s="253"/>
      <c r="J36" s="208">
        <v>297532</v>
      </c>
      <c r="K36" s="208">
        <v>223428</v>
      </c>
      <c r="L36" s="208">
        <v>19874</v>
      </c>
    </row>
    <row r="37" spans="1:12" ht="13.15" customHeight="1">
      <c r="A37" s="171" t="s">
        <v>410</v>
      </c>
      <c r="B37" s="145">
        <v>78625</v>
      </c>
      <c r="C37" s="145">
        <v>71427200.930000007</v>
      </c>
      <c r="D37" s="145"/>
      <c r="E37" s="252">
        <v>24683</v>
      </c>
      <c r="F37" s="145">
        <v>8885</v>
      </c>
      <c r="G37" s="145">
        <v>407989597</v>
      </c>
      <c r="H37" s="145">
        <v>33568</v>
      </c>
      <c r="I37" s="253"/>
      <c r="J37" s="208">
        <v>17650</v>
      </c>
      <c r="K37" s="208">
        <v>14943</v>
      </c>
      <c r="L37" s="208">
        <v>975</v>
      </c>
    </row>
    <row r="38" spans="1:12" ht="21" customHeight="1">
      <c r="A38" s="171" t="s">
        <v>413</v>
      </c>
      <c r="B38" s="145">
        <v>15378</v>
      </c>
      <c r="C38" s="150">
        <v>13939320.76</v>
      </c>
      <c r="D38" s="150"/>
      <c r="E38" s="252">
        <v>6154</v>
      </c>
      <c r="F38" s="145">
        <v>375</v>
      </c>
      <c r="G38" s="150">
        <v>36629565.5</v>
      </c>
      <c r="H38" s="145">
        <v>6529</v>
      </c>
      <c r="I38" s="253"/>
      <c r="J38" s="208">
        <v>3233</v>
      </c>
      <c r="K38" s="208">
        <v>3156</v>
      </c>
      <c r="L38" s="208">
        <v>140</v>
      </c>
    </row>
    <row r="39" spans="1:12" ht="13.15" customHeight="1">
      <c r="A39" s="171" t="s">
        <v>415</v>
      </c>
      <c r="B39" s="145">
        <v>27715</v>
      </c>
      <c r="C39" s="145">
        <v>25056960.670000002</v>
      </c>
      <c r="D39" s="145"/>
      <c r="E39" s="252">
        <v>10510</v>
      </c>
      <c r="F39" s="145">
        <v>1336</v>
      </c>
      <c r="G39" s="145">
        <v>92120064.5</v>
      </c>
      <c r="H39" s="145">
        <v>11846</v>
      </c>
      <c r="I39" s="253"/>
      <c r="J39" s="208">
        <v>6146</v>
      </c>
      <c r="K39" s="208">
        <v>5328</v>
      </c>
      <c r="L39" s="208">
        <v>372</v>
      </c>
    </row>
    <row r="40" spans="1:12" ht="13.15" customHeight="1">
      <c r="A40" s="171" t="s">
        <v>418</v>
      </c>
      <c r="B40" s="145">
        <v>55340</v>
      </c>
      <c r="C40" s="145">
        <v>50039598.280000001</v>
      </c>
      <c r="D40" s="145"/>
      <c r="E40" s="252">
        <v>21419</v>
      </c>
      <c r="F40" s="145">
        <v>1993</v>
      </c>
      <c r="G40" s="145">
        <v>162826741.80000001</v>
      </c>
      <c r="H40" s="145">
        <v>23412</v>
      </c>
      <c r="I40" s="253"/>
      <c r="J40" s="208">
        <v>11978</v>
      </c>
      <c r="K40" s="208">
        <v>10764</v>
      </c>
      <c r="L40" s="208">
        <v>670</v>
      </c>
    </row>
    <row r="41" spans="1:12" ht="13.15" customHeight="1">
      <c r="A41" s="171" t="s">
        <v>420</v>
      </c>
      <c r="B41" s="145">
        <v>97179</v>
      </c>
      <c r="C41" s="145">
        <v>87966464.599999994</v>
      </c>
      <c r="D41" s="145"/>
      <c r="E41" s="252">
        <v>36118</v>
      </c>
      <c r="F41" s="145">
        <v>6021</v>
      </c>
      <c r="G41" s="145">
        <v>313662978.11000001</v>
      </c>
      <c r="H41" s="145">
        <v>42139</v>
      </c>
      <c r="I41" s="253"/>
      <c r="J41" s="208">
        <v>22707</v>
      </c>
      <c r="K41" s="208">
        <v>18178</v>
      </c>
      <c r="L41" s="208">
        <v>1254</v>
      </c>
    </row>
    <row r="42" spans="1:12" ht="13.15" customHeight="1">
      <c r="A42" s="171" t="s">
        <v>423</v>
      </c>
      <c r="B42" s="145">
        <v>16731</v>
      </c>
      <c r="C42" s="145">
        <v>15167560.189999999</v>
      </c>
      <c r="D42" s="145"/>
      <c r="E42" s="252">
        <v>6969</v>
      </c>
      <c r="F42" s="145">
        <v>314</v>
      </c>
      <c r="G42" s="145">
        <v>36960287.509999998</v>
      </c>
      <c r="H42" s="145">
        <v>7283</v>
      </c>
      <c r="I42" s="253"/>
      <c r="J42" s="208">
        <v>3914</v>
      </c>
      <c r="K42" s="208">
        <v>3186</v>
      </c>
      <c r="L42" s="208">
        <v>183</v>
      </c>
    </row>
    <row r="43" spans="1:12" ht="18">
      <c r="A43" s="172" t="s">
        <v>597</v>
      </c>
      <c r="B43" s="145"/>
      <c r="C43" s="145"/>
      <c r="D43" s="145"/>
      <c r="E43" s="145"/>
      <c r="F43" s="145"/>
      <c r="G43" s="145"/>
      <c r="H43" s="145"/>
      <c r="I43" s="145"/>
      <c r="J43" s="208"/>
      <c r="K43" s="208"/>
      <c r="L43" s="208"/>
    </row>
    <row r="44" spans="1:12">
      <c r="A44" s="175" t="str">
        <f>A2</f>
        <v>Exemptions, Standard and Itemized Deductions, and Number of Returns by Filing Status/Locality</v>
      </c>
      <c r="B44" s="145"/>
      <c r="C44" s="145"/>
      <c r="D44" s="145"/>
      <c r="E44" s="145"/>
      <c r="F44" s="145"/>
      <c r="G44" s="145"/>
      <c r="H44" s="145"/>
      <c r="I44" s="145"/>
      <c r="J44" s="208"/>
      <c r="K44" s="208"/>
      <c r="L44" s="208"/>
    </row>
    <row r="45" spans="1:12">
      <c r="A45" s="176" t="str">
        <f>A3</f>
        <v>Taxable Year 2019</v>
      </c>
      <c r="B45" s="145"/>
      <c r="C45" s="145"/>
      <c r="D45" s="145"/>
      <c r="E45" s="145"/>
      <c r="F45" s="145"/>
      <c r="G45" s="145"/>
      <c r="H45" s="145"/>
      <c r="I45" s="145"/>
      <c r="J45" s="208"/>
      <c r="K45" s="208"/>
      <c r="L45" s="208"/>
    </row>
    <row r="46" spans="1:12" ht="13.15" customHeight="1" thickBot="1">
      <c r="B46" s="254">
        <f t="shared" ref="B46:L46" si="0">SUM(B8:B37)</f>
        <v>2660170</v>
      </c>
      <c r="C46" s="254">
        <f t="shared" si="0"/>
        <v>2408558648.0599999</v>
      </c>
      <c r="D46" s="254">
        <f t="shared" si="0"/>
        <v>0</v>
      </c>
      <c r="E46" s="254">
        <f t="shared" si="0"/>
        <v>924351</v>
      </c>
      <c r="F46" s="254">
        <f t="shared" si="0"/>
        <v>268401</v>
      </c>
      <c r="G46" s="254">
        <f t="shared" si="0"/>
        <v>12502990037.360001</v>
      </c>
      <c r="H46" s="254">
        <f t="shared" si="0"/>
        <v>1192752</v>
      </c>
      <c r="I46" s="254">
        <f t="shared" si="0"/>
        <v>0</v>
      </c>
      <c r="J46" s="255">
        <f t="shared" si="0"/>
        <v>671867</v>
      </c>
      <c r="K46" s="255">
        <f t="shared" si="0"/>
        <v>480725</v>
      </c>
      <c r="L46" s="255">
        <f t="shared" si="0"/>
        <v>40160</v>
      </c>
    </row>
    <row r="47" spans="1:12">
      <c r="A47" s="236"/>
      <c r="B47" s="1608" t="s">
        <v>306</v>
      </c>
      <c r="C47" s="1608"/>
      <c r="D47" s="799"/>
      <c r="E47" s="1609" t="s">
        <v>307</v>
      </c>
      <c r="F47" s="1610"/>
      <c r="G47" s="1610"/>
      <c r="H47" s="1610"/>
      <c r="I47" s="238"/>
      <c r="J47" s="239"/>
      <c r="K47" s="240" t="s">
        <v>594</v>
      </c>
      <c r="L47" s="241"/>
    </row>
    <row r="48" spans="1:12" ht="13.15" customHeight="1">
      <c r="A48" s="256"/>
      <c r="B48" s="257"/>
      <c r="C48" s="257"/>
      <c r="D48" s="257"/>
      <c r="E48" s="258"/>
      <c r="F48" s="257"/>
      <c r="G48" s="257"/>
      <c r="H48" s="259" t="s">
        <v>13</v>
      </c>
      <c r="I48" s="260"/>
      <c r="J48" s="261"/>
      <c r="K48" s="249" t="s">
        <v>749</v>
      </c>
      <c r="L48" s="249" t="s">
        <v>749</v>
      </c>
    </row>
    <row r="49" spans="1:12" ht="13.15" customHeight="1">
      <c r="A49" s="453" t="s">
        <v>18</v>
      </c>
      <c r="B49" s="801" t="s">
        <v>595</v>
      </c>
      <c r="C49" s="801" t="s">
        <v>16</v>
      </c>
      <c r="D49" s="801"/>
      <c r="E49" s="250" t="s">
        <v>305</v>
      </c>
      <c r="F49" s="801" t="s">
        <v>304</v>
      </c>
      <c r="G49" s="453" t="s">
        <v>16</v>
      </c>
      <c r="H49" s="801" t="s">
        <v>302</v>
      </c>
      <c r="I49" s="251"/>
      <c r="J49" s="802" t="s">
        <v>596</v>
      </c>
      <c r="K49" s="802" t="s">
        <v>301</v>
      </c>
      <c r="L49" s="803" t="s">
        <v>748</v>
      </c>
    </row>
    <row r="50" spans="1:12" ht="21" customHeight="1">
      <c r="A50" s="171" t="s">
        <v>426</v>
      </c>
      <c r="B50" s="145">
        <v>39458</v>
      </c>
      <c r="C50" s="145">
        <v>35749770.850000001</v>
      </c>
      <c r="D50" s="145"/>
      <c r="E50" s="252">
        <v>15517</v>
      </c>
      <c r="F50" s="145">
        <v>2026</v>
      </c>
      <c r="G50" s="145">
        <v>116639621.40000001</v>
      </c>
      <c r="H50" s="145">
        <v>17543</v>
      </c>
      <c r="I50" s="253"/>
      <c r="J50" s="208">
        <v>9384</v>
      </c>
      <c r="K50" s="208">
        <v>7630</v>
      </c>
      <c r="L50" s="208">
        <v>529</v>
      </c>
    </row>
    <row r="51" spans="1:12" ht="13.15" customHeight="1">
      <c r="A51" s="171" t="s">
        <v>428</v>
      </c>
      <c r="B51" s="145">
        <v>26923</v>
      </c>
      <c r="C51" s="145">
        <v>24276328.059999999</v>
      </c>
      <c r="D51" s="145"/>
      <c r="E51" s="252">
        <v>8557</v>
      </c>
      <c r="F51" s="145">
        <v>2693</v>
      </c>
      <c r="G51" s="145">
        <v>142950730.69999999</v>
      </c>
      <c r="H51" s="145">
        <v>11250</v>
      </c>
      <c r="I51" s="253"/>
      <c r="J51" s="208">
        <v>5292</v>
      </c>
      <c r="K51" s="208">
        <v>5640</v>
      </c>
      <c r="L51" s="208">
        <v>318</v>
      </c>
    </row>
    <row r="52" spans="1:12" ht="13.15" customHeight="1">
      <c r="A52" s="171" t="s">
        <v>430</v>
      </c>
      <c r="B52" s="145">
        <v>14761</v>
      </c>
      <c r="C52" s="145">
        <v>13372500.390000001</v>
      </c>
      <c r="D52" s="145"/>
      <c r="E52" s="252">
        <v>6177</v>
      </c>
      <c r="F52" s="145">
        <v>280</v>
      </c>
      <c r="G52" s="145">
        <v>36344205</v>
      </c>
      <c r="H52" s="145">
        <v>6457</v>
      </c>
      <c r="I52" s="253"/>
      <c r="J52" s="208">
        <v>3287</v>
      </c>
      <c r="K52" s="208">
        <v>2962</v>
      </c>
      <c r="L52" s="208">
        <v>208</v>
      </c>
    </row>
    <row r="53" spans="1:12" ht="13.15" customHeight="1">
      <c r="A53" s="171" t="s">
        <v>433</v>
      </c>
      <c r="B53" s="145">
        <v>20359</v>
      </c>
      <c r="C53" s="145">
        <v>18467311.969999999</v>
      </c>
      <c r="D53" s="145"/>
      <c r="E53" s="252">
        <v>7800</v>
      </c>
      <c r="F53" s="145">
        <v>955</v>
      </c>
      <c r="G53" s="145">
        <v>56227626.600000001</v>
      </c>
      <c r="H53" s="145">
        <v>8755</v>
      </c>
      <c r="I53" s="253"/>
      <c r="J53" s="208">
        <v>4655</v>
      </c>
      <c r="K53" s="208">
        <v>3835</v>
      </c>
      <c r="L53" s="208">
        <v>265</v>
      </c>
    </row>
    <row r="54" spans="1:12" ht="13.15" customHeight="1">
      <c r="A54" s="171" t="s">
        <v>436</v>
      </c>
      <c r="B54" s="145">
        <v>11416</v>
      </c>
      <c r="C54" s="145">
        <v>10434997.73</v>
      </c>
      <c r="D54" s="145"/>
      <c r="E54" s="252">
        <v>4633</v>
      </c>
      <c r="F54" s="145">
        <v>505</v>
      </c>
      <c r="G54" s="145">
        <v>33480993.800000001</v>
      </c>
      <c r="H54" s="145">
        <v>5138</v>
      </c>
      <c r="I54" s="253"/>
      <c r="J54" s="208">
        <v>3441</v>
      </c>
      <c r="K54" s="208">
        <v>1449</v>
      </c>
      <c r="L54" s="208">
        <v>248</v>
      </c>
    </row>
    <row r="55" spans="1:12" ht="21" customHeight="1">
      <c r="A55" s="171" t="s">
        <v>312</v>
      </c>
      <c r="B55" s="145">
        <v>33215</v>
      </c>
      <c r="C55" s="145">
        <v>30203513.969999999</v>
      </c>
      <c r="D55" s="145"/>
      <c r="E55" s="252">
        <v>13819</v>
      </c>
      <c r="F55" s="145">
        <v>805</v>
      </c>
      <c r="G55" s="145">
        <v>78372711.299999997</v>
      </c>
      <c r="H55" s="145">
        <v>14624</v>
      </c>
      <c r="I55" s="253"/>
      <c r="J55" s="208">
        <v>8843</v>
      </c>
      <c r="K55" s="208">
        <v>5255</v>
      </c>
      <c r="L55" s="208">
        <v>526</v>
      </c>
    </row>
    <row r="56" spans="1:12" ht="13.15" customHeight="1">
      <c r="A56" s="171" t="s">
        <v>316</v>
      </c>
      <c r="B56" s="145">
        <v>119815</v>
      </c>
      <c r="C56" s="145">
        <v>108891389.62</v>
      </c>
      <c r="D56" s="145"/>
      <c r="E56" s="252">
        <v>42240</v>
      </c>
      <c r="F56" s="145">
        <v>8881</v>
      </c>
      <c r="G56" s="208">
        <v>415867098</v>
      </c>
      <c r="H56" s="145">
        <v>51121</v>
      </c>
      <c r="I56" s="253"/>
      <c r="J56" s="208">
        <v>26527</v>
      </c>
      <c r="K56" s="208">
        <v>23305</v>
      </c>
      <c r="L56" s="208">
        <v>1289</v>
      </c>
    </row>
    <row r="57" spans="1:12" ht="13.15" customHeight="1">
      <c r="A57" s="171" t="s">
        <v>320</v>
      </c>
      <c r="B57" s="145">
        <v>337716</v>
      </c>
      <c r="C57" s="145">
        <v>306383797.81999999</v>
      </c>
      <c r="D57" s="145"/>
      <c r="E57" s="252">
        <v>129816</v>
      </c>
      <c r="F57" s="145">
        <v>25156</v>
      </c>
      <c r="G57" s="145">
        <v>1228322587.5</v>
      </c>
      <c r="H57" s="145">
        <v>154972</v>
      </c>
      <c r="I57" s="253"/>
      <c r="J57" s="208">
        <v>96458</v>
      </c>
      <c r="K57" s="208">
        <v>53792</v>
      </c>
      <c r="L57" s="208">
        <v>4722</v>
      </c>
    </row>
    <row r="58" spans="1:12" ht="13.15" customHeight="1">
      <c r="A58" s="171" t="s">
        <v>324</v>
      </c>
      <c r="B58" s="145">
        <v>50114</v>
      </c>
      <c r="C58" s="145">
        <v>45604786.130000003</v>
      </c>
      <c r="D58" s="145"/>
      <c r="E58" s="252">
        <v>21226</v>
      </c>
      <c r="F58" s="145">
        <v>1024</v>
      </c>
      <c r="G58" s="145">
        <v>118777458.2</v>
      </c>
      <c r="H58" s="145">
        <v>22250</v>
      </c>
      <c r="I58" s="253"/>
      <c r="J58" s="208">
        <v>13277</v>
      </c>
      <c r="K58" s="208">
        <v>8249</v>
      </c>
      <c r="L58" s="208">
        <v>724</v>
      </c>
    </row>
    <row r="59" spans="1:12" ht="13.15" customHeight="1">
      <c r="A59" s="171" t="s">
        <v>328</v>
      </c>
      <c r="B59" s="145">
        <v>2533</v>
      </c>
      <c r="C59" s="145">
        <v>2271650.14</v>
      </c>
      <c r="D59" s="145"/>
      <c r="E59" s="252">
        <v>956</v>
      </c>
      <c r="F59" s="145">
        <v>75</v>
      </c>
      <c r="G59" s="145">
        <v>7374115.5999999996</v>
      </c>
      <c r="H59" s="145">
        <v>1031</v>
      </c>
      <c r="I59" s="253"/>
      <c r="J59" s="208">
        <v>463</v>
      </c>
      <c r="K59" s="208">
        <v>547</v>
      </c>
      <c r="L59" s="262">
        <v>21</v>
      </c>
    </row>
    <row r="60" spans="1:12" ht="21" customHeight="1">
      <c r="A60" s="171" t="s">
        <v>332</v>
      </c>
      <c r="B60" s="145">
        <v>39533</v>
      </c>
      <c r="C60" s="145">
        <v>35825748.799999997</v>
      </c>
      <c r="D60" s="145"/>
      <c r="E60" s="252">
        <v>14013</v>
      </c>
      <c r="F60" s="145">
        <v>3016</v>
      </c>
      <c r="G60" s="145">
        <v>136911004.80000001</v>
      </c>
      <c r="H60" s="145">
        <v>17029</v>
      </c>
      <c r="I60" s="253"/>
      <c r="J60" s="208">
        <v>8863</v>
      </c>
      <c r="K60" s="208">
        <v>7555</v>
      </c>
      <c r="L60" s="208">
        <v>611</v>
      </c>
    </row>
    <row r="61" spans="1:12" ht="13.15" customHeight="1">
      <c r="A61" s="171" t="s">
        <v>336</v>
      </c>
      <c r="B61" s="145">
        <v>88619</v>
      </c>
      <c r="C61" s="145">
        <v>79152798.200000003</v>
      </c>
      <c r="D61" s="145"/>
      <c r="E61" s="252">
        <v>28376</v>
      </c>
      <c r="F61" s="145">
        <v>7818</v>
      </c>
      <c r="G61" s="145">
        <v>363829811.30000001</v>
      </c>
      <c r="H61" s="145">
        <v>36194</v>
      </c>
      <c r="I61" s="253"/>
      <c r="J61" s="208">
        <v>18147</v>
      </c>
      <c r="K61" s="208">
        <v>16920</v>
      </c>
      <c r="L61" s="208">
        <v>1127</v>
      </c>
    </row>
    <row r="62" spans="1:12" ht="13.15" customHeight="1">
      <c r="A62" s="171" t="s">
        <v>340</v>
      </c>
      <c r="B62" s="145">
        <v>7078</v>
      </c>
      <c r="C62" s="145">
        <v>6430696</v>
      </c>
      <c r="D62" s="145"/>
      <c r="E62" s="252">
        <v>2925</v>
      </c>
      <c r="F62" s="145">
        <v>270</v>
      </c>
      <c r="G62" s="145">
        <v>19377297.300000001</v>
      </c>
      <c r="H62" s="145">
        <v>3195</v>
      </c>
      <c r="I62" s="253"/>
      <c r="J62" s="208">
        <v>1852</v>
      </c>
      <c r="K62" s="208">
        <v>1236</v>
      </c>
      <c r="L62" s="208">
        <v>107</v>
      </c>
    </row>
    <row r="63" spans="1:12" ht="13.15" customHeight="1">
      <c r="A63" s="171" t="s">
        <v>344</v>
      </c>
      <c r="B63" s="145">
        <v>27443</v>
      </c>
      <c r="C63" s="145">
        <v>24882736.260000002</v>
      </c>
      <c r="D63" s="145"/>
      <c r="E63" s="252">
        <v>9430</v>
      </c>
      <c r="F63" s="145">
        <v>2304</v>
      </c>
      <c r="G63" s="145">
        <v>93572642.200000003</v>
      </c>
      <c r="H63" s="145">
        <v>11734</v>
      </c>
      <c r="I63" s="253"/>
      <c r="J63" s="208">
        <v>6161</v>
      </c>
      <c r="K63" s="208">
        <v>5054</v>
      </c>
      <c r="L63" s="208">
        <v>519</v>
      </c>
    </row>
    <row r="64" spans="1:12" ht="13.15" customHeight="1">
      <c r="A64" s="171" t="s">
        <v>348</v>
      </c>
      <c r="B64" s="145">
        <v>18343</v>
      </c>
      <c r="C64" s="145">
        <v>16746060.85</v>
      </c>
      <c r="D64" s="145"/>
      <c r="E64" s="252">
        <v>7202</v>
      </c>
      <c r="F64" s="145">
        <v>846</v>
      </c>
      <c r="G64" s="145">
        <v>60000620.299999997</v>
      </c>
      <c r="H64" s="145">
        <v>8048</v>
      </c>
      <c r="I64" s="253"/>
      <c r="J64" s="208">
        <v>4297</v>
      </c>
      <c r="K64" s="208">
        <v>3471</v>
      </c>
      <c r="L64" s="208">
        <v>280</v>
      </c>
    </row>
    <row r="65" spans="1:12" ht="21" customHeight="1">
      <c r="A65" s="171" t="s">
        <v>352</v>
      </c>
      <c r="B65" s="145">
        <v>12806</v>
      </c>
      <c r="C65" s="145">
        <v>11443890.640000001</v>
      </c>
      <c r="D65" s="145"/>
      <c r="E65" s="252">
        <v>4319</v>
      </c>
      <c r="F65" s="145">
        <v>1027</v>
      </c>
      <c r="G65" s="145">
        <v>58534625.799999997</v>
      </c>
      <c r="H65" s="145">
        <v>5346</v>
      </c>
      <c r="I65" s="253"/>
      <c r="J65" s="208">
        <v>3054</v>
      </c>
      <c r="K65" s="208">
        <v>2142</v>
      </c>
      <c r="L65" s="208">
        <v>150</v>
      </c>
    </row>
    <row r="66" spans="1:12" ht="13.15" customHeight="1">
      <c r="A66" s="171" t="s">
        <v>356</v>
      </c>
      <c r="B66" s="145">
        <v>18126</v>
      </c>
      <c r="C66" s="145">
        <v>16509553.92</v>
      </c>
      <c r="D66" s="145"/>
      <c r="E66" s="252">
        <v>7458</v>
      </c>
      <c r="F66" s="145">
        <v>203</v>
      </c>
      <c r="G66" s="145">
        <v>40832924.100000001</v>
      </c>
      <c r="H66" s="145">
        <v>7661</v>
      </c>
      <c r="I66" s="253"/>
      <c r="J66" s="208">
        <v>3997</v>
      </c>
      <c r="K66" s="208">
        <v>3434</v>
      </c>
      <c r="L66" s="208">
        <v>230</v>
      </c>
    </row>
    <row r="67" spans="1:12" ht="13.15" customHeight="1">
      <c r="A67" s="171" t="s">
        <v>360</v>
      </c>
      <c r="B67" s="145">
        <v>446566</v>
      </c>
      <c r="C67" s="145">
        <v>406779769.85000002</v>
      </c>
      <c r="D67" s="145"/>
      <c r="E67" s="252">
        <v>118497</v>
      </c>
      <c r="F67" s="145">
        <v>64848</v>
      </c>
      <c r="G67" s="145">
        <v>2470104691.1399999</v>
      </c>
      <c r="H67" s="145">
        <v>183345</v>
      </c>
      <c r="I67" s="253"/>
      <c r="J67" s="208">
        <v>89179</v>
      </c>
      <c r="K67" s="208">
        <v>88316</v>
      </c>
      <c r="L67" s="208">
        <v>5850</v>
      </c>
    </row>
    <row r="68" spans="1:12" ht="13.15" customHeight="1">
      <c r="A68" s="171" t="s">
        <v>364</v>
      </c>
      <c r="B68" s="145">
        <v>36800</v>
      </c>
      <c r="C68" s="145">
        <v>33387058.190000001</v>
      </c>
      <c r="D68" s="145"/>
      <c r="E68" s="252">
        <v>14152</v>
      </c>
      <c r="F68" s="145">
        <v>1929</v>
      </c>
      <c r="G68" s="145">
        <v>123720038.5</v>
      </c>
      <c r="H68" s="145">
        <v>16081</v>
      </c>
      <c r="I68" s="253"/>
      <c r="J68" s="208">
        <v>8644</v>
      </c>
      <c r="K68" s="208">
        <v>6933</v>
      </c>
      <c r="L68" s="208">
        <v>504</v>
      </c>
    </row>
    <row r="69" spans="1:12" ht="13.15" customHeight="1">
      <c r="A69" s="171" t="s">
        <v>368</v>
      </c>
      <c r="B69" s="145">
        <v>10267</v>
      </c>
      <c r="C69" s="145">
        <v>9302261.5600000005</v>
      </c>
      <c r="D69" s="145"/>
      <c r="E69" s="252">
        <v>4184</v>
      </c>
      <c r="F69" s="145">
        <v>260</v>
      </c>
      <c r="G69" s="145">
        <v>25501031</v>
      </c>
      <c r="H69" s="145">
        <v>4444</v>
      </c>
      <c r="I69" s="253"/>
      <c r="J69" s="208">
        <v>2648</v>
      </c>
      <c r="K69" s="208">
        <v>1663</v>
      </c>
      <c r="L69" s="208">
        <v>133</v>
      </c>
    </row>
    <row r="70" spans="1:12" ht="21" customHeight="1">
      <c r="A70" s="171" t="s">
        <v>372</v>
      </c>
      <c r="B70" s="145">
        <v>13562</v>
      </c>
      <c r="C70" s="145">
        <v>12282923.439999999</v>
      </c>
      <c r="D70" s="145"/>
      <c r="E70" s="252">
        <v>5137</v>
      </c>
      <c r="F70" s="145">
        <v>633</v>
      </c>
      <c r="G70" s="145">
        <v>40187564</v>
      </c>
      <c r="H70" s="145">
        <v>5770</v>
      </c>
      <c r="I70" s="253"/>
      <c r="J70" s="208">
        <v>2989</v>
      </c>
      <c r="K70" s="208">
        <v>2644</v>
      </c>
      <c r="L70" s="208">
        <v>137</v>
      </c>
    </row>
    <row r="71" spans="1:12" ht="13.15" customHeight="1">
      <c r="A71" s="171" t="s">
        <v>374</v>
      </c>
      <c r="B71" s="145">
        <v>9708</v>
      </c>
      <c r="C71" s="145">
        <v>8724192.9499999993</v>
      </c>
      <c r="D71" s="145"/>
      <c r="E71" s="252">
        <v>3571</v>
      </c>
      <c r="F71" s="145">
        <v>500</v>
      </c>
      <c r="G71" s="145">
        <v>31657053.600000001</v>
      </c>
      <c r="H71" s="145">
        <v>4071</v>
      </c>
      <c r="I71" s="253"/>
      <c r="J71" s="208">
        <v>2058</v>
      </c>
      <c r="K71" s="208">
        <v>1898</v>
      </c>
      <c r="L71" s="208">
        <v>115</v>
      </c>
    </row>
    <row r="72" spans="1:12" ht="13.15" customHeight="1">
      <c r="A72" s="171" t="s">
        <v>377</v>
      </c>
      <c r="B72" s="145">
        <v>31557</v>
      </c>
      <c r="C72" s="145">
        <v>28585126.66</v>
      </c>
      <c r="D72" s="145"/>
      <c r="E72" s="252">
        <v>12656</v>
      </c>
      <c r="F72" s="145">
        <v>1090</v>
      </c>
      <c r="G72" s="145">
        <v>81252600.5</v>
      </c>
      <c r="H72" s="145">
        <v>13746</v>
      </c>
      <c r="I72" s="253"/>
      <c r="J72" s="208">
        <v>8254</v>
      </c>
      <c r="K72" s="208">
        <v>5021</v>
      </c>
      <c r="L72" s="208">
        <v>471</v>
      </c>
    </row>
    <row r="73" spans="1:12" ht="13.15" customHeight="1">
      <c r="A73" s="171" t="s">
        <v>380</v>
      </c>
      <c r="B73" s="145">
        <v>11457</v>
      </c>
      <c r="C73" s="145">
        <v>10308751.02</v>
      </c>
      <c r="D73" s="145"/>
      <c r="E73" s="252">
        <v>4319</v>
      </c>
      <c r="F73" s="145">
        <v>602</v>
      </c>
      <c r="G73" s="208">
        <v>38088369.299999997</v>
      </c>
      <c r="H73" s="145">
        <v>4921</v>
      </c>
      <c r="I73" s="253"/>
      <c r="J73" s="208">
        <v>2713</v>
      </c>
      <c r="K73" s="208">
        <v>2085</v>
      </c>
      <c r="L73" s="208">
        <v>123</v>
      </c>
    </row>
    <row r="74" spans="1:12" ht="13.15" customHeight="1">
      <c r="A74" s="171" t="s">
        <v>383</v>
      </c>
      <c r="B74" s="145">
        <v>79172</v>
      </c>
      <c r="C74" s="145">
        <v>71489016.370000005</v>
      </c>
      <c r="D74" s="145"/>
      <c r="E74" s="252">
        <v>33522</v>
      </c>
      <c r="F74" s="145">
        <v>4395</v>
      </c>
      <c r="G74" s="145">
        <v>239978301.22</v>
      </c>
      <c r="H74" s="145">
        <v>37917</v>
      </c>
      <c r="I74" s="253"/>
      <c r="J74" s="208">
        <v>22432</v>
      </c>
      <c r="K74" s="208">
        <v>14242</v>
      </c>
      <c r="L74" s="208">
        <v>1243</v>
      </c>
    </row>
    <row r="75" spans="1:12" ht="21" customHeight="1">
      <c r="A75" s="171" t="s">
        <v>385</v>
      </c>
      <c r="B75" s="145">
        <v>16614</v>
      </c>
      <c r="C75" s="150">
        <v>14974507.890000001</v>
      </c>
      <c r="D75" s="150"/>
      <c r="E75" s="252">
        <v>6419</v>
      </c>
      <c r="F75" s="145">
        <v>776</v>
      </c>
      <c r="G75" s="150">
        <v>49300472.700000003</v>
      </c>
      <c r="H75" s="145">
        <v>7195</v>
      </c>
      <c r="I75" s="253"/>
      <c r="J75" s="208">
        <v>3919</v>
      </c>
      <c r="K75" s="208">
        <v>3083</v>
      </c>
      <c r="L75" s="208">
        <v>193</v>
      </c>
    </row>
    <row r="76" spans="1:12" ht="13.15" customHeight="1">
      <c r="A76" s="171" t="s">
        <v>388</v>
      </c>
      <c r="B76" s="145">
        <v>24413</v>
      </c>
      <c r="C76" s="145">
        <v>22114297.93</v>
      </c>
      <c r="D76" s="145"/>
      <c r="E76" s="252">
        <v>8510</v>
      </c>
      <c r="F76" s="145">
        <v>1791</v>
      </c>
      <c r="G76" s="145">
        <v>88885308.599999994</v>
      </c>
      <c r="H76" s="145">
        <v>10301</v>
      </c>
      <c r="I76" s="253"/>
      <c r="J76" s="208">
        <v>4861</v>
      </c>
      <c r="K76" s="208">
        <v>5104</v>
      </c>
      <c r="L76" s="208">
        <v>336</v>
      </c>
    </row>
    <row r="77" spans="1:12" ht="13.15" customHeight="1">
      <c r="A77" s="171" t="s">
        <v>390</v>
      </c>
      <c r="B77" s="145">
        <v>12655</v>
      </c>
      <c r="C77" s="145">
        <v>11348404.85</v>
      </c>
      <c r="D77" s="145"/>
      <c r="E77" s="252">
        <v>5045</v>
      </c>
      <c r="F77" s="145">
        <v>600</v>
      </c>
      <c r="G77" s="145">
        <v>42837500.299999997</v>
      </c>
      <c r="H77" s="145">
        <v>5645</v>
      </c>
      <c r="I77" s="253"/>
      <c r="J77" s="208">
        <v>3570</v>
      </c>
      <c r="K77" s="208">
        <v>1925</v>
      </c>
      <c r="L77" s="208">
        <v>150</v>
      </c>
    </row>
    <row r="78" spans="1:12" ht="13.15" customHeight="1">
      <c r="A78" s="171" t="s">
        <v>393</v>
      </c>
      <c r="B78" s="145">
        <v>14214</v>
      </c>
      <c r="C78" s="145">
        <v>12678694.76</v>
      </c>
      <c r="D78" s="145"/>
      <c r="E78" s="252">
        <v>4839</v>
      </c>
      <c r="F78" s="145">
        <v>880</v>
      </c>
      <c r="G78" s="145">
        <v>46321041.899999999</v>
      </c>
      <c r="H78" s="145">
        <v>5719</v>
      </c>
      <c r="I78" s="253"/>
      <c r="J78" s="208">
        <v>3019</v>
      </c>
      <c r="K78" s="208">
        <v>2513</v>
      </c>
      <c r="L78" s="208">
        <v>187</v>
      </c>
    </row>
    <row r="79" spans="1:12" ht="13.15" customHeight="1">
      <c r="A79" s="171" t="s">
        <v>396</v>
      </c>
      <c r="B79" s="145">
        <v>13050</v>
      </c>
      <c r="C79" s="145">
        <v>11881729</v>
      </c>
      <c r="D79" s="145"/>
      <c r="E79" s="252">
        <v>5338</v>
      </c>
      <c r="F79" s="145">
        <v>381</v>
      </c>
      <c r="G79" s="145">
        <v>34970677.700000003</v>
      </c>
      <c r="H79" s="145">
        <v>5719</v>
      </c>
      <c r="I79" s="253"/>
      <c r="J79" s="208">
        <v>3578</v>
      </c>
      <c r="K79" s="208">
        <v>1982</v>
      </c>
      <c r="L79" s="208">
        <v>159</v>
      </c>
    </row>
    <row r="80" spans="1:12" ht="21" customHeight="1">
      <c r="A80" s="171" t="s">
        <v>399</v>
      </c>
      <c r="B80" s="145">
        <v>39121</v>
      </c>
      <c r="C80" s="145">
        <v>35389574.530000001</v>
      </c>
      <c r="D80" s="145"/>
      <c r="E80" s="252">
        <v>14568</v>
      </c>
      <c r="F80" s="145">
        <v>2312</v>
      </c>
      <c r="G80" s="145">
        <v>130874234.59999999</v>
      </c>
      <c r="H80" s="145">
        <v>16880</v>
      </c>
      <c r="I80" s="253"/>
      <c r="J80" s="208">
        <v>9208</v>
      </c>
      <c r="K80" s="208">
        <v>7159</v>
      </c>
      <c r="L80" s="208">
        <v>513</v>
      </c>
    </row>
    <row r="81" spans="1:12" ht="13.15" customHeight="1">
      <c r="A81" s="171" t="s">
        <v>402</v>
      </c>
      <c r="B81" s="145">
        <v>24054</v>
      </c>
      <c r="C81" s="145">
        <v>21860436.66</v>
      </c>
      <c r="D81" s="145"/>
      <c r="E81" s="252">
        <v>10047</v>
      </c>
      <c r="F81" s="145">
        <v>654</v>
      </c>
      <c r="G81" s="145">
        <v>60042890.600000001</v>
      </c>
      <c r="H81" s="145">
        <v>10701</v>
      </c>
      <c r="I81" s="253"/>
      <c r="J81" s="208">
        <v>6063</v>
      </c>
      <c r="K81" s="208">
        <v>4413</v>
      </c>
      <c r="L81" s="208">
        <v>225</v>
      </c>
    </row>
    <row r="82" spans="1:12" ht="13.15" customHeight="1">
      <c r="A82" s="171" t="s">
        <v>405</v>
      </c>
      <c r="B82" s="145">
        <v>16124</v>
      </c>
      <c r="C82" s="145">
        <v>14629187.15</v>
      </c>
      <c r="D82" s="145"/>
      <c r="E82" s="252">
        <v>6673</v>
      </c>
      <c r="F82" s="145">
        <v>299</v>
      </c>
      <c r="G82" s="145">
        <v>37296315.299999997</v>
      </c>
      <c r="H82" s="145">
        <v>6972</v>
      </c>
      <c r="I82" s="253"/>
      <c r="J82" s="208">
        <v>3654</v>
      </c>
      <c r="K82" s="208">
        <v>3138</v>
      </c>
      <c r="L82" s="208">
        <v>180</v>
      </c>
    </row>
    <row r="83" spans="1:12" ht="13.15" customHeight="1">
      <c r="A83" s="171" t="s">
        <v>408</v>
      </c>
      <c r="B83" s="145">
        <v>60443</v>
      </c>
      <c r="C83" s="145">
        <v>54953643.810000002</v>
      </c>
      <c r="D83" s="145"/>
      <c r="E83" s="252">
        <v>24648</v>
      </c>
      <c r="F83" s="145">
        <v>1670</v>
      </c>
      <c r="G83" s="145">
        <v>156162606</v>
      </c>
      <c r="H83" s="145">
        <v>26318</v>
      </c>
      <c r="I83" s="253"/>
      <c r="J83" s="208">
        <v>14646</v>
      </c>
      <c r="K83" s="208">
        <v>10836</v>
      </c>
      <c r="L83" s="208">
        <v>836</v>
      </c>
    </row>
    <row r="84" spans="1:12" ht="13.15" customHeight="1">
      <c r="A84" s="171" t="s">
        <v>411</v>
      </c>
      <c r="B84" s="145">
        <v>32384</v>
      </c>
      <c r="C84" s="145">
        <v>29375841.809999999</v>
      </c>
      <c r="D84" s="145"/>
      <c r="E84" s="252">
        <v>10898</v>
      </c>
      <c r="F84" s="145">
        <v>2448</v>
      </c>
      <c r="G84" s="145">
        <v>112900652.40000001</v>
      </c>
      <c r="H84" s="145">
        <v>13346</v>
      </c>
      <c r="I84" s="253"/>
      <c r="J84" s="208">
        <v>6198</v>
      </c>
      <c r="K84" s="208">
        <v>6788</v>
      </c>
      <c r="L84" s="208">
        <v>360</v>
      </c>
    </row>
    <row r="85" spans="1:12" ht="18">
      <c r="A85" s="172" t="s">
        <v>597</v>
      </c>
      <c r="B85" s="145"/>
      <c r="C85" s="145"/>
      <c r="D85" s="145"/>
      <c r="E85" s="145"/>
      <c r="F85" s="145"/>
      <c r="G85" s="145"/>
      <c r="H85" s="145"/>
      <c r="I85" s="145"/>
      <c r="J85" s="208"/>
      <c r="K85" s="208"/>
      <c r="L85" s="208"/>
    </row>
    <row r="86" spans="1:12">
      <c r="A86" s="175" t="str">
        <f>A44</f>
        <v>Exemptions, Standard and Itemized Deductions, and Number of Returns by Filing Status/Locality</v>
      </c>
      <c r="B86" s="145"/>
      <c r="C86" s="145"/>
      <c r="D86" s="145"/>
      <c r="E86" s="145"/>
      <c r="F86" s="145"/>
      <c r="G86" s="145"/>
      <c r="H86" s="145"/>
      <c r="I86" s="145"/>
      <c r="J86" s="208"/>
      <c r="K86" s="208"/>
      <c r="L86" s="208"/>
    </row>
    <row r="87" spans="1:12">
      <c r="A87" s="176" t="str">
        <f>A45</f>
        <v>Taxable Year 2019</v>
      </c>
      <c r="B87" s="145"/>
      <c r="C87" s="145"/>
      <c r="D87" s="145"/>
      <c r="E87" s="145"/>
      <c r="F87" s="145"/>
      <c r="G87" s="145"/>
      <c r="H87" s="145"/>
      <c r="I87" s="145"/>
      <c r="J87" s="255"/>
      <c r="K87" s="255"/>
      <c r="L87" s="255"/>
    </row>
    <row r="88" spans="1:12" ht="13.15" customHeight="1" thickBot="1">
      <c r="A88" s="184"/>
      <c r="B88" s="254">
        <f t="shared" ref="B88:L88" si="1">SUM(B38:B74)</f>
        <v>4379860</v>
      </c>
      <c r="C88" s="254">
        <f t="shared" si="1"/>
        <v>3968235183.9499989</v>
      </c>
      <c r="D88" s="254">
        <f t="shared" si="1"/>
        <v>0</v>
      </c>
      <c r="E88" s="254">
        <f t="shared" si="1"/>
        <v>1526023</v>
      </c>
      <c r="F88" s="254">
        <f t="shared" si="1"/>
        <v>410581</v>
      </c>
      <c r="G88" s="254">
        <f t="shared" si="1"/>
        <v>19203095397.939999</v>
      </c>
      <c r="H88" s="254">
        <f t="shared" si="1"/>
        <v>1936604</v>
      </c>
      <c r="I88" s="254">
        <f t="shared" si="1"/>
        <v>0</v>
      </c>
      <c r="J88" s="255">
        <f t="shared" si="1"/>
        <v>1076760</v>
      </c>
      <c r="K88" s="255">
        <f t="shared" si="1"/>
        <v>796615</v>
      </c>
      <c r="L88" s="255">
        <f t="shared" si="1"/>
        <v>63229</v>
      </c>
    </row>
    <row r="89" spans="1:12">
      <c r="A89" s="236"/>
      <c r="B89" s="1608" t="s">
        <v>306</v>
      </c>
      <c r="C89" s="1608"/>
      <c r="D89" s="799"/>
      <c r="E89" s="1609" t="s">
        <v>307</v>
      </c>
      <c r="F89" s="1610"/>
      <c r="G89" s="1610"/>
      <c r="H89" s="1610"/>
      <c r="I89" s="238"/>
      <c r="J89" s="239"/>
      <c r="K89" s="240" t="s">
        <v>594</v>
      </c>
      <c r="L89" s="241"/>
    </row>
    <row r="90" spans="1:12" ht="13.15" customHeight="1">
      <c r="A90" s="256"/>
      <c r="B90" s="257"/>
      <c r="C90" s="257"/>
      <c r="D90" s="257"/>
      <c r="E90" s="258"/>
      <c r="F90" s="257"/>
      <c r="G90" s="257"/>
      <c r="H90" s="259" t="s">
        <v>13</v>
      </c>
      <c r="I90" s="260"/>
      <c r="J90" s="261"/>
      <c r="K90" s="249" t="s">
        <v>749</v>
      </c>
      <c r="L90" s="249" t="s">
        <v>749</v>
      </c>
    </row>
    <row r="91" spans="1:12" ht="13.15" customHeight="1">
      <c r="A91" s="453" t="s">
        <v>18</v>
      </c>
      <c r="B91" s="801" t="s">
        <v>595</v>
      </c>
      <c r="C91" s="801" t="s">
        <v>16</v>
      </c>
      <c r="D91" s="801"/>
      <c r="E91" s="250" t="s">
        <v>305</v>
      </c>
      <c r="F91" s="801" t="s">
        <v>304</v>
      </c>
      <c r="G91" s="801" t="s">
        <v>16</v>
      </c>
      <c r="H91" s="801" t="s">
        <v>302</v>
      </c>
      <c r="I91" s="251"/>
      <c r="J91" s="802" t="s">
        <v>596</v>
      </c>
      <c r="K91" s="802" t="s">
        <v>301</v>
      </c>
      <c r="L91" s="803" t="s">
        <v>748</v>
      </c>
    </row>
    <row r="92" spans="1:12" ht="21" customHeight="1">
      <c r="A92" s="171" t="s">
        <v>414</v>
      </c>
      <c r="B92" s="145">
        <v>17040</v>
      </c>
      <c r="C92" s="145">
        <v>15431108.710000001</v>
      </c>
      <c r="D92" s="145"/>
      <c r="E92" s="252">
        <v>7104</v>
      </c>
      <c r="F92" s="145">
        <v>608</v>
      </c>
      <c r="G92" s="145">
        <v>44837635.600000001</v>
      </c>
      <c r="H92" s="145">
        <v>7712</v>
      </c>
      <c r="I92" s="253"/>
      <c r="J92" s="208">
        <v>4841</v>
      </c>
      <c r="K92" s="208">
        <v>2617</v>
      </c>
      <c r="L92" s="208">
        <v>254</v>
      </c>
    </row>
    <row r="93" spans="1:12" ht="13.15" customHeight="1">
      <c r="A93" s="171" t="s">
        <v>416</v>
      </c>
      <c r="B93" s="145">
        <v>32484</v>
      </c>
      <c r="C93" s="145">
        <v>29455397</v>
      </c>
      <c r="D93" s="145"/>
      <c r="E93" s="252">
        <v>12317</v>
      </c>
      <c r="F93" s="145">
        <v>1909</v>
      </c>
      <c r="G93" s="145">
        <v>109916815.09999999</v>
      </c>
      <c r="H93" s="145">
        <v>14226</v>
      </c>
      <c r="I93" s="253"/>
      <c r="J93" s="208">
        <v>7938</v>
      </c>
      <c r="K93" s="208">
        <v>5681</v>
      </c>
      <c r="L93" s="208">
        <v>607</v>
      </c>
    </row>
    <row r="94" spans="1:12" ht="13.15" customHeight="1">
      <c r="A94" s="171" t="s">
        <v>419</v>
      </c>
      <c r="B94" s="145">
        <v>481835</v>
      </c>
      <c r="C94" s="145">
        <v>439444268.25</v>
      </c>
      <c r="D94" s="145"/>
      <c r="E94" s="252">
        <v>154180</v>
      </c>
      <c r="F94" s="145">
        <v>56458</v>
      </c>
      <c r="G94" s="145">
        <v>2096839348.5999999</v>
      </c>
      <c r="H94" s="145">
        <v>210638</v>
      </c>
      <c r="I94" s="253"/>
      <c r="J94" s="208">
        <v>120713</v>
      </c>
      <c r="K94" s="208">
        <v>82350</v>
      </c>
      <c r="L94" s="208">
        <v>7575</v>
      </c>
    </row>
    <row r="95" spans="1:12" ht="13.15" customHeight="1">
      <c r="A95" s="171" t="s">
        <v>421</v>
      </c>
      <c r="B95" s="145">
        <v>31092</v>
      </c>
      <c r="C95" s="145">
        <v>28197333.620000001</v>
      </c>
      <c r="D95" s="145"/>
      <c r="E95" s="252">
        <v>13287</v>
      </c>
      <c r="F95" s="145">
        <v>749</v>
      </c>
      <c r="G95" s="145">
        <v>73403463.299999997</v>
      </c>
      <c r="H95" s="145">
        <v>14036</v>
      </c>
      <c r="I95" s="253"/>
      <c r="J95" s="208">
        <v>7878</v>
      </c>
      <c r="K95" s="208">
        <v>5842</v>
      </c>
      <c r="L95" s="208">
        <v>316</v>
      </c>
    </row>
    <row r="96" spans="1:12" ht="13.15" customHeight="1">
      <c r="A96" s="171" t="s">
        <v>424</v>
      </c>
      <c r="B96" s="145">
        <v>8202</v>
      </c>
      <c r="C96" s="145">
        <v>7396485.0199999996</v>
      </c>
      <c r="D96" s="145"/>
      <c r="E96" s="252">
        <v>2838</v>
      </c>
      <c r="F96" s="145">
        <v>706</v>
      </c>
      <c r="G96" s="145">
        <v>58614472.5</v>
      </c>
      <c r="H96" s="145">
        <v>3544</v>
      </c>
      <c r="I96" s="253"/>
      <c r="J96" s="208">
        <v>1856</v>
      </c>
      <c r="K96" s="208">
        <v>1573</v>
      </c>
      <c r="L96" s="208">
        <v>115</v>
      </c>
    </row>
    <row r="97" spans="1:12" ht="21" customHeight="1">
      <c r="A97" s="171" t="s">
        <v>354</v>
      </c>
      <c r="B97" s="208">
        <v>14308</v>
      </c>
      <c r="C97" s="208">
        <v>13027068.279999999</v>
      </c>
      <c r="D97" s="208"/>
      <c r="E97" s="263">
        <v>5039</v>
      </c>
      <c r="F97" s="208">
        <v>1191</v>
      </c>
      <c r="G97" s="208">
        <v>106752586.31</v>
      </c>
      <c r="H97" s="208">
        <v>6230</v>
      </c>
      <c r="I97" s="264"/>
      <c r="J97" s="208">
        <v>3340</v>
      </c>
      <c r="K97" s="208">
        <v>2517</v>
      </c>
      <c r="L97" s="208">
        <v>373</v>
      </c>
    </row>
    <row r="98" spans="1:12" ht="13.15" customHeight="1">
      <c r="A98" s="171" t="s">
        <v>358</v>
      </c>
      <c r="B98" s="145">
        <v>106482</v>
      </c>
      <c r="C98" s="145">
        <v>96222579.209999993</v>
      </c>
      <c r="D98" s="145"/>
      <c r="E98" s="252">
        <v>40645</v>
      </c>
      <c r="F98" s="145">
        <v>5242</v>
      </c>
      <c r="G98" s="145">
        <v>316058154.80000001</v>
      </c>
      <c r="H98" s="145">
        <v>45887</v>
      </c>
      <c r="I98" s="253"/>
      <c r="J98" s="208">
        <v>24604</v>
      </c>
      <c r="K98" s="208">
        <v>20099</v>
      </c>
      <c r="L98" s="208">
        <v>1184</v>
      </c>
    </row>
    <row r="99" spans="1:12" ht="13.15" customHeight="1">
      <c r="A99" s="171" t="s">
        <v>431</v>
      </c>
      <c r="B99" s="145">
        <v>22328</v>
      </c>
      <c r="C99" s="145">
        <v>20133068.120000001</v>
      </c>
      <c r="D99" s="145"/>
      <c r="E99" s="252">
        <v>8799</v>
      </c>
      <c r="F99" s="145">
        <v>861</v>
      </c>
      <c r="G99" s="145">
        <v>62569535.100000001</v>
      </c>
      <c r="H99" s="145">
        <v>9660</v>
      </c>
      <c r="I99" s="253"/>
      <c r="J99" s="208">
        <v>5162</v>
      </c>
      <c r="K99" s="208">
        <v>4260</v>
      </c>
      <c r="L99" s="208">
        <v>238</v>
      </c>
    </row>
    <row r="100" spans="1:12" ht="13.15" customHeight="1">
      <c r="A100" s="171" t="s">
        <v>434</v>
      </c>
      <c r="B100" s="145">
        <v>87419</v>
      </c>
      <c r="C100" s="145">
        <v>79364448.519999996</v>
      </c>
      <c r="D100" s="145"/>
      <c r="E100" s="252">
        <v>33934</v>
      </c>
      <c r="F100" s="145">
        <v>3567</v>
      </c>
      <c r="G100" s="145">
        <v>249174126.30000001</v>
      </c>
      <c r="H100" s="145">
        <v>37501</v>
      </c>
      <c r="I100" s="253"/>
      <c r="J100" s="208">
        <v>20007</v>
      </c>
      <c r="K100" s="208">
        <v>16685</v>
      </c>
      <c r="L100" s="208">
        <v>809</v>
      </c>
    </row>
    <row r="101" spans="1:12" ht="13.15" customHeight="1">
      <c r="A101" s="171" t="s">
        <v>437</v>
      </c>
      <c r="B101" s="145">
        <v>22146</v>
      </c>
      <c r="C101" s="145">
        <v>20206128.719999999</v>
      </c>
      <c r="D101" s="145"/>
      <c r="E101" s="252">
        <v>9155</v>
      </c>
      <c r="F101" s="145">
        <v>271</v>
      </c>
      <c r="G101" s="145">
        <v>48632888.299999997</v>
      </c>
      <c r="H101" s="145">
        <v>9426</v>
      </c>
      <c r="I101" s="253"/>
      <c r="J101" s="208">
        <v>4558</v>
      </c>
      <c r="K101" s="208">
        <v>4662</v>
      </c>
      <c r="L101" s="208">
        <v>206</v>
      </c>
    </row>
    <row r="102" spans="1:12" ht="21" customHeight="1">
      <c r="A102" s="171" t="s">
        <v>313</v>
      </c>
      <c r="B102" s="145">
        <v>20063</v>
      </c>
      <c r="C102" s="145">
        <v>18179212.969999999</v>
      </c>
      <c r="D102" s="145"/>
      <c r="E102" s="252">
        <v>8374</v>
      </c>
      <c r="F102" s="145">
        <v>274</v>
      </c>
      <c r="G102" s="145">
        <v>44091316.299999997</v>
      </c>
      <c r="H102" s="145">
        <v>8648</v>
      </c>
      <c r="I102" s="253"/>
      <c r="J102" s="208">
        <v>4255</v>
      </c>
      <c r="K102" s="208">
        <v>3971</v>
      </c>
      <c r="L102" s="208">
        <v>422</v>
      </c>
    </row>
    <row r="103" spans="1:12" ht="13.15" customHeight="1">
      <c r="A103" s="171" t="s">
        <v>317</v>
      </c>
      <c r="B103" s="145">
        <v>46029</v>
      </c>
      <c r="C103" s="145">
        <v>41718018.079999998</v>
      </c>
      <c r="D103" s="145"/>
      <c r="E103" s="252">
        <v>18473</v>
      </c>
      <c r="F103" s="145">
        <v>1835</v>
      </c>
      <c r="G103" s="208">
        <v>124578350.8</v>
      </c>
      <c r="H103" s="145">
        <v>20308</v>
      </c>
      <c r="I103" s="253"/>
      <c r="J103" s="208">
        <v>11589</v>
      </c>
      <c r="K103" s="208">
        <v>8228</v>
      </c>
      <c r="L103" s="208">
        <v>491</v>
      </c>
    </row>
    <row r="104" spans="1:12" ht="13.15" customHeight="1">
      <c r="A104" s="171" t="s">
        <v>321</v>
      </c>
      <c r="B104" s="145">
        <v>27483</v>
      </c>
      <c r="C104" s="145">
        <v>25030197.52</v>
      </c>
      <c r="D104" s="145"/>
      <c r="E104" s="252">
        <v>11675</v>
      </c>
      <c r="F104" s="145">
        <v>455</v>
      </c>
      <c r="G104" s="145">
        <v>63422594.799999997</v>
      </c>
      <c r="H104" s="145">
        <v>12130</v>
      </c>
      <c r="I104" s="253"/>
      <c r="J104" s="208">
        <v>6643</v>
      </c>
      <c r="K104" s="208">
        <v>5184</v>
      </c>
      <c r="L104" s="208">
        <v>303</v>
      </c>
    </row>
    <row r="105" spans="1:12" ht="13.15" customHeight="1">
      <c r="A105" s="171" t="s">
        <v>325</v>
      </c>
      <c r="B105" s="145">
        <v>17838</v>
      </c>
      <c r="C105" s="145">
        <v>16223445.07</v>
      </c>
      <c r="D105" s="145"/>
      <c r="E105" s="252">
        <v>6959</v>
      </c>
      <c r="F105" s="145">
        <v>819</v>
      </c>
      <c r="G105" s="145">
        <v>48947702.700000003</v>
      </c>
      <c r="H105" s="145">
        <v>7778</v>
      </c>
      <c r="I105" s="253"/>
      <c r="J105" s="208">
        <v>4402</v>
      </c>
      <c r="K105" s="208">
        <v>3106</v>
      </c>
      <c r="L105" s="208">
        <v>270</v>
      </c>
    </row>
    <row r="106" spans="1:12" ht="13.15" customHeight="1">
      <c r="A106" s="171" t="s">
        <v>329</v>
      </c>
      <c r="B106" s="145">
        <v>139522</v>
      </c>
      <c r="C106" s="145">
        <v>126898537.5</v>
      </c>
      <c r="D106" s="145"/>
      <c r="E106" s="252">
        <v>48842</v>
      </c>
      <c r="F106" s="145">
        <v>11572</v>
      </c>
      <c r="G106" s="145">
        <v>509777032.89999998</v>
      </c>
      <c r="H106" s="145">
        <v>60414</v>
      </c>
      <c r="I106" s="253"/>
      <c r="J106" s="208">
        <v>33734</v>
      </c>
      <c r="K106" s="208">
        <v>24843</v>
      </c>
      <c r="L106" s="208">
        <v>1837</v>
      </c>
    </row>
    <row r="107" spans="1:12" ht="21" customHeight="1">
      <c r="A107" s="171" t="s">
        <v>333</v>
      </c>
      <c r="B107" s="145">
        <v>150485</v>
      </c>
      <c r="C107" s="145">
        <v>136528996.06</v>
      </c>
      <c r="D107" s="145"/>
      <c r="E107" s="252">
        <v>47765</v>
      </c>
      <c r="F107" s="145">
        <v>16200</v>
      </c>
      <c r="G107" s="145">
        <v>601920124.5</v>
      </c>
      <c r="H107" s="145">
        <v>63965</v>
      </c>
      <c r="I107" s="253"/>
      <c r="J107" s="208">
        <v>34164</v>
      </c>
      <c r="K107" s="208">
        <v>27424</v>
      </c>
      <c r="L107" s="208">
        <v>2377</v>
      </c>
    </row>
    <row r="108" spans="1:12" ht="13.15" customHeight="1">
      <c r="A108" s="171" t="s">
        <v>337</v>
      </c>
      <c r="B108" s="145">
        <v>7238</v>
      </c>
      <c r="C108" s="145">
        <v>6571908.6200000001</v>
      </c>
      <c r="D108" s="145"/>
      <c r="E108" s="252">
        <v>2897</v>
      </c>
      <c r="F108" s="145">
        <v>340</v>
      </c>
      <c r="G108" s="145">
        <v>20737973.600000001</v>
      </c>
      <c r="H108" s="145">
        <v>3237</v>
      </c>
      <c r="I108" s="253"/>
      <c r="J108" s="208">
        <v>1806</v>
      </c>
      <c r="K108" s="208">
        <v>1300</v>
      </c>
      <c r="L108" s="208">
        <v>131</v>
      </c>
    </row>
    <row r="109" spans="1:12" ht="13.15" customHeight="1">
      <c r="A109" s="171" t="s">
        <v>341</v>
      </c>
      <c r="B109" s="145">
        <v>8478</v>
      </c>
      <c r="C109" s="145">
        <v>7725520.0199999996</v>
      </c>
      <c r="D109" s="145"/>
      <c r="E109" s="252">
        <v>3501</v>
      </c>
      <c r="F109" s="145">
        <v>427</v>
      </c>
      <c r="G109" s="145">
        <v>23443626.899999999</v>
      </c>
      <c r="H109" s="145">
        <v>3928</v>
      </c>
      <c r="I109" s="253"/>
      <c r="J109" s="208">
        <v>2591</v>
      </c>
      <c r="K109" s="208">
        <v>1217</v>
      </c>
      <c r="L109" s="208">
        <v>120</v>
      </c>
    </row>
    <row r="110" spans="1:12" ht="13.15" customHeight="1">
      <c r="A110" s="171" t="s">
        <v>345</v>
      </c>
      <c r="B110" s="145">
        <v>36279</v>
      </c>
      <c r="C110" s="145">
        <v>32956716.710000001</v>
      </c>
      <c r="D110" s="145"/>
      <c r="E110" s="252">
        <v>14616</v>
      </c>
      <c r="F110" s="145">
        <v>668</v>
      </c>
      <c r="G110" s="145">
        <v>83300741.099999994</v>
      </c>
      <c r="H110" s="145">
        <v>15284</v>
      </c>
      <c r="I110" s="253"/>
      <c r="J110" s="208">
        <v>7676</v>
      </c>
      <c r="K110" s="208">
        <v>7222</v>
      </c>
      <c r="L110" s="208">
        <v>386</v>
      </c>
    </row>
    <row r="111" spans="1:12" ht="13.15" customHeight="1">
      <c r="A111" s="171" t="s">
        <v>349</v>
      </c>
      <c r="B111" s="145">
        <v>40374</v>
      </c>
      <c r="C111" s="145">
        <v>36702421.350000001</v>
      </c>
      <c r="D111" s="145"/>
      <c r="E111" s="252">
        <v>15885</v>
      </c>
      <c r="F111" s="145">
        <v>2345</v>
      </c>
      <c r="G111" s="145">
        <v>125006987.5</v>
      </c>
      <c r="H111" s="145">
        <v>18230</v>
      </c>
      <c r="I111" s="253"/>
      <c r="J111" s="208">
        <v>10557</v>
      </c>
      <c r="K111" s="208">
        <v>7103</v>
      </c>
      <c r="L111" s="208">
        <v>570</v>
      </c>
    </row>
    <row r="112" spans="1:12" ht="21" customHeight="1">
      <c r="A112" s="150" t="s">
        <v>353</v>
      </c>
      <c r="B112" s="145">
        <v>57177</v>
      </c>
      <c r="C112" s="150">
        <v>51876222.119999997</v>
      </c>
      <c r="D112" s="150"/>
      <c r="E112" s="252">
        <v>23356</v>
      </c>
      <c r="F112" s="145">
        <v>1628</v>
      </c>
      <c r="G112" s="150">
        <v>157369762.5</v>
      </c>
      <c r="H112" s="145">
        <v>24984</v>
      </c>
      <c r="I112" s="253"/>
      <c r="J112" s="208">
        <v>12663</v>
      </c>
      <c r="K112" s="208">
        <v>11079</v>
      </c>
      <c r="L112" s="208">
        <v>1242</v>
      </c>
    </row>
    <row r="113" spans="1:14" ht="13.15" customHeight="1">
      <c r="A113" s="171" t="s">
        <v>357</v>
      </c>
      <c r="B113" s="145">
        <v>18620</v>
      </c>
      <c r="C113" s="145">
        <v>16770960.939999999</v>
      </c>
      <c r="D113" s="145"/>
      <c r="E113" s="252">
        <v>7044</v>
      </c>
      <c r="F113" s="145">
        <v>1043</v>
      </c>
      <c r="G113" s="145">
        <v>55684818.899999999</v>
      </c>
      <c r="H113" s="145">
        <v>8087</v>
      </c>
      <c r="I113" s="253"/>
      <c r="J113" s="208">
        <v>4808</v>
      </c>
      <c r="K113" s="208">
        <v>3021</v>
      </c>
      <c r="L113" s="208">
        <v>258</v>
      </c>
    </row>
    <row r="114" spans="1:14" ht="13.15" customHeight="1">
      <c r="A114" s="171" t="s">
        <v>361</v>
      </c>
      <c r="B114" s="145">
        <v>30169</v>
      </c>
      <c r="C114" s="145">
        <v>27475448.059999999</v>
      </c>
      <c r="D114" s="145"/>
      <c r="E114" s="252">
        <v>12350</v>
      </c>
      <c r="F114" s="208">
        <v>457</v>
      </c>
      <c r="G114" s="145">
        <v>66236761.409999996</v>
      </c>
      <c r="H114" s="145">
        <v>12807</v>
      </c>
      <c r="I114" s="253"/>
      <c r="J114" s="208">
        <v>6672</v>
      </c>
      <c r="K114" s="208">
        <v>5779</v>
      </c>
      <c r="L114" s="208">
        <v>356</v>
      </c>
    </row>
    <row r="115" spans="1:14" ht="13.15" customHeight="1">
      <c r="A115" s="171" t="s">
        <v>365</v>
      </c>
      <c r="B115" s="145">
        <v>27110</v>
      </c>
      <c r="C115" s="145">
        <v>24641321.289999999</v>
      </c>
      <c r="D115" s="145"/>
      <c r="E115" s="252">
        <v>11443</v>
      </c>
      <c r="F115" s="145">
        <v>549</v>
      </c>
      <c r="G115" s="145">
        <v>64923508.799999997</v>
      </c>
      <c r="H115" s="145">
        <v>11992</v>
      </c>
      <c r="I115" s="253"/>
      <c r="J115" s="208">
        <v>6526</v>
      </c>
      <c r="K115" s="208">
        <v>5125</v>
      </c>
      <c r="L115" s="208">
        <v>341</v>
      </c>
    </row>
    <row r="116" spans="1:14" ht="13.15" customHeight="1">
      <c r="A116" s="171" t="s">
        <v>369</v>
      </c>
      <c r="B116" s="145">
        <v>68761</v>
      </c>
      <c r="C116" s="145">
        <v>61784140.520000003</v>
      </c>
      <c r="D116" s="145"/>
      <c r="E116" s="252">
        <v>23562</v>
      </c>
      <c r="F116" s="145">
        <v>5345</v>
      </c>
      <c r="G116" s="145">
        <v>245322220.90000001</v>
      </c>
      <c r="H116" s="145">
        <v>28907</v>
      </c>
      <c r="I116" s="253"/>
      <c r="J116" s="208">
        <v>14370</v>
      </c>
      <c r="K116" s="208">
        <v>13437</v>
      </c>
      <c r="L116" s="208">
        <v>1100</v>
      </c>
    </row>
    <row r="117" spans="1:14" ht="10.75" customHeight="1">
      <c r="A117" s="171"/>
      <c r="B117" s="145"/>
      <c r="C117" s="804"/>
      <c r="D117" s="804"/>
      <c r="E117" s="266"/>
      <c r="F117" s="804"/>
      <c r="G117" s="804"/>
      <c r="H117" s="804"/>
      <c r="I117" s="267"/>
      <c r="J117" s="805"/>
      <c r="K117" s="208"/>
      <c r="L117" s="208"/>
      <c r="N117" s="269"/>
    </row>
    <row r="118" spans="1:14" ht="13.15" customHeight="1">
      <c r="A118" s="182" t="s">
        <v>19</v>
      </c>
      <c r="B118" s="270">
        <f>SUM(B92:B116)+SUM(B50:B84)+SUM(B8:B42)</f>
        <v>6151894</v>
      </c>
      <c r="C118" s="183">
        <f>SUM(C92:C116)+SUM(C50:C84)+SUM(C8:C42)</f>
        <v>5577402454.6199999</v>
      </c>
      <c r="D118" s="271"/>
      <c r="E118" s="272">
        <f t="shared" ref="E118:H118" si="2">SUM(E92:E116)+SUM(E50:E84)+SUM(E8:E42)</f>
        <v>2167048</v>
      </c>
      <c r="F118" s="270">
        <f t="shared" si="2"/>
        <v>537911</v>
      </c>
      <c r="G118" s="183">
        <f t="shared" si="2"/>
        <v>25364249647.560005</v>
      </c>
      <c r="H118" s="270">
        <f t="shared" si="2"/>
        <v>2704959</v>
      </c>
      <c r="I118" s="273"/>
      <c r="J118" s="274">
        <f t="shared" ref="J118:L118" si="3">SUM(J92:J116)+SUM(J50:J84)+SUM(J8:J42)</f>
        <v>1498829</v>
      </c>
      <c r="K118" s="274">
        <f t="shared" si="3"/>
        <v>1117881</v>
      </c>
      <c r="L118" s="274">
        <f t="shared" si="3"/>
        <v>88249</v>
      </c>
    </row>
    <row r="119" spans="1:14" ht="18">
      <c r="A119" s="172" t="s">
        <v>597</v>
      </c>
      <c r="B119" s="145"/>
      <c r="C119" s="145"/>
      <c r="D119" s="145"/>
      <c r="E119" s="145"/>
      <c r="F119" s="145"/>
      <c r="G119" s="145"/>
      <c r="H119" s="145"/>
      <c r="I119" s="145"/>
      <c r="J119" s="208"/>
      <c r="K119" s="208"/>
      <c r="L119" s="208"/>
    </row>
    <row r="120" spans="1:14">
      <c r="A120" s="175" t="str">
        <f>A86</f>
        <v>Exemptions, Standard and Itemized Deductions, and Number of Returns by Filing Status/Locality</v>
      </c>
      <c r="B120" s="145"/>
      <c r="C120" s="145"/>
      <c r="D120" s="145"/>
      <c r="E120" s="145"/>
      <c r="F120" s="145"/>
      <c r="G120" s="145"/>
      <c r="H120" s="145"/>
      <c r="I120" s="145"/>
      <c r="J120" s="208"/>
      <c r="K120" s="208"/>
      <c r="L120" s="208"/>
    </row>
    <row r="121" spans="1:14">
      <c r="A121" s="176" t="str">
        <f>A87</f>
        <v>Taxable Year 2019</v>
      </c>
      <c r="B121" s="145"/>
      <c r="C121" s="145"/>
      <c r="D121" s="145"/>
      <c r="E121" s="145"/>
      <c r="F121" s="145"/>
      <c r="G121" s="145"/>
      <c r="H121" s="145"/>
      <c r="I121" s="145"/>
      <c r="J121" s="208"/>
      <c r="K121" s="208"/>
      <c r="L121" s="208"/>
    </row>
    <row r="122" spans="1:14" ht="13.15" customHeight="1" thickBot="1">
      <c r="B122" s="254">
        <f t="shared" ref="B122:L122" si="4">SUM(B75:B111)</f>
        <v>5950057</v>
      </c>
      <c r="C122" s="254">
        <f t="shared" si="4"/>
        <v>5394854361.6900015</v>
      </c>
      <c r="D122" s="254">
        <f t="shared" si="4"/>
        <v>0</v>
      </c>
      <c r="E122" s="254">
        <f t="shared" si="4"/>
        <v>2089293</v>
      </c>
      <c r="F122" s="254">
        <f t="shared" si="4"/>
        <v>528889</v>
      </c>
      <c r="G122" s="254">
        <f t="shared" si="4"/>
        <v>24774712575.049988</v>
      </c>
      <c r="H122" s="254">
        <f t="shared" si="4"/>
        <v>2618182</v>
      </c>
      <c r="I122" s="254">
        <f t="shared" si="4"/>
        <v>0</v>
      </c>
      <c r="J122" s="255">
        <f t="shared" si="4"/>
        <v>1453790</v>
      </c>
      <c r="K122" s="255">
        <f t="shared" si="4"/>
        <v>1079440</v>
      </c>
      <c r="L122" s="255">
        <f t="shared" si="4"/>
        <v>84952</v>
      </c>
    </row>
    <row r="123" spans="1:14">
      <c r="A123" s="236"/>
      <c r="B123" s="1608" t="s">
        <v>306</v>
      </c>
      <c r="C123" s="1608"/>
      <c r="D123" s="799"/>
      <c r="E123" s="1609" t="s">
        <v>307</v>
      </c>
      <c r="F123" s="1610"/>
      <c r="G123" s="1610"/>
      <c r="H123" s="1610"/>
      <c r="I123" s="238"/>
      <c r="J123" s="239"/>
      <c r="K123" s="240" t="s">
        <v>594</v>
      </c>
      <c r="L123" s="241"/>
    </row>
    <row r="124" spans="1:14" ht="13.15" customHeight="1">
      <c r="A124" s="256"/>
      <c r="B124" s="257"/>
      <c r="C124" s="257"/>
      <c r="D124" s="257"/>
      <c r="E124" s="258"/>
      <c r="F124" s="257"/>
      <c r="G124" s="257"/>
      <c r="H124" s="259" t="s">
        <v>13</v>
      </c>
      <c r="I124" s="260"/>
      <c r="J124" s="261"/>
      <c r="K124" s="249" t="s">
        <v>749</v>
      </c>
      <c r="L124" s="249" t="s">
        <v>749</v>
      </c>
    </row>
    <row r="125" spans="1:14" ht="13.15" customHeight="1">
      <c r="A125" s="256" t="s">
        <v>20</v>
      </c>
      <c r="B125" s="801" t="s">
        <v>595</v>
      </c>
      <c r="C125" s="801" t="s">
        <v>16</v>
      </c>
      <c r="D125" s="801"/>
      <c r="E125" s="250" t="s">
        <v>305</v>
      </c>
      <c r="F125" s="801" t="s">
        <v>304</v>
      </c>
      <c r="G125" s="453" t="s">
        <v>16</v>
      </c>
      <c r="H125" s="801" t="s">
        <v>302</v>
      </c>
      <c r="I125" s="251"/>
      <c r="J125" s="802" t="s">
        <v>596</v>
      </c>
      <c r="K125" s="802" t="s">
        <v>301</v>
      </c>
      <c r="L125" s="803" t="s">
        <v>748</v>
      </c>
    </row>
    <row r="126" spans="1:14" ht="21" customHeight="1">
      <c r="A126" s="171" t="s">
        <v>386</v>
      </c>
      <c r="B126" s="145">
        <v>165238</v>
      </c>
      <c r="C126" s="150">
        <v>148428244.91</v>
      </c>
      <c r="D126" s="150"/>
      <c r="E126" s="252">
        <v>64054</v>
      </c>
      <c r="F126" s="145">
        <v>23802</v>
      </c>
      <c r="G126" s="150">
        <v>995519604.48000002</v>
      </c>
      <c r="H126" s="145">
        <v>87856</v>
      </c>
      <c r="I126" s="253"/>
      <c r="J126" s="208">
        <v>58419</v>
      </c>
      <c r="K126" s="208">
        <v>25345</v>
      </c>
      <c r="L126" s="208">
        <v>4092</v>
      </c>
    </row>
    <row r="127" spans="1:14" ht="13.15" customHeight="1">
      <c r="A127" s="171" t="s">
        <v>391</v>
      </c>
      <c r="B127" s="145">
        <v>23004</v>
      </c>
      <c r="C127" s="145">
        <v>20922617.960000001</v>
      </c>
      <c r="D127" s="145"/>
      <c r="E127" s="252">
        <v>10426</v>
      </c>
      <c r="F127" s="145">
        <v>497</v>
      </c>
      <c r="G127" s="145">
        <v>76188743.700000003</v>
      </c>
      <c r="H127" s="145">
        <v>10923</v>
      </c>
      <c r="I127" s="253"/>
      <c r="J127" s="208">
        <v>6216</v>
      </c>
      <c r="K127" s="208">
        <v>3467</v>
      </c>
      <c r="L127" s="208">
        <v>1240</v>
      </c>
    </row>
    <row r="128" spans="1:14" ht="13.15" customHeight="1">
      <c r="A128" s="171" t="s">
        <v>394</v>
      </c>
      <c r="B128" s="145">
        <v>6100</v>
      </c>
      <c r="C128" s="145">
        <v>5524197.4699999997</v>
      </c>
      <c r="D128" s="145"/>
      <c r="E128" s="252">
        <v>2634</v>
      </c>
      <c r="F128" s="145">
        <v>117</v>
      </c>
      <c r="G128" s="145">
        <v>16301593.800000001</v>
      </c>
      <c r="H128" s="145">
        <v>2751</v>
      </c>
      <c r="I128" s="253"/>
      <c r="J128" s="208">
        <v>1639</v>
      </c>
      <c r="K128" s="208">
        <v>1048</v>
      </c>
      <c r="L128" s="208">
        <v>64</v>
      </c>
    </row>
    <row r="129" spans="1:12" ht="13.15" customHeight="1">
      <c r="A129" s="171" t="s">
        <v>397</v>
      </c>
      <c r="B129" s="145">
        <v>40381</v>
      </c>
      <c r="C129" s="145">
        <v>36445144.640000001</v>
      </c>
      <c r="D129" s="145"/>
      <c r="E129" s="252">
        <v>18444</v>
      </c>
      <c r="F129" s="145">
        <v>2945</v>
      </c>
      <c r="G129" s="208">
        <v>177537040.30000001</v>
      </c>
      <c r="H129" s="145">
        <v>21389</v>
      </c>
      <c r="I129" s="253"/>
      <c r="J129" s="208">
        <v>14556</v>
      </c>
      <c r="K129" s="208">
        <v>6012</v>
      </c>
      <c r="L129" s="208">
        <v>821</v>
      </c>
    </row>
    <row r="130" spans="1:12" ht="13.15" customHeight="1">
      <c r="A130" s="171" t="s">
        <v>400</v>
      </c>
      <c r="B130" s="145">
        <v>236141</v>
      </c>
      <c r="C130" s="145">
        <v>214372058.38999999</v>
      </c>
      <c r="D130" s="145"/>
      <c r="E130" s="252">
        <v>86594</v>
      </c>
      <c r="F130" s="145">
        <v>19005</v>
      </c>
      <c r="G130" s="145">
        <v>820337102.10000002</v>
      </c>
      <c r="H130" s="145">
        <v>105599</v>
      </c>
      <c r="I130" s="253"/>
      <c r="J130" s="208">
        <v>60555</v>
      </c>
      <c r="K130" s="208">
        <v>40071</v>
      </c>
      <c r="L130" s="208">
        <v>4973</v>
      </c>
    </row>
    <row r="131" spans="1:12" ht="21" customHeight="1">
      <c r="A131" s="171" t="s">
        <v>403</v>
      </c>
      <c r="B131" s="145">
        <v>18423</v>
      </c>
      <c r="C131" s="145">
        <v>16695895.48</v>
      </c>
      <c r="D131" s="145"/>
      <c r="E131" s="252">
        <v>7652</v>
      </c>
      <c r="F131" s="145">
        <v>772</v>
      </c>
      <c r="G131" s="145">
        <v>104375561.2</v>
      </c>
      <c r="H131" s="145">
        <v>8424</v>
      </c>
      <c r="I131" s="253"/>
      <c r="J131" s="208">
        <v>5477</v>
      </c>
      <c r="K131" s="208">
        <v>2733</v>
      </c>
      <c r="L131" s="208">
        <v>214</v>
      </c>
    </row>
    <row r="132" spans="1:12" ht="13.15" customHeight="1">
      <c r="A132" s="171" t="s">
        <v>406</v>
      </c>
      <c r="B132" s="145">
        <v>5920</v>
      </c>
      <c r="C132" s="145">
        <v>5392067.2400000002</v>
      </c>
      <c r="D132" s="145"/>
      <c r="E132" s="252">
        <v>2673</v>
      </c>
      <c r="F132" s="145">
        <v>77</v>
      </c>
      <c r="G132" s="145">
        <v>21499237.100000001</v>
      </c>
      <c r="H132" s="145">
        <v>2750</v>
      </c>
      <c r="I132" s="253"/>
      <c r="J132" s="208">
        <v>1778</v>
      </c>
      <c r="K132" s="208">
        <v>905</v>
      </c>
      <c r="L132" s="208">
        <v>67</v>
      </c>
    </row>
    <row r="133" spans="1:12" ht="13.15" customHeight="1">
      <c r="A133" s="171" t="s">
        <v>409</v>
      </c>
      <c r="B133" s="145">
        <v>41292</v>
      </c>
      <c r="C133" s="145">
        <v>37544606.369999997</v>
      </c>
      <c r="D133" s="145"/>
      <c r="E133" s="252">
        <v>17877</v>
      </c>
      <c r="F133" s="145">
        <v>1359</v>
      </c>
      <c r="G133" s="145">
        <v>115613395.11</v>
      </c>
      <c r="H133" s="145">
        <v>19236</v>
      </c>
      <c r="I133" s="253"/>
      <c r="J133" s="208">
        <v>13226</v>
      </c>
      <c r="K133" s="208">
        <v>5113</v>
      </c>
      <c r="L133" s="208">
        <v>897</v>
      </c>
    </row>
    <row r="134" spans="1:12" ht="13.15" customHeight="1">
      <c r="A134" s="171" t="s">
        <v>412</v>
      </c>
      <c r="B134" s="145">
        <v>5569</v>
      </c>
      <c r="C134" s="145">
        <v>5098772</v>
      </c>
      <c r="D134" s="145"/>
      <c r="E134" s="252">
        <v>2364</v>
      </c>
      <c r="F134" s="145">
        <v>205</v>
      </c>
      <c r="G134" s="145">
        <v>14248293.300000001</v>
      </c>
      <c r="H134" s="145">
        <v>2569</v>
      </c>
      <c r="I134" s="253"/>
      <c r="J134" s="208">
        <v>1941</v>
      </c>
      <c r="K134" s="208">
        <v>522</v>
      </c>
      <c r="L134" s="208">
        <v>106</v>
      </c>
    </row>
    <row r="135" spans="1:12" ht="13.15" customHeight="1">
      <c r="A135" s="171" t="s">
        <v>407</v>
      </c>
      <c r="B135" s="145">
        <v>32550</v>
      </c>
      <c r="C135" s="145">
        <v>29506245.66</v>
      </c>
      <c r="D135" s="145"/>
      <c r="E135" s="252">
        <v>11012</v>
      </c>
      <c r="F135" s="145">
        <v>4224</v>
      </c>
      <c r="G135" s="145">
        <v>189651714</v>
      </c>
      <c r="H135" s="145">
        <v>15236</v>
      </c>
      <c r="I135" s="253"/>
      <c r="J135" s="208">
        <v>8790</v>
      </c>
      <c r="K135" s="208">
        <v>5787</v>
      </c>
      <c r="L135" s="208">
        <v>659</v>
      </c>
    </row>
    <row r="136" spans="1:12" ht="21" customHeight="1">
      <c r="A136" s="171" t="s">
        <v>417</v>
      </c>
      <c r="B136" s="145">
        <v>17861</v>
      </c>
      <c r="C136" s="145">
        <v>16037271.619999999</v>
      </c>
      <c r="D136" s="145"/>
      <c r="E136" s="252">
        <v>5343</v>
      </c>
      <c r="F136" s="145">
        <v>2596</v>
      </c>
      <c r="G136" s="145">
        <v>114456724.3</v>
      </c>
      <c r="H136" s="145">
        <v>7939</v>
      </c>
      <c r="I136" s="253"/>
      <c r="J136" s="208">
        <v>4305</v>
      </c>
      <c r="K136" s="208">
        <v>3243</v>
      </c>
      <c r="L136" s="208">
        <v>391</v>
      </c>
    </row>
    <row r="137" spans="1:12" ht="13.15" customHeight="1">
      <c r="A137" s="171" t="s">
        <v>21</v>
      </c>
      <c r="B137" s="208">
        <v>7853</v>
      </c>
      <c r="C137" s="208">
        <v>7148158.7199999997</v>
      </c>
      <c r="D137" s="145"/>
      <c r="E137" s="252">
        <v>3128</v>
      </c>
      <c r="F137" s="145">
        <v>364</v>
      </c>
      <c r="G137" s="145">
        <v>22351911.100000001</v>
      </c>
      <c r="H137" s="145">
        <v>3492</v>
      </c>
      <c r="I137" s="253"/>
      <c r="J137" s="208">
        <v>2408</v>
      </c>
      <c r="K137" s="208">
        <v>952</v>
      </c>
      <c r="L137" s="208">
        <v>132</v>
      </c>
    </row>
    <row r="138" spans="1:12" ht="13.15" customHeight="1">
      <c r="A138" s="171" t="s">
        <v>422</v>
      </c>
      <c r="B138" s="145">
        <v>26631</v>
      </c>
      <c r="C138" s="145">
        <v>24159502.370000001</v>
      </c>
      <c r="D138" s="145"/>
      <c r="E138" s="252">
        <v>11055</v>
      </c>
      <c r="F138" s="145">
        <v>2110</v>
      </c>
      <c r="G138" s="145">
        <v>103947120.2</v>
      </c>
      <c r="H138" s="145">
        <v>13165</v>
      </c>
      <c r="I138" s="253"/>
      <c r="J138" s="208">
        <v>8928</v>
      </c>
      <c r="K138" s="208">
        <v>3740</v>
      </c>
      <c r="L138" s="208">
        <v>497</v>
      </c>
    </row>
    <row r="139" spans="1:12" ht="13.15" customHeight="1">
      <c r="A139" s="171" t="s">
        <v>425</v>
      </c>
      <c r="B139" s="145">
        <v>7119</v>
      </c>
      <c r="C139" s="145">
        <v>6485654.04</v>
      </c>
      <c r="D139" s="145"/>
      <c r="E139" s="252">
        <v>3038</v>
      </c>
      <c r="F139" s="145">
        <v>157</v>
      </c>
      <c r="G139" s="145">
        <v>31471274.300000001</v>
      </c>
      <c r="H139" s="145">
        <v>3195</v>
      </c>
      <c r="I139" s="253"/>
      <c r="J139" s="208">
        <v>1975</v>
      </c>
      <c r="K139" s="208">
        <v>1130</v>
      </c>
      <c r="L139" s="208">
        <v>90</v>
      </c>
    </row>
    <row r="140" spans="1:12" ht="13.15" customHeight="1">
      <c r="A140" s="171" t="s">
        <v>427</v>
      </c>
      <c r="B140" s="145">
        <v>116733</v>
      </c>
      <c r="C140" s="145">
        <v>105713449.77</v>
      </c>
      <c r="D140" s="145"/>
      <c r="E140" s="252">
        <v>49416</v>
      </c>
      <c r="F140" s="145">
        <v>6758</v>
      </c>
      <c r="G140" s="145">
        <v>345979583.30000001</v>
      </c>
      <c r="H140" s="145">
        <v>56174</v>
      </c>
      <c r="I140" s="253"/>
      <c r="J140" s="208">
        <v>37884</v>
      </c>
      <c r="K140" s="208">
        <v>15978</v>
      </c>
      <c r="L140" s="208">
        <v>2312</v>
      </c>
    </row>
    <row r="141" spans="1:12" ht="21" customHeight="1">
      <c r="A141" s="171" t="s">
        <v>429</v>
      </c>
      <c r="B141" s="145">
        <v>36874</v>
      </c>
      <c r="C141" s="145">
        <v>33516980.390000001</v>
      </c>
      <c r="D141" s="145"/>
      <c r="E141" s="252">
        <v>16614</v>
      </c>
      <c r="F141" s="145">
        <v>1243</v>
      </c>
      <c r="G141" s="145">
        <v>110956270</v>
      </c>
      <c r="H141" s="145">
        <v>17857</v>
      </c>
      <c r="I141" s="253"/>
      <c r="J141" s="208">
        <v>12276</v>
      </c>
      <c r="K141" s="208">
        <v>5180</v>
      </c>
      <c r="L141" s="208">
        <v>401</v>
      </c>
    </row>
    <row r="142" spans="1:12" ht="13.15" customHeight="1">
      <c r="A142" s="171" t="s">
        <v>432</v>
      </c>
      <c r="B142" s="145">
        <v>20503</v>
      </c>
      <c r="C142" s="145">
        <v>18673288.399999999</v>
      </c>
      <c r="D142" s="145"/>
      <c r="E142" s="252">
        <v>9120</v>
      </c>
      <c r="F142" s="145">
        <v>638</v>
      </c>
      <c r="G142" s="145">
        <v>47932101.100000001</v>
      </c>
      <c r="H142" s="145">
        <v>9758</v>
      </c>
      <c r="I142" s="253"/>
      <c r="J142" s="208">
        <v>7168</v>
      </c>
      <c r="K142" s="208">
        <v>2303</v>
      </c>
      <c r="L142" s="208">
        <v>287</v>
      </c>
    </row>
    <row r="143" spans="1:12" ht="13.15" customHeight="1">
      <c r="A143" s="171" t="s">
        <v>435</v>
      </c>
      <c r="B143" s="145">
        <v>5769</v>
      </c>
      <c r="C143" s="145">
        <v>5137887.05</v>
      </c>
      <c r="D143" s="145"/>
      <c r="E143" s="252">
        <v>2099</v>
      </c>
      <c r="F143" s="145">
        <v>433</v>
      </c>
      <c r="G143" s="145">
        <v>23572022.399999999</v>
      </c>
      <c r="H143" s="145">
        <v>2532</v>
      </c>
      <c r="I143" s="253"/>
      <c r="J143" s="208">
        <v>1482</v>
      </c>
      <c r="K143" s="208">
        <v>960</v>
      </c>
      <c r="L143" s="208">
        <v>90</v>
      </c>
    </row>
    <row r="144" spans="1:12" ht="13.15" customHeight="1">
      <c r="A144" s="171" t="s">
        <v>438</v>
      </c>
      <c r="B144" s="145">
        <v>68268</v>
      </c>
      <c r="C144" s="145">
        <v>61784702.479999997</v>
      </c>
      <c r="D144" s="150"/>
      <c r="E144" s="252">
        <v>30017</v>
      </c>
      <c r="F144" s="145">
        <v>2787</v>
      </c>
      <c r="G144" s="145">
        <v>203341504.80000001</v>
      </c>
      <c r="H144" s="145">
        <v>32804</v>
      </c>
      <c r="I144" s="253"/>
      <c r="J144" s="208">
        <v>21586</v>
      </c>
      <c r="K144" s="208">
        <v>10258</v>
      </c>
      <c r="L144" s="208">
        <v>960</v>
      </c>
    </row>
    <row r="145" spans="1:12" ht="13.15" customHeight="1">
      <c r="A145" s="171" t="s">
        <v>314</v>
      </c>
      <c r="B145" s="145">
        <v>43344</v>
      </c>
      <c r="C145" s="145">
        <v>39610256.93</v>
      </c>
      <c r="D145" s="145"/>
      <c r="E145" s="252">
        <v>16240</v>
      </c>
      <c r="F145" s="145">
        <v>3797</v>
      </c>
      <c r="G145" s="145">
        <v>163086249.71000001</v>
      </c>
      <c r="H145" s="145">
        <v>20037</v>
      </c>
      <c r="I145" s="253"/>
      <c r="J145" s="208">
        <v>12754</v>
      </c>
      <c r="K145" s="208">
        <v>6603</v>
      </c>
      <c r="L145" s="208">
        <v>680</v>
      </c>
    </row>
    <row r="146" spans="1:12" ht="21" customHeight="1">
      <c r="A146" s="171" t="s">
        <v>318</v>
      </c>
      <c r="B146" s="145">
        <v>17478</v>
      </c>
      <c r="C146" s="150">
        <v>15973414.880000001</v>
      </c>
      <c r="D146" s="145"/>
      <c r="E146" s="252">
        <v>6825</v>
      </c>
      <c r="F146" s="145">
        <v>1497</v>
      </c>
      <c r="G146" s="150">
        <v>58157007.399999999</v>
      </c>
      <c r="H146" s="145">
        <v>8322</v>
      </c>
      <c r="I146" s="253"/>
      <c r="J146" s="208">
        <v>5397</v>
      </c>
      <c r="K146" s="208">
        <v>2614</v>
      </c>
      <c r="L146" s="208">
        <v>311</v>
      </c>
    </row>
    <row r="147" spans="1:12" ht="13.15" customHeight="1">
      <c r="A147" s="171" t="s">
        <v>322</v>
      </c>
      <c r="B147" s="145">
        <v>13205</v>
      </c>
      <c r="C147" s="145">
        <v>12018240.83</v>
      </c>
      <c r="D147" s="145"/>
      <c r="E147" s="252">
        <v>5746</v>
      </c>
      <c r="F147" s="145">
        <v>401</v>
      </c>
      <c r="G147" s="145">
        <v>42142580.200000003</v>
      </c>
      <c r="H147" s="145">
        <v>6147</v>
      </c>
      <c r="I147" s="253"/>
      <c r="J147" s="208">
        <v>4257</v>
      </c>
      <c r="K147" s="208">
        <v>1652</v>
      </c>
      <c r="L147" s="208">
        <v>238</v>
      </c>
    </row>
    <row r="148" spans="1:12" ht="13.15" customHeight="1">
      <c r="A148" s="171" t="s">
        <v>326</v>
      </c>
      <c r="B148" s="145">
        <v>158510</v>
      </c>
      <c r="C148" s="145">
        <v>143970949.06</v>
      </c>
      <c r="D148" s="145"/>
      <c r="E148" s="252">
        <v>68440</v>
      </c>
      <c r="F148" s="145">
        <v>8195</v>
      </c>
      <c r="G148" s="145">
        <v>463500983.01999998</v>
      </c>
      <c r="H148" s="145">
        <v>76635</v>
      </c>
      <c r="I148" s="253"/>
      <c r="J148" s="208">
        <v>52358</v>
      </c>
      <c r="K148" s="208">
        <v>21151</v>
      </c>
      <c r="L148" s="208">
        <v>3126</v>
      </c>
    </row>
    <row r="149" spans="1:12" ht="13.15" customHeight="1">
      <c r="A149" s="171" t="s">
        <v>330</v>
      </c>
      <c r="B149" s="145">
        <v>177923</v>
      </c>
      <c r="C149" s="145">
        <v>161439149.24000001</v>
      </c>
      <c r="D149" s="145"/>
      <c r="E149" s="252">
        <v>78371</v>
      </c>
      <c r="F149" s="145">
        <v>10543</v>
      </c>
      <c r="G149" s="145">
        <v>617716490.62</v>
      </c>
      <c r="H149" s="145">
        <v>88914</v>
      </c>
      <c r="I149" s="253"/>
      <c r="J149" s="208">
        <v>61797</v>
      </c>
      <c r="K149" s="208">
        <v>22695</v>
      </c>
      <c r="L149" s="208">
        <v>4422</v>
      </c>
    </row>
    <row r="150" spans="1:12" ht="13.15" customHeight="1">
      <c r="A150" s="171" t="s">
        <v>334</v>
      </c>
      <c r="B150" s="208">
        <v>4093</v>
      </c>
      <c r="C150" s="208">
        <v>3740358.35</v>
      </c>
      <c r="D150" s="145"/>
      <c r="E150" s="252">
        <v>1798</v>
      </c>
      <c r="F150" s="145">
        <v>66</v>
      </c>
      <c r="G150" s="145">
        <v>9574822.8000000007</v>
      </c>
      <c r="H150" s="145">
        <v>1864</v>
      </c>
      <c r="I150" s="253"/>
      <c r="J150" s="208">
        <v>1112</v>
      </c>
      <c r="K150" s="208">
        <v>697</v>
      </c>
      <c r="L150" s="208">
        <v>55</v>
      </c>
    </row>
    <row r="151" spans="1:12" ht="21" customHeight="1">
      <c r="A151" s="171" t="s">
        <v>338</v>
      </c>
      <c r="B151" s="145">
        <v>26526</v>
      </c>
      <c r="C151" s="145">
        <v>24119138.66</v>
      </c>
      <c r="D151" s="145"/>
      <c r="E151" s="252">
        <v>12345</v>
      </c>
      <c r="F151" s="145">
        <v>1243</v>
      </c>
      <c r="G151" s="145">
        <v>71790581.5</v>
      </c>
      <c r="H151" s="145">
        <v>13588</v>
      </c>
      <c r="I151" s="253"/>
      <c r="J151" s="208">
        <v>11035</v>
      </c>
      <c r="K151" s="208">
        <v>2088</v>
      </c>
      <c r="L151" s="208">
        <v>465</v>
      </c>
    </row>
    <row r="152" spans="1:12" ht="13.15" customHeight="1">
      <c r="A152" s="171" t="s">
        <v>342</v>
      </c>
      <c r="B152" s="145">
        <v>13257</v>
      </c>
      <c r="C152" s="145">
        <v>11961729</v>
      </c>
      <c r="D152" s="145"/>
      <c r="E152" s="252">
        <v>4315</v>
      </c>
      <c r="F152" s="145">
        <v>1163</v>
      </c>
      <c r="G152" s="145">
        <v>50013113.899999999</v>
      </c>
      <c r="H152" s="145">
        <v>5478</v>
      </c>
      <c r="I152" s="253"/>
      <c r="J152" s="208">
        <v>2632</v>
      </c>
      <c r="K152" s="208">
        <v>2686</v>
      </c>
      <c r="L152" s="208">
        <v>160</v>
      </c>
    </row>
    <row r="153" spans="1:12" ht="13.15" customHeight="1">
      <c r="A153" s="171" t="s">
        <v>346</v>
      </c>
      <c r="B153" s="145">
        <v>81900</v>
      </c>
      <c r="C153" s="145">
        <v>74546419.439999998</v>
      </c>
      <c r="D153" s="145"/>
      <c r="E153" s="252">
        <v>34408</v>
      </c>
      <c r="F153" s="145">
        <v>4844</v>
      </c>
      <c r="G153" s="145">
        <v>244075029.19999999</v>
      </c>
      <c r="H153" s="145">
        <v>39252</v>
      </c>
      <c r="I153" s="253"/>
      <c r="J153" s="208">
        <v>27599</v>
      </c>
      <c r="K153" s="208">
        <v>10104</v>
      </c>
      <c r="L153" s="208">
        <v>1549</v>
      </c>
    </row>
    <row r="154" spans="1:12" ht="13.15" customHeight="1">
      <c r="A154" s="171" t="s">
        <v>350</v>
      </c>
      <c r="B154" s="145">
        <v>10932</v>
      </c>
      <c r="C154" s="145">
        <v>9914643.0700000003</v>
      </c>
      <c r="D154" s="145"/>
      <c r="E154" s="252">
        <v>5250</v>
      </c>
      <c r="F154" s="145">
        <v>277</v>
      </c>
      <c r="G154" s="145">
        <v>33944735.700000003</v>
      </c>
      <c r="H154" s="145">
        <v>5527</v>
      </c>
      <c r="I154" s="253"/>
      <c r="J154" s="208">
        <v>3625</v>
      </c>
      <c r="K154" s="208">
        <v>1723</v>
      </c>
      <c r="L154" s="208">
        <v>179</v>
      </c>
    </row>
    <row r="155" spans="1:12" ht="13.15" customHeight="1">
      <c r="A155" s="171" t="s">
        <v>354</v>
      </c>
      <c r="B155" s="145">
        <v>184957</v>
      </c>
      <c r="C155" s="145">
        <v>167935079.86000001</v>
      </c>
      <c r="D155" s="145"/>
      <c r="E155" s="252">
        <v>87032</v>
      </c>
      <c r="F155" s="145">
        <v>13910</v>
      </c>
      <c r="G155" s="145">
        <v>1489619992.04</v>
      </c>
      <c r="H155" s="145">
        <v>100942</v>
      </c>
      <c r="I155" s="253"/>
      <c r="J155" s="208">
        <v>76382</v>
      </c>
      <c r="K155" s="208">
        <v>21393</v>
      </c>
      <c r="L155" s="208">
        <v>3167</v>
      </c>
    </row>
    <row r="156" spans="1:12" ht="21" customHeight="1">
      <c r="A156" s="171" t="s">
        <v>22</v>
      </c>
      <c r="B156" s="145">
        <v>89604</v>
      </c>
      <c r="C156" s="145">
        <v>81377652.049999997</v>
      </c>
      <c r="D156" s="145"/>
      <c r="E156" s="252">
        <v>41049</v>
      </c>
      <c r="F156" s="145">
        <v>3218</v>
      </c>
      <c r="G156" s="145">
        <v>251296379.61000001</v>
      </c>
      <c r="H156" s="145">
        <v>44267</v>
      </c>
      <c r="I156" s="253"/>
      <c r="J156" s="208">
        <v>31383</v>
      </c>
      <c r="K156" s="208">
        <v>11632</v>
      </c>
      <c r="L156" s="208">
        <v>1252</v>
      </c>
    </row>
    <row r="157" spans="1:12" ht="13.15" customHeight="1">
      <c r="A157" s="171" t="s">
        <v>362</v>
      </c>
      <c r="B157" s="145">
        <v>26287</v>
      </c>
      <c r="C157" s="145">
        <v>23788200.399999999</v>
      </c>
      <c r="D157" s="145"/>
      <c r="E157" s="252">
        <v>10617</v>
      </c>
      <c r="F157" s="145">
        <v>1202</v>
      </c>
      <c r="G157" s="145">
        <v>78266539.799999997</v>
      </c>
      <c r="H157" s="145">
        <v>11819</v>
      </c>
      <c r="I157" s="253"/>
      <c r="J157" s="208">
        <v>6956</v>
      </c>
      <c r="K157" s="208">
        <v>4558</v>
      </c>
      <c r="L157" s="208">
        <v>305</v>
      </c>
    </row>
    <row r="158" spans="1:12" ht="13.15" customHeight="1">
      <c r="A158" s="171" t="s">
        <v>366</v>
      </c>
      <c r="B158" s="145">
        <v>25133</v>
      </c>
      <c r="C158" s="145">
        <v>22686111.239999998</v>
      </c>
      <c r="D158" s="145"/>
      <c r="E158" s="252">
        <v>10944</v>
      </c>
      <c r="F158" s="145">
        <v>836</v>
      </c>
      <c r="G158" s="145">
        <v>66513168.399999999</v>
      </c>
      <c r="H158" s="145">
        <v>11780</v>
      </c>
      <c r="I158" s="253"/>
      <c r="J158" s="208">
        <v>7356</v>
      </c>
      <c r="K158" s="208">
        <v>4085</v>
      </c>
      <c r="L158" s="208">
        <v>339</v>
      </c>
    </row>
    <row r="159" spans="1:12" ht="13.15" customHeight="1">
      <c r="A159" s="171" t="s">
        <v>370</v>
      </c>
      <c r="B159" s="145">
        <v>87139</v>
      </c>
      <c r="C159" s="145">
        <v>79155595.390000001</v>
      </c>
      <c r="D159" s="145"/>
      <c r="E159" s="252">
        <v>31129</v>
      </c>
      <c r="F159" s="145">
        <v>7539</v>
      </c>
      <c r="G159" s="145">
        <v>361652406.10000002</v>
      </c>
      <c r="H159" s="145">
        <v>38668</v>
      </c>
      <c r="I159" s="253"/>
      <c r="J159" s="208">
        <v>22382</v>
      </c>
      <c r="K159" s="208">
        <v>14506</v>
      </c>
      <c r="L159" s="208">
        <v>1780</v>
      </c>
    </row>
    <row r="160" spans="1:12" ht="21" customHeight="1">
      <c r="A160" s="171" t="s">
        <v>23</v>
      </c>
      <c r="B160" s="145">
        <v>429214</v>
      </c>
      <c r="C160" s="145">
        <v>388442499.37</v>
      </c>
      <c r="D160" s="145"/>
      <c r="E160" s="252">
        <v>166445</v>
      </c>
      <c r="F160" s="145">
        <v>33666</v>
      </c>
      <c r="G160" s="145">
        <v>1681764874.4100001</v>
      </c>
      <c r="H160" s="145">
        <v>200111</v>
      </c>
      <c r="I160" s="253"/>
      <c r="J160" s="208">
        <v>119308</v>
      </c>
      <c r="K160" s="208">
        <v>71625</v>
      </c>
      <c r="L160" s="208">
        <v>9178</v>
      </c>
    </row>
    <row r="161" spans="1:12" ht="13.15" customHeight="1">
      <c r="A161" s="171" t="s">
        <v>375</v>
      </c>
      <c r="B161" s="145">
        <v>21391</v>
      </c>
      <c r="C161" s="145">
        <v>19398058.199999999</v>
      </c>
      <c r="D161" s="145"/>
      <c r="E161" s="252">
        <v>9311</v>
      </c>
      <c r="F161" s="145">
        <v>641</v>
      </c>
      <c r="G161" s="145">
        <v>53106712.700000003</v>
      </c>
      <c r="H161" s="145">
        <v>9952</v>
      </c>
      <c r="I161" s="253"/>
      <c r="J161" s="208">
        <v>6436</v>
      </c>
      <c r="K161" s="208">
        <v>3256</v>
      </c>
      <c r="L161" s="208">
        <v>260</v>
      </c>
    </row>
    <row r="162" spans="1:12" ht="13.15" customHeight="1">
      <c r="A162" s="171" t="s">
        <v>378</v>
      </c>
      <c r="B162" s="145">
        <v>12810</v>
      </c>
      <c r="C162" s="145">
        <v>11411486.99</v>
      </c>
      <c r="D162" s="145"/>
      <c r="E162" s="252">
        <v>5279</v>
      </c>
      <c r="F162" s="145">
        <v>1051</v>
      </c>
      <c r="G162" s="145">
        <v>79067709.239999995</v>
      </c>
      <c r="H162" s="145">
        <v>6330</v>
      </c>
      <c r="I162" s="253"/>
      <c r="J162" s="208">
        <v>4052</v>
      </c>
      <c r="K162" s="208">
        <v>1969</v>
      </c>
      <c r="L162" s="208">
        <v>309</v>
      </c>
    </row>
    <row r="163" spans="1:12" ht="13.15" customHeight="1">
      <c r="A163" s="171" t="s">
        <v>381</v>
      </c>
      <c r="B163" s="145">
        <v>27698</v>
      </c>
      <c r="C163" s="145">
        <v>24988441.550000001</v>
      </c>
      <c r="D163" s="145"/>
      <c r="E163" s="252">
        <v>11881</v>
      </c>
      <c r="F163" s="145">
        <v>1467</v>
      </c>
      <c r="G163" s="145">
        <v>88695419.200000003</v>
      </c>
      <c r="H163" s="145">
        <v>13348</v>
      </c>
      <c r="I163" s="253"/>
      <c r="J163" s="208">
        <v>9094</v>
      </c>
      <c r="K163" s="208">
        <v>3878</v>
      </c>
      <c r="L163" s="208">
        <v>376</v>
      </c>
    </row>
    <row r="164" spans="1:12" ht="10.75" customHeight="1">
      <c r="A164" s="806"/>
      <c r="B164" s="807"/>
      <c r="C164" s="807"/>
      <c r="D164" s="276"/>
      <c r="E164" s="277"/>
      <c r="F164" s="807"/>
      <c r="G164" s="807"/>
      <c r="H164" s="807"/>
      <c r="I164" s="276"/>
      <c r="J164" s="808"/>
      <c r="K164" s="808"/>
      <c r="L164" s="805"/>
    </row>
    <row r="165" spans="1:12" ht="15" customHeight="1">
      <c r="A165" s="184" t="s">
        <v>24</v>
      </c>
      <c r="B165" s="257">
        <f>SUM(B126:B163)</f>
        <v>2333630</v>
      </c>
      <c r="C165" s="257">
        <f t="shared" ref="C165:L165" si="5">SUM(C126:C163)</f>
        <v>2115064169.47</v>
      </c>
      <c r="D165" s="279"/>
      <c r="E165" s="257">
        <f t="shared" si="5"/>
        <v>960985</v>
      </c>
      <c r="F165" s="257">
        <f t="shared" si="5"/>
        <v>165645</v>
      </c>
      <c r="G165" s="257">
        <f t="shared" si="5"/>
        <v>9439265592.1400013</v>
      </c>
      <c r="H165" s="257">
        <f t="shared" si="5"/>
        <v>1126630</v>
      </c>
      <c r="I165" s="273"/>
      <c r="J165" s="257">
        <f t="shared" si="5"/>
        <v>736524</v>
      </c>
      <c r="K165" s="257">
        <f t="shared" si="5"/>
        <v>343662</v>
      </c>
      <c r="L165" s="257">
        <f t="shared" si="5"/>
        <v>46444</v>
      </c>
    </row>
    <row r="166" spans="1:12" ht="15" customHeight="1">
      <c r="A166" s="182" t="s">
        <v>19</v>
      </c>
      <c r="B166" s="270">
        <f>B118</f>
        <v>6151894</v>
      </c>
      <c r="C166" s="280">
        <f>C118</f>
        <v>5577402454.6199999</v>
      </c>
      <c r="D166" s="271"/>
      <c r="E166" s="272">
        <f t="shared" ref="E166:K166" si="6">E118</f>
        <v>2167048</v>
      </c>
      <c r="F166" s="270">
        <f t="shared" si="6"/>
        <v>537911</v>
      </c>
      <c r="G166" s="183">
        <f t="shared" si="6"/>
        <v>25364249647.560005</v>
      </c>
      <c r="H166" s="270">
        <f t="shared" si="6"/>
        <v>2704959</v>
      </c>
      <c r="I166" s="273"/>
      <c r="J166" s="274">
        <f t="shared" si="6"/>
        <v>1498829</v>
      </c>
      <c r="K166" s="274">
        <f t="shared" si="6"/>
        <v>1117881</v>
      </c>
      <c r="L166" s="274">
        <f>L118</f>
        <v>88249</v>
      </c>
    </row>
    <row r="167" spans="1:12" ht="15" customHeight="1">
      <c r="A167" s="182" t="s">
        <v>591</v>
      </c>
      <c r="B167" s="270">
        <v>309378</v>
      </c>
      <c r="C167" s="280">
        <v>213503007.88999999</v>
      </c>
      <c r="D167" s="271"/>
      <c r="E167" s="272">
        <v>116569</v>
      </c>
      <c r="F167" s="270">
        <v>41665</v>
      </c>
      <c r="G167" s="183">
        <v>16418811635.58</v>
      </c>
      <c r="H167" s="270">
        <v>158234</v>
      </c>
      <c r="I167" s="273"/>
      <c r="J167" s="274">
        <v>86943</v>
      </c>
      <c r="K167" s="274">
        <v>44883</v>
      </c>
      <c r="L167" s="274">
        <v>26408</v>
      </c>
    </row>
    <row r="168" spans="1:12" ht="13.15" customHeight="1">
      <c r="A168" s="184"/>
      <c r="B168" s="257"/>
      <c r="C168" s="183"/>
      <c r="D168" s="279"/>
      <c r="E168" s="258"/>
      <c r="F168" s="257"/>
      <c r="G168" s="281"/>
      <c r="H168" s="270"/>
      <c r="I168" s="282"/>
      <c r="J168" s="283"/>
      <c r="K168" s="283"/>
      <c r="L168" s="208"/>
    </row>
    <row r="169" spans="1:12" ht="15" customHeight="1">
      <c r="A169" s="182" t="s">
        <v>25</v>
      </c>
      <c r="B169" s="270">
        <f>SUM(B165:B167)</f>
        <v>8794902</v>
      </c>
      <c r="C169" s="183">
        <f>SUM(C165:C167)</f>
        <v>7905969631.9800005</v>
      </c>
      <c r="D169" s="271"/>
      <c r="E169" s="270">
        <f>SUM(E165:E167)</f>
        <v>3244602</v>
      </c>
      <c r="F169" s="270">
        <f>SUM(F165:F167)</f>
        <v>745221</v>
      </c>
      <c r="G169" s="183">
        <f>SUM(G165:G167)</f>
        <v>51222326875.280006</v>
      </c>
      <c r="H169" s="270">
        <f>SUM(H165:H167)</f>
        <v>3989823</v>
      </c>
      <c r="I169" s="273"/>
      <c r="J169" s="274">
        <f>SUM(J165:J167)</f>
        <v>2322296</v>
      </c>
      <c r="K169" s="274">
        <f>SUM(K165:K167)</f>
        <v>1506426</v>
      </c>
      <c r="L169" s="274">
        <f>SUM(L165:L167)</f>
        <v>161101</v>
      </c>
    </row>
    <row r="170" spans="1:12" ht="13.15" customHeight="1">
      <c r="A170" s="171"/>
      <c r="B170" s="145"/>
      <c r="C170" s="171"/>
      <c r="D170" s="171"/>
      <c r="E170" s="145"/>
      <c r="F170" s="145"/>
      <c r="G170" s="171"/>
      <c r="H170" s="145"/>
      <c r="I170" s="145"/>
      <c r="J170" s="208"/>
      <c r="K170" s="208"/>
      <c r="L170" s="210"/>
    </row>
    <row r="171" spans="1:12" ht="13.15" customHeight="1">
      <c r="A171" s="173" t="s">
        <v>1</v>
      </c>
      <c r="B171" s="145"/>
      <c r="C171" s="145"/>
      <c r="D171" s="145"/>
      <c r="E171" s="171"/>
      <c r="F171" s="171"/>
      <c r="G171" s="171"/>
      <c r="H171" s="171"/>
      <c r="I171" s="171"/>
      <c r="J171" s="210"/>
      <c r="K171" s="210"/>
      <c r="L171" s="210"/>
    </row>
    <row r="172" spans="1:12" ht="14.25" customHeight="1">
      <c r="A172" s="173" t="s">
        <v>747</v>
      </c>
      <c r="B172" s="173"/>
      <c r="C172" s="173"/>
      <c r="D172" s="173"/>
      <c r="E172" s="173"/>
      <c r="F172" s="173"/>
      <c r="G172" s="173"/>
      <c r="H172" s="173"/>
      <c r="I172" s="173"/>
      <c r="J172" s="209"/>
      <c r="K172" s="209"/>
      <c r="L172" s="209"/>
    </row>
    <row r="173" spans="1:12">
      <c r="A173" s="173" t="s">
        <v>953</v>
      </c>
    </row>
  </sheetData>
  <mergeCells count="8">
    <mergeCell ref="B123:C123"/>
    <mergeCell ref="E123:H123"/>
    <mergeCell ref="B5:C5"/>
    <mergeCell ref="E5:H5"/>
    <mergeCell ref="B47:C47"/>
    <mergeCell ref="E47:H47"/>
    <mergeCell ref="B89:C89"/>
    <mergeCell ref="E89:H89"/>
  </mergeCells>
  <printOptions horizontalCentered="1"/>
  <pageMargins left="0.5" right="0.5" top="0.5" bottom="1" header="0.5" footer="0.5"/>
  <pageSetup scale="84" firstPageNumber="12" orientation="landscape" useFirstPageNumber="1" r:id="rId1"/>
  <headerFooter alignWithMargins="0"/>
  <rowBreaks count="3" manualBreakCount="3">
    <brk id="42" max="11" man="1"/>
    <brk id="84" max="11" man="1"/>
    <brk id="118" max="11"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I181"/>
  <sheetViews>
    <sheetView showOutlineSymbols="0" zoomScale="95" zoomScaleNormal="95" zoomScaleSheetLayoutView="90" workbookViewId="0"/>
  </sheetViews>
  <sheetFormatPr defaultColWidth="10.7265625" defaultRowHeight="15.5"/>
  <cols>
    <col min="1" max="1" width="18.26953125" style="180" customWidth="1"/>
    <col min="2" max="2" width="5.81640625" style="754" hidden="1" customWidth="1"/>
    <col min="3" max="3" width="19.1796875" style="147" customWidth="1"/>
    <col min="4" max="4" width="18.26953125" style="180" bestFit="1" customWidth="1"/>
    <col min="5" max="5" width="17.7265625" style="180" bestFit="1" customWidth="1"/>
    <col min="6" max="6" width="19.1796875" style="180" bestFit="1" customWidth="1"/>
    <col min="7" max="7" width="20" style="180" customWidth="1"/>
    <col min="8" max="8" width="17.81640625" style="180" customWidth="1"/>
    <col min="9" max="16384" width="10.7265625" style="180"/>
  </cols>
  <sheetData>
    <row r="1" spans="1:9" ht="16" customHeight="1">
      <c r="A1" s="1006" t="s">
        <v>598</v>
      </c>
      <c r="B1" s="969"/>
      <c r="D1" s="147"/>
      <c r="E1" s="147"/>
      <c r="F1" s="147"/>
      <c r="G1" s="147"/>
      <c r="H1" s="147"/>
      <c r="I1" s="811" t="s">
        <v>954</v>
      </c>
    </row>
    <row r="2" spans="1:9" ht="14.9" customHeight="1">
      <c r="A2" s="1007" t="s">
        <v>599</v>
      </c>
      <c r="B2" s="969"/>
      <c r="D2" s="147"/>
      <c r="E2" s="147"/>
      <c r="F2" s="147"/>
      <c r="G2" s="147"/>
      <c r="H2" s="147"/>
    </row>
    <row r="3" spans="1:9" ht="14" customHeight="1">
      <c r="A3" s="1008" t="s">
        <v>1283</v>
      </c>
      <c r="B3" s="969"/>
      <c r="D3" s="147"/>
      <c r="E3" s="147"/>
      <c r="F3" s="147"/>
      <c r="G3" s="147"/>
      <c r="H3" s="147"/>
    </row>
    <row r="4" spans="1:9" ht="3" customHeight="1">
      <c r="D4" s="147"/>
      <c r="E4" s="147"/>
      <c r="F4" s="147"/>
      <c r="G4" s="147"/>
      <c r="H4" s="147"/>
    </row>
    <row r="5" spans="1:9" ht="3" customHeight="1" thickBot="1">
      <c r="B5" s="970"/>
      <c r="C5" s="145"/>
      <c r="D5" s="145"/>
      <c r="E5" s="145"/>
      <c r="F5" s="145"/>
      <c r="G5" s="145"/>
      <c r="H5" s="145"/>
    </row>
    <row r="6" spans="1:9" ht="26">
      <c r="A6" s="961" t="s">
        <v>18</v>
      </c>
      <c r="B6" s="963" t="s">
        <v>910</v>
      </c>
      <c r="C6" s="962" t="s">
        <v>877</v>
      </c>
      <c r="D6" s="962" t="s">
        <v>1005</v>
      </c>
      <c r="E6" s="962" t="s">
        <v>1006</v>
      </c>
      <c r="F6" s="962" t="s">
        <v>1007</v>
      </c>
      <c r="G6" s="962" t="s">
        <v>1008</v>
      </c>
      <c r="H6" s="962" t="s">
        <v>878</v>
      </c>
    </row>
    <row r="7" spans="1:9" ht="24" customHeight="1">
      <c r="A7" s="147" t="s">
        <v>311</v>
      </c>
      <c r="B7" s="964" t="s">
        <v>1009</v>
      </c>
      <c r="C7" s="285">
        <v>707873279.91999996</v>
      </c>
      <c r="D7" s="285">
        <v>42092043.950000003</v>
      </c>
      <c r="E7" s="285">
        <v>26454442.149999999</v>
      </c>
      <c r="F7" s="285">
        <v>134073614.63</v>
      </c>
      <c r="G7" s="285">
        <v>505253179.19</v>
      </c>
      <c r="H7" s="285">
        <v>36809946.399999999</v>
      </c>
    </row>
    <row r="8" spans="1:9" ht="13.15" customHeight="1">
      <c r="A8" s="147" t="s">
        <v>315</v>
      </c>
      <c r="B8" s="964" t="s">
        <v>1010</v>
      </c>
      <c r="C8" s="147">
        <v>6013167083.9499998</v>
      </c>
      <c r="D8" s="147">
        <v>129393477.09</v>
      </c>
      <c r="E8" s="147">
        <v>84706975.719999999</v>
      </c>
      <c r="F8" s="147">
        <v>469101805.88999999</v>
      </c>
      <c r="G8" s="147">
        <v>5329964825.25</v>
      </c>
      <c r="H8" s="147">
        <v>331556723.82999998</v>
      </c>
    </row>
    <row r="9" spans="1:9" ht="13.15" customHeight="1">
      <c r="A9" s="147" t="s">
        <v>319</v>
      </c>
      <c r="B9" s="964" t="s">
        <v>1011</v>
      </c>
      <c r="C9" s="147">
        <v>273727927.57999998</v>
      </c>
      <c r="D9" s="147">
        <v>15375609.970000001</v>
      </c>
      <c r="E9" s="147">
        <v>9925357</v>
      </c>
      <c r="F9" s="147">
        <v>51882530.590000004</v>
      </c>
      <c r="G9" s="147">
        <v>196544430.02000001</v>
      </c>
      <c r="H9" s="147">
        <v>14177725.85</v>
      </c>
    </row>
    <row r="10" spans="1:9" ht="13.15" customHeight="1">
      <c r="A10" s="147" t="s">
        <v>323</v>
      </c>
      <c r="B10" s="964" t="s">
        <v>1012</v>
      </c>
      <c r="C10" s="147">
        <v>317208609.27999997</v>
      </c>
      <c r="D10" s="147">
        <v>14650640.470000001</v>
      </c>
      <c r="E10" s="147">
        <v>9541487</v>
      </c>
      <c r="F10" s="147">
        <v>51112227.359999999</v>
      </c>
      <c r="G10" s="147">
        <v>241904254.44999999</v>
      </c>
      <c r="H10" s="147">
        <v>16706352.43</v>
      </c>
    </row>
    <row r="11" spans="1:9" ht="13.15" customHeight="1">
      <c r="A11" s="147" t="s">
        <v>327</v>
      </c>
      <c r="B11" s="964" t="s">
        <v>1013</v>
      </c>
      <c r="C11" s="147">
        <v>572150074.11000001</v>
      </c>
      <c r="D11" s="147">
        <v>31666506</v>
      </c>
      <c r="E11" s="147">
        <v>20624717</v>
      </c>
      <c r="F11" s="147">
        <v>109889781.17</v>
      </c>
      <c r="G11" s="147">
        <v>409969069.94</v>
      </c>
      <c r="H11" s="147">
        <v>29594104.41</v>
      </c>
    </row>
    <row r="12" spans="1:9" ht="24" customHeight="1">
      <c r="A12" s="147" t="s">
        <v>331</v>
      </c>
      <c r="B12" s="964" t="s">
        <v>1014</v>
      </c>
      <c r="C12" s="147">
        <v>304800048.38</v>
      </c>
      <c r="D12" s="147">
        <v>16366591</v>
      </c>
      <c r="E12" s="147">
        <v>10674408.4</v>
      </c>
      <c r="F12" s="147">
        <v>56796041.689999998</v>
      </c>
      <c r="G12" s="147">
        <v>220963007.28999999</v>
      </c>
      <c r="H12" s="147">
        <v>15793837.27</v>
      </c>
    </row>
    <row r="13" spans="1:9" ht="13.15" customHeight="1">
      <c r="A13" s="147" t="s">
        <v>335</v>
      </c>
      <c r="B13" s="964" t="s">
        <v>1015</v>
      </c>
      <c r="C13" s="147">
        <v>17312150241.509998</v>
      </c>
      <c r="D13" s="147">
        <v>346327713.06</v>
      </c>
      <c r="E13" s="147">
        <v>227248734.44</v>
      </c>
      <c r="F13" s="147">
        <v>1288480937.23</v>
      </c>
      <c r="G13" s="147">
        <v>15450092856.780001</v>
      </c>
      <c r="H13" s="147">
        <v>960513376.03999996</v>
      </c>
    </row>
    <row r="14" spans="1:9" ht="13.15" customHeight="1">
      <c r="A14" s="147" t="s">
        <v>339</v>
      </c>
      <c r="B14" s="964" t="s">
        <v>1016</v>
      </c>
      <c r="C14" s="147">
        <v>1968519812.5899999</v>
      </c>
      <c r="D14" s="147">
        <v>85229483</v>
      </c>
      <c r="E14" s="147">
        <v>55834578.869999997</v>
      </c>
      <c r="F14" s="147">
        <v>303298914.91000003</v>
      </c>
      <c r="G14" s="147">
        <v>1524156835.8099999</v>
      </c>
      <c r="H14" s="147">
        <v>103945074.77</v>
      </c>
    </row>
    <row r="15" spans="1:9" ht="13.15" customHeight="1">
      <c r="A15" s="147" t="s">
        <v>343</v>
      </c>
      <c r="B15" s="964" t="s">
        <v>1017</v>
      </c>
      <c r="C15" s="147">
        <v>100143157.87</v>
      </c>
      <c r="D15" s="147">
        <v>5107472</v>
      </c>
      <c r="E15" s="147">
        <v>3291688</v>
      </c>
      <c r="F15" s="147">
        <v>17249457.940000001</v>
      </c>
      <c r="G15" s="147">
        <v>74494539.930000007</v>
      </c>
      <c r="H15" s="147">
        <v>5240194.58</v>
      </c>
    </row>
    <row r="16" spans="1:9" ht="13.15" customHeight="1">
      <c r="A16" s="147" t="s">
        <v>347</v>
      </c>
      <c r="B16" s="964" t="s">
        <v>1018</v>
      </c>
      <c r="C16" s="147">
        <v>2991832514.0100002</v>
      </c>
      <c r="D16" s="147">
        <v>84701835.609999999</v>
      </c>
      <c r="E16" s="147">
        <v>55450912.719999999</v>
      </c>
      <c r="F16" s="147">
        <v>301360385.73000002</v>
      </c>
      <c r="G16" s="147">
        <v>2550319379.9499998</v>
      </c>
      <c r="H16" s="147">
        <v>162724614.25999999</v>
      </c>
    </row>
    <row r="17" spans="1:8" ht="24" customHeight="1">
      <c r="A17" s="147" t="s">
        <v>351</v>
      </c>
      <c r="B17" s="964" t="s">
        <v>1019</v>
      </c>
      <c r="C17" s="147">
        <v>104695292.06999999</v>
      </c>
      <c r="D17" s="147">
        <v>5481663</v>
      </c>
      <c r="E17" s="147">
        <v>3556899</v>
      </c>
      <c r="F17" s="147">
        <v>19206881.199999999</v>
      </c>
      <c r="G17" s="147">
        <v>76449848.870000005</v>
      </c>
      <c r="H17" s="147">
        <v>5432037.0700000003</v>
      </c>
    </row>
    <row r="18" spans="1:8" ht="13.15" customHeight="1">
      <c r="A18" s="147" t="s">
        <v>355</v>
      </c>
      <c r="B18" s="964" t="s">
        <v>1020</v>
      </c>
      <c r="C18" s="147">
        <v>973376790.64999998</v>
      </c>
      <c r="D18" s="147">
        <v>35928040</v>
      </c>
      <c r="E18" s="147">
        <v>23597876</v>
      </c>
      <c r="F18" s="147">
        <v>129341381.25</v>
      </c>
      <c r="G18" s="147">
        <v>784509493.39999998</v>
      </c>
      <c r="H18" s="147">
        <v>51926547.649999999</v>
      </c>
    </row>
    <row r="19" spans="1:8" ht="13.15" customHeight="1">
      <c r="A19" s="147" t="s">
        <v>359</v>
      </c>
      <c r="B19" s="964" t="s">
        <v>1021</v>
      </c>
      <c r="C19" s="147">
        <v>225773776.12</v>
      </c>
      <c r="D19" s="147">
        <v>13879518.34</v>
      </c>
      <c r="E19" s="147">
        <v>8877775.1999999993</v>
      </c>
      <c r="F19" s="147">
        <v>45038929.560000002</v>
      </c>
      <c r="G19" s="147">
        <v>157977553.02000001</v>
      </c>
      <c r="H19" s="147">
        <v>11666814.869999999</v>
      </c>
    </row>
    <row r="20" spans="1:8" ht="13.15" customHeight="1">
      <c r="A20" s="147" t="s">
        <v>363</v>
      </c>
      <c r="B20" s="964" t="s">
        <v>1022</v>
      </c>
      <c r="C20" s="147">
        <v>243208151.30000001</v>
      </c>
      <c r="D20" s="147">
        <v>13606804.25</v>
      </c>
      <c r="E20" s="147">
        <v>8817707</v>
      </c>
      <c r="F20" s="147">
        <v>46119888.200000003</v>
      </c>
      <c r="G20" s="147">
        <v>174663751.84999999</v>
      </c>
      <c r="H20" s="147">
        <v>12610742.01</v>
      </c>
    </row>
    <row r="21" spans="1:8" ht="13.15" customHeight="1">
      <c r="A21" s="147" t="s">
        <v>367</v>
      </c>
      <c r="B21" s="964" t="s">
        <v>1023</v>
      </c>
      <c r="C21" s="147">
        <v>233405012.56999999</v>
      </c>
      <c r="D21" s="147">
        <v>14103597</v>
      </c>
      <c r="E21" s="147">
        <v>9209257</v>
      </c>
      <c r="F21" s="147">
        <v>48604270.399999999</v>
      </c>
      <c r="G21" s="147">
        <v>161487888.16999999</v>
      </c>
      <c r="H21" s="147">
        <v>12008365.220000001</v>
      </c>
    </row>
    <row r="22" spans="1:8" ht="24" customHeight="1">
      <c r="A22" s="147" t="s">
        <v>371</v>
      </c>
      <c r="B22" s="964" t="s">
        <v>1024</v>
      </c>
      <c r="C22" s="147">
        <v>1070287821.47</v>
      </c>
      <c r="D22" s="147">
        <v>56090579</v>
      </c>
      <c r="E22" s="147">
        <v>36471626.990000002</v>
      </c>
      <c r="F22" s="147">
        <v>194092833.90000001</v>
      </c>
      <c r="G22" s="147">
        <v>783632781.58000004</v>
      </c>
      <c r="H22" s="147">
        <v>55699405.590000004</v>
      </c>
    </row>
    <row r="23" spans="1:8" ht="13.15" customHeight="1">
      <c r="A23" s="147" t="s">
        <v>373</v>
      </c>
      <c r="B23" s="964" t="s">
        <v>1025</v>
      </c>
      <c r="C23" s="147">
        <v>721380226.87</v>
      </c>
      <c r="D23" s="147">
        <v>35423024.399999999</v>
      </c>
      <c r="E23" s="147">
        <v>23224488</v>
      </c>
      <c r="F23" s="147">
        <v>126040950.31999999</v>
      </c>
      <c r="G23" s="147">
        <v>536691764.14999998</v>
      </c>
      <c r="H23" s="147">
        <v>37839785.5</v>
      </c>
    </row>
    <row r="24" spans="1:8" ht="13.15" customHeight="1">
      <c r="A24" s="147" t="s">
        <v>376</v>
      </c>
      <c r="B24" s="964" t="s">
        <v>1026</v>
      </c>
      <c r="C24" s="147">
        <v>424491954.17000002</v>
      </c>
      <c r="D24" s="147">
        <v>26473066</v>
      </c>
      <c r="E24" s="147">
        <v>17181985</v>
      </c>
      <c r="F24" s="147">
        <v>89783942.890000001</v>
      </c>
      <c r="G24" s="147">
        <v>291052960.27999997</v>
      </c>
      <c r="H24" s="147">
        <v>21672744.140000001</v>
      </c>
    </row>
    <row r="25" spans="1:8" ht="13.15" customHeight="1">
      <c r="A25" s="147" t="s">
        <v>379</v>
      </c>
      <c r="B25" s="964" t="s">
        <v>1027</v>
      </c>
      <c r="C25" s="147">
        <v>225723091.86000001</v>
      </c>
      <c r="D25" s="147">
        <v>7969125</v>
      </c>
      <c r="E25" s="147">
        <v>5161888</v>
      </c>
      <c r="F25" s="147">
        <v>27714078.399999999</v>
      </c>
      <c r="G25" s="147">
        <v>184878000.46000001</v>
      </c>
      <c r="H25" s="147">
        <v>12175058.41</v>
      </c>
    </row>
    <row r="26" spans="1:8" ht="13.15" customHeight="1">
      <c r="A26" s="147" t="s">
        <v>382</v>
      </c>
      <c r="B26" s="964" t="s">
        <v>1028</v>
      </c>
      <c r="C26" s="147">
        <v>183650599.28</v>
      </c>
      <c r="D26" s="147">
        <v>10987238.74</v>
      </c>
      <c r="E26" s="147">
        <v>7082652.9000000004</v>
      </c>
      <c r="F26" s="147">
        <v>36682900.950000003</v>
      </c>
      <c r="G26" s="147">
        <v>128897806.69</v>
      </c>
      <c r="H26" s="147">
        <v>9470090.5600000005</v>
      </c>
    </row>
    <row r="27" spans="1:8" ht="24" customHeight="1">
      <c r="A27" s="147" t="s">
        <v>384</v>
      </c>
      <c r="B27" s="964" t="s">
        <v>1029</v>
      </c>
      <c r="C27" s="147">
        <v>12470252743.99</v>
      </c>
      <c r="D27" s="147">
        <v>424370440.48000002</v>
      </c>
      <c r="E27" s="147">
        <v>277738826.38</v>
      </c>
      <c r="F27" s="147">
        <v>1522790593.3299999</v>
      </c>
      <c r="G27" s="147">
        <v>10245352883.799999</v>
      </c>
      <c r="H27" s="147">
        <v>671657820.21000004</v>
      </c>
    </row>
    <row r="28" spans="1:8" ht="13.15" customHeight="1">
      <c r="A28" s="147" t="s">
        <v>387</v>
      </c>
      <c r="B28" s="964" t="s">
        <v>1030</v>
      </c>
      <c r="C28" s="147">
        <v>653460467.91999996</v>
      </c>
      <c r="D28" s="147">
        <v>18248093</v>
      </c>
      <c r="E28" s="147">
        <v>11952594.359999999</v>
      </c>
      <c r="F28" s="147">
        <v>66275247.600000001</v>
      </c>
      <c r="G28" s="147">
        <v>556984532.96000004</v>
      </c>
      <c r="H28" s="147">
        <v>35589495.649999999</v>
      </c>
    </row>
    <row r="29" spans="1:8" ht="13.15" customHeight="1">
      <c r="A29" s="147" t="s">
        <v>389</v>
      </c>
      <c r="B29" s="964" t="s">
        <v>1031</v>
      </c>
      <c r="C29" s="147">
        <v>93192860.439999998</v>
      </c>
      <c r="D29" s="147">
        <v>5089728</v>
      </c>
      <c r="E29" s="147">
        <v>3321268</v>
      </c>
      <c r="F29" s="147">
        <v>17766240.510000002</v>
      </c>
      <c r="G29" s="147">
        <v>67015623.93</v>
      </c>
      <c r="H29" s="147">
        <v>4814072.43</v>
      </c>
    </row>
    <row r="30" spans="1:8" ht="13.15" customHeight="1">
      <c r="A30" s="147" t="s">
        <v>392</v>
      </c>
      <c r="B30" s="964" t="s">
        <v>1032</v>
      </c>
      <c r="C30" s="147">
        <v>1496117968.48</v>
      </c>
      <c r="D30" s="147">
        <v>57881616.43</v>
      </c>
      <c r="E30" s="147">
        <v>37847393.329999998</v>
      </c>
      <c r="F30" s="147">
        <v>205917221.02000001</v>
      </c>
      <c r="G30" s="147">
        <v>1194471737.7</v>
      </c>
      <c r="H30" s="147">
        <v>79912520.209999993</v>
      </c>
    </row>
    <row r="31" spans="1:8" ht="13.15" customHeight="1">
      <c r="A31" s="147" t="s">
        <v>395</v>
      </c>
      <c r="B31" s="964" t="s">
        <v>1033</v>
      </c>
      <c r="C31" s="147">
        <v>163935393.47999999</v>
      </c>
      <c r="D31" s="147">
        <v>9580064</v>
      </c>
      <c r="E31" s="147">
        <v>6232505</v>
      </c>
      <c r="F31" s="147">
        <v>32966203.199999999</v>
      </c>
      <c r="G31" s="147">
        <v>115156621.28</v>
      </c>
      <c r="H31" s="147">
        <v>8470920.6199999992</v>
      </c>
    </row>
    <row r="32" spans="1:8" ht="24" customHeight="1">
      <c r="A32" s="147" t="s">
        <v>398</v>
      </c>
      <c r="B32" s="964" t="s">
        <v>1034</v>
      </c>
      <c r="C32" s="147">
        <v>163082360.34999999</v>
      </c>
      <c r="D32" s="147">
        <v>9970506.9100000001</v>
      </c>
      <c r="E32" s="147">
        <v>6467301</v>
      </c>
      <c r="F32" s="147">
        <v>33616596.310000002</v>
      </c>
      <c r="G32" s="147">
        <v>113027956.13</v>
      </c>
      <c r="H32" s="147">
        <v>8347227.3099999996</v>
      </c>
    </row>
    <row r="33" spans="1:8" ht="13.15" customHeight="1">
      <c r="A33" s="147" t="s">
        <v>401</v>
      </c>
      <c r="B33" s="964" t="s">
        <v>1035</v>
      </c>
      <c r="C33" s="147">
        <v>588687706.63</v>
      </c>
      <c r="D33" s="147">
        <v>29678594</v>
      </c>
      <c r="E33" s="147">
        <v>19378546</v>
      </c>
      <c r="F33" s="147">
        <v>103182865.98999999</v>
      </c>
      <c r="G33" s="147">
        <v>436447700.63999999</v>
      </c>
      <c r="H33" s="147">
        <v>30862797.280000001</v>
      </c>
    </row>
    <row r="34" spans="1:8" ht="13.15" customHeight="1">
      <c r="A34" s="147" t="s">
        <v>404</v>
      </c>
      <c r="B34" s="964" t="s">
        <v>1036</v>
      </c>
      <c r="C34" s="147">
        <v>245645444.77000001</v>
      </c>
      <c r="D34" s="147">
        <v>11820055</v>
      </c>
      <c r="E34" s="147">
        <v>7702695</v>
      </c>
      <c r="F34" s="147">
        <v>40591945.200000003</v>
      </c>
      <c r="G34" s="147">
        <v>185530749.56999999</v>
      </c>
      <c r="H34" s="147">
        <v>12962849.76</v>
      </c>
    </row>
    <row r="35" spans="1:8" ht="13.15" customHeight="1">
      <c r="A35" s="147" t="s">
        <v>407</v>
      </c>
      <c r="B35" s="964" t="s">
        <v>1037</v>
      </c>
      <c r="C35" s="147">
        <v>71783100380.009995</v>
      </c>
      <c r="D35" s="147">
        <v>1379931213.96</v>
      </c>
      <c r="E35" s="147">
        <v>905076498.25</v>
      </c>
      <c r="F35" s="147">
        <v>5063083724.9300003</v>
      </c>
      <c r="G35" s="147">
        <v>64435008942.870003</v>
      </c>
      <c r="H35" s="147">
        <v>3976736542.79</v>
      </c>
    </row>
    <row r="36" spans="1:8" ht="13.15" customHeight="1">
      <c r="A36" s="147" t="s">
        <v>410</v>
      </c>
      <c r="B36" s="964" t="s">
        <v>1038</v>
      </c>
      <c r="C36" s="147">
        <v>3651417034.2600002</v>
      </c>
      <c r="D36" s="147">
        <v>87717147.400000006</v>
      </c>
      <c r="E36" s="147">
        <v>57590589.399999999</v>
      </c>
      <c r="F36" s="147">
        <v>320042495.06999999</v>
      </c>
      <c r="G36" s="147">
        <v>3186066802.3899999</v>
      </c>
      <c r="H36" s="147">
        <v>200285705.66</v>
      </c>
    </row>
    <row r="37" spans="1:8" ht="24" customHeight="1">
      <c r="A37" s="147" t="s">
        <v>413</v>
      </c>
      <c r="B37" s="964" t="s">
        <v>1039</v>
      </c>
      <c r="C37" s="147">
        <v>346997335.19999999</v>
      </c>
      <c r="D37" s="147">
        <v>15077545</v>
      </c>
      <c r="E37" s="147">
        <v>9837579</v>
      </c>
      <c r="F37" s="147">
        <v>52600533.600000001</v>
      </c>
      <c r="G37" s="147">
        <v>269481677.60000002</v>
      </c>
      <c r="H37" s="147">
        <v>18323394.739999998</v>
      </c>
    </row>
    <row r="38" spans="1:8" ht="13.15" customHeight="1">
      <c r="A38" s="147" t="s">
        <v>415</v>
      </c>
      <c r="B38" s="964" t="s">
        <v>1040</v>
      </c>
      <c r="C38" s="147">
        <v>708787987.96000004</v>
      </c>
      <c r="D38" s="147">
        <v>30353292</v>
      </c>
      <c r="E38" s="147">
        <v>19887397.199999999</v>
      </c>
      <c r="F38" s="147">
        <v>108863990.40000001</v>
      </c>
      <c r="G38" s="147">
        <v>549683308.36000001</v>
      </c>
      <c r="H38" s="147">
        <v>37466946.549999997</v>
      </c>
    </row>
    <row r="39" spans="1:8" ht="13.15" customHeight="1">
      <c r="A39" s="147" t="s">
        <v>418</v>
      </c>
      <c r="B39" s="964" t="s">
        <v>1041</v>
      </c>
      <c r="C39" s="147">
        <v>1244685664.01</v>
      </c>
      <c r="D39" s="147">
        <v>53832978</v>
      </c>
      <c r="E39" s="147">
        <v>35158612.740000002</v>
      </c>
      <c r="F39" s="147">
        <v>188372429.80000001</v>
      </c>
      <c r="G39" s="147">
        <v>967321643.47000003</v>
      </c>
      <c r="H39" s="147">
        <v>65843504.079999998</v>
      </c>
    </row>
    <row r="40" spans="1:8" ht="13.15" customHeight="1">
      <c r="A40" s="147" t="s">
        <v>420</v>
      </c>
      <c r="B40" s="964" t="s">
        <v>1042</v>
      </c>
      <c r="C40" s="147">
        <v>2983427653.7800002</v>
      </c>
      <c r="D40" s="147">
        <v>111484507.78</v>
      </c>
      <c r="E40" s="147">
        <v>72988889.219999999</v>
      </c>
      <c r="F40" s="147">
        <v>400599177.92000002</v>
      </c>
      <c r="G40" s="147">
        <v>2398355078.8600001</v>
      </c>
      <c r="H40" s="147">
        <v>159596976.12</v>
      </c>
    </row>
    <row r="41" spans="1:8" ht="13.15" customHeight="1">
      <c r="A41" s="147" t="s">
        <v>423</v>
      </c>
      <c r="B41" s="964" t="s">
        <v>1043</v>
      </c>
      <c r="C41" s="147">
        <v>315165268.70999998</v>
      </c>
      <c r="D41" s="147">
        <v>16621231</v>
      </c>
      <c r="E41" s="147">
        <v>10889574</v>
      </c>
      <c r="F41" s="147">
        <v>58512157.170000002</v>
      </c>
      <c r="G41" s="147">
        <v>229142306.53999999</v>
      </c>
      <c r="H41" s="147">
        <v>16360052.77</v>
      </c>
    </row>
    <row r="42" spans="1:8" ht="16" customHeight="1">
      <c r="A42" s="1006" t="s">
        <v>600</v>
      </c>
      <c r="B42" s="969"/>
      <c r="D42" s="147"/>
      <c r="E42" s="147"/>
      <c r="F42" s="147"/>
      <c r="G42" s="147"/>
      <c r="H42" s="147"/>
    </row>
    <row r="43" spans="1:8" ht="14.9" customHeight="1">
      <c r="A43" s="1007" t="s">
        <v>599</v>
      </c>
      <c r="B43" s="969"/>
      <c r="D43" s="147"/>
      <c r="E43" s="147"/>
      <c r="F43" s="147"/>
      <c r="G43" s="147"/>
      <c r="H43" s="147"/>
    </row>
    <row r="44" spans="1:8" ht="14" customHeight="1">
      <c r="A44" s="1008" t="str">
        <f>A3</f>
        <v>Taxable Year 2022</v>
      </c>
      <c r="B44" s="969"/>
      <c r="D44" s="147"/>
      <c r="E44" s="147"/>
      <c r="F44" s="147"/>
      <c r="G44" s="147"/>
      <c r="H44" s="147"/>
    </row>
    <row r="45" spans="1:8" ht="3" customHeight="1">
      <c r="D45" s="147"/>
      <c r="E45" s="147"/>
      <c r="F45" s="147"/>
      <c r="G45" s="147"/>
      <c r="H45" s="147"/>
    </row>
    <row r="46" spans="1:8" ht="3" customHeight="1" thickBot="1">
      <c r="B46" s="970"/>
      <c r="C46" s="145"/>
      <c r="D46" s="145"/>
      <c r="E46" s="145"/>
      <c r="F46" s="145"/>
      <c r="G46" s="145"/>
      <c r="H46" s="145"/>
    </row>
    <row r="47" spans="1:8" ht="26">
      <c r="A47" s="961" t="s">
        <v>18</v>
      </c>
      <c r="B47" s="963" t="s">
        <v>910</v>
      </c>
      <c r="C47" s="962" t="s">
        <v>877</v>
      </c>
      <c r="D47" s="962" t="s">
        <v>1005</v>
      </c>
      <c r="E47" s="962" t="s">
        <v>1006</v>
      </c>
      <c r="F47" s="962" t="s">
        <v>1007</v>
      </c>
      <c r="G47" s="962" t="s">
        <v>1008</v>
      </c>
      <c r="H47" s="962" t="s">
        <v>878</v>
      </c>
    </row>
    <row r="48" spans="1:8" ht="24" customHeight="1">
      <c r="A48" s="147" t="s">
        <v>426</v>
      </c>
      <c r="B48" s="964" t="s">
        <v>1044</v>
      </c>
      <c r="C48" s="521">
        <v>969305112.92999995</v>
      </c>
      <c r="D48" s="521">
        <v>43145316</v>
      </c>
      <c r="E48" s="521">
        <v>28196997</v>
      </c>
      <c r="F48" s="521">
        <v>152623934.71000001</v>
      </c>
      <c r="G48" s="521">
        <v>745338865.22000003</v>
      </c>
      <c r="H48" s="521">
        <v>51143978.009999998</v>
      </c>
    </row>
    <row r="49" spans="1:8" ht="13.15" customHeight="1">
      <c r="A49" s="147" t="s">
        <v>428</v>
      </c>
      <c r="B49" s="964" t="s">
        <v>1045</v>
      </c>
      <c r="C49" s="147">
        <v>1890146655.1900001</v>
      </c>
      <c r="D49" s="147">
        <v>31603452</v>
      </c>
      <c r="E49" s="147">
        <v>20811389</v>
      </c>
      <c r="F49" s="147">
        <v>116895963.19</v>
      </c>
      <c r="G49" s="147">
        <v>1720835851</v>
      </c>
      <c r="H49" s="147">
        <v>105023657.87</v>
      </c>
    </row>
    <row r="50" spans="1:8" ht="13.15" customHeight="1">
      <c r="A50" s="147" t="s">
        <v>430</v>
      </c>
      <c r="B50" s="964" t="s">
        <v>1046</v>
      </c>
      <c r="C50" s="147">
        <v>212915947.68000001</v>
      </c>
      <c r="D50" s="147">
        <v>13670910.800000001</v>
      </c>
      <c r="E50" s="147">
        <v>8828520.5500000007</v>
      </c>
      <c r="F50" s="147">
        <v>45938661.759999998</v>
      </c>
      <c r="G50" s="147">
        <v>144477854.56999999</v>
      </c>
      <c r="H50" s="147">
        <v>10844097.279999999</v>
      </c>
    </row>
    <row r="51" spans="1:8" ht="13.15" customHeight="1">
      <c r="A51" s="147" t="s">
        <v>433</v>
      </c>
      <c r="B51" s="964" t="s">
        <v>1047</v>
      </c>
      <c r="C51" s="147">
        <v>487875754.42000002</v>
      </c>
      <c r="D51" s="147">
        <v>22479642</v>
      </c>
      <c r="E51" s="147">
        <v>14713578</v>
      </c>
      <c r="F51" s="147">
        <v>80304057.950000003</v>
      </c>
      <c r="G51" s="147">
        <v>370378476.47000003</v>
      </c>
      <c r="H51" s="147">
        <v>25646831.100000001</v>
      </c>
    </row>
    <row r="52" spans="1:8" ht="13.15" customHeight="1">
      <c r="A52" s="147" t="s">
        <v>436</v>
      </c>
      <c r="B52" s="964" t="s">
        <v>1048</v>
      </c>
      <c r="C52" s="147">
        <v>166032500.72999999</v>
      </c>
      <c r="D52" s="147">
        <v>10752214.66</v>
      </c>
      <c r="E52" s="147">
        <v>6837953</v>
      </c>
      <c r="F52" s="147">
        <v>34305429.630000003</v>
      </c>
      <c r="G52" s="147">
        <v>114136903.44</v>
      </c>
      <c r="H52" s="147">
        <v>8573534.4499999993</v>
      </c>
    </row>
    <row r="53" spans="1:8" ht="24" customHeight="1">
      <c r="A53" s="147" t="s">
        <v>312</v>
      </c>
      <c r="B53" s="964" t="s">
        <v>1049</v>
      </c>
      <c r="C53" s="147">
        <v>592159962.09000003</v>
      </c>
      <c r="D53" s="147">
        <v>33206983.600000001</v>
      </c>
      <c r="E53" s="147">
        <v>21368604.02</v>
      </c>
      <c r="F53" s="147">
        <v>111085124.18000001</v>
      </c>
      <c r="G53" s="147">
        <v>426499250.29000002</v>
      </c>
      <c r="H53" s="147">
        <v>30822626.649999999</v>
      </c>
    </row>
    <row r="54" spans="1:8" ht="13.15" customHeight="1">
      <c r="A54" s="147" t="s">
        <v>316</v>
      </c>
      <c r="B54" s="964" t="s">
        <v>1050</v>
      </c>
      <c r="C54" s="147">
        <v>4538675973.3299999</v>
      </c>
      <c r="D54" s="147">
        <v>130970192.83</v>
      </c>
      <c r="E54" s="147">
        <v>85932234.810000002</v>
      </c>
      <c r="F54" s="147">
        <v>477461579.44</v>
      </c>
      <c r="G54" s="147">
        <v>3844311966.25</v>
      </c>
      <c r="H54" s="147">
        <v>246122180.36000001</v>
      </c>
    </row>
    <row r="55" spans="1:8" ht="13.15" customHeight="1">
      <c r="A55" s="147" t="s">
        <v>320</v>
      </c>
      <c r="B55" s="964" t="s">
        <v>1051</v>
      </c>
      <c r="C55" s="147">
        <v>12171141074.68</v>
      </c>
      <c r="D55" s="147">
        <v>388072802.74000001</v>
      </c>
      <c r="E55" s="147">
        <v>253450392.71000001</v>
      </c>
      <c r="F55" s="147">
        <v>1382102466.1300001</v>
      </c>
      <c r="G55" s="147">
        <v>10147515413.1</v>
      </c>
      <c r="H55" s="147">
        <v>659810895.12</v>
      </c>
    </row>
    <row r="56" spans="1:8" ht="13.15" customHeight="1">
      <c r="A56" s="147" t="s">
        <v>324</v>
      </c>
      <c r="B56" s="964" t="s">
        <v>1052</v>
      </c>
      <c r="C56" s="147">
        <v>763170357.63999999</v>
      </c>
      <c r="D56" s="147">
        <v>49333812</v>
      </c>
      <c r="E56" s="147">
        <v>31952923</v>
      </c>
      <c r="F56" s="147">
        <v>166061459.77000001</v>
      </c>
      <c r="G56" s="147">
        <v>515822162.87</v>
      </c>
      <c r="H56" s="147">
        <v>39036518.329999998</v>
      </c>
    </row>
    <row r="57" spans="1:8" ht="13.15" customHeight="1">
      <c r="A57" s="147" t="s">
        <v>328</v>
      </c>
      <c r="B57" s="964" t="s">
        <v>1053</v>
      </c>
      <c r="C57" s="147">
        <v>40735616.140000001</v>
      </c>
      <c r="D57" s="147">
        <v>2147494.48</v>
      </c>
      <c r="E57" s="147">
        <v>1385760</v>
      </c>
      <c r="F57" s="147">
        <v>7250827.1699999999</v>
      </c>
      <c r="G57" s="147">
        <v>29951534.489999998</v>
      </c>
      <c r="H57" s="147">
        <v>2118269.5</v>
      </c>
    </row>
    <row r="58" spans="1:8" ht="24" customHeight="1">
      <c r="A58" s="147" t="s">
        <v>332</v>
      </c>
      <c r="B58" s="964" t="s">
        <v>1054</v>
      </c>
      <c r="C58" s="147">
        <v>1179561291.96</v>
      </c>
      <c r="D58" s="147">
        <v>43386168.719999999</v>
      </c>
      <c r="E58" s="147">
        <v>28427312.280000001</v>
      </c>
      <c r="F58" s="147">
        <v>155773882.53999999</v>
      </c>
      <c r="G58" s="147">
        <v>951973928.41999996</v>
      </c>
      <c r="H58" s="147">
        <v>63115661.890000001</v>
      </c>
    </row>
    <row r="59" spans="1:8" ht="13.15" customHeight="1">
      <c r="A59" s="147" t="s">
        <v>336</v>
      </c>
      <c r="B59" s="964" t="s">
        <v>1055</v>
      </c>
      <c r="C59" s="147">
        <v>3222623958.5999999</v>
      </c>
      <c r="D59" s="147">
        <v>93340795.540000007</v>
      </c>
      <c r="E59" s="147">
        <v>61139113.799999997</v>
      </c>
      <c r="F59" s="147">
        <v>335739135.10000002</v>
      </c>
      <c r="G59" s="147">
        <v>2732404914.1599998</v>
      </c>
      <c r="H59" s="147">
        <v>174926458.87</v>
      </c>
    </row>
    <row r="60" spans="1:8" ht="13.15" customHeight="1">
      <c r="A60" s="147" t="s">
        <v>340</v>
      </c>
      <c r="B60" s="964" t="s">
        <v>1056</v>
      </c>
      <c r="C60" s="147">
        <v>158143696.33000001</v>
      </c>
      <c r="D60" s="147">
        <v>7507815.6699999999</v>
      </c>
      <c r="E60" s="147">
        <v>4890938.2</v>
      </c>
      <c r="F60" s="147">
        <v>26275611.199999999</v>
      </c>
      <c r="G60" s="147">
        <v>119469331.26000001</v>
      </c>
      <c r="H60" s="147">
        <v>8341420.8399999999</v>
      </c>
    </row>
    <row r="61" spans="1:8" ht="13.15" customHeight="1">
      <c r="A61" s="147" t="s">
        <v>344</v>
      </c>
      <c r="B61" s="964" t="s">
        <v>1057</v>
      </c>
      <c r="C61" s="147">
        <v>896527048.25999999</v>
      </c>
      <c r="D61" s="147">
        <v>31806412.969999999</v>
      </c>
      <c r="E61" s="147">
        <v>20811986</v>
      </c>
      <c r="F61" s="147">
        <v>114824612.11</v>
      </c>
      <c r="G61" s="147">
        <v>729084037.17999995</v>
      </c>
      <c r="H61" s="147">
        <v>48138162.75</v>
      </c>
    </row>
    <row r="62" spans="1:8" ht="13.15" customHeight="1">
      <c r="A62" s="147" t="s">
        <v>348</v>
      </c>
      <c r="B62" s="964" t="s">
        <v>1058</v>
      </c>
      <c r="C62" s="147">
        <v>475294293.32999998</v>
      </c>
      <c r="D62" s="147">
        <v>21632723</v>
      </c>
      <c r="E62" s="147">
        <v>14172317</v>
      </c>
      <c r="F62" s="147">
        <v>78191461.549999997</v>
      </c>
      <c r="G62" s="147">
        <v>361297791.77999997</v>
      </c>
      <c r="H62" s="147">
        <v>24993953.800000001</v>
      </c>
    </row>
    <row r="63" spans="1:8" ht="24" customHeight="1">
      <c r="A63" s="147" t="s">
        <v>352</v>
      </c>
      <c r="B63" s="964" t="s">
        <v>1059</v>
      </c>
      <c r="C63" s="147">
        <v>382528460.41000003</v>
      </c>
      <c r="D63" s="147">
        <v>12443086</v>
      </c>
      <c r="E63" s="147">
        <v>8075097</v>
      </c>
      <c r="F63" s="147">
        <v>43163687.600000001</v>
      </c>
      <c r="G63" s="147">
        <v>318846589.81</v>
      </c>
      <c r="H63" s="147">
        <v>20709157.91</v>
      </c>
    </row>
    <row r="64" spans="1:8" ht="13.15" customHeight="1">
      <c r="A64" s="147" t="s">
        <v>356</v>
      </c>
      <c r="B64" s="964" t="s">
        <v>1060</v>
      </c>
      <c r="C64" s="147">
        <v>233657146.41</v>
      </c>
      <c r="D64" s="147">
        <v>16165363</v>
      </c>
      <c r="E64" s="147">
        <v>10458231.970000001</v>
      </c>
      <c r="F64" s="147">
        <v>53556752.340000004</v>
      </c>
      <c r="G64" s="147">
        <v>153476799.09999999</v>
      </c>
      <c r="H64" s="147">
        <v>11805000.68</v>
      </c>
    </row>
    <row r="65" spans="1:8" ht="13.15" customHeight="1">
      <c r="A65" s="147" t="s">
        <v>360</v>
      </c>
      <c r="B65" s="964" t="s">
        <v>1061</v>
      </c>
      <c r="C65" s="147">
        <v>25817921831.650002</v>
      </c>
      <c r="D65" s="147">
        <v>508271759.38999999</v>
      </c>
      <c r="E65" s="147">
        <v>334274058.50999999</v>
      </c>
      <c r="F65" s="147">
        <v>1889523522.54</v>
      </c>
      <c r="G65" s="147">
        <v>23085852491.209999</v>
      </c>
      <c r="H65" s="147">
        <v>1426163142.25</v>
      </c>
    </row>
    <row r="66" spans="1:8" ht="13.15" customHeight="1">
      <c r="A66" s="147" t="s">
        <v>364</v>
      </c>
      <c r="B66" s="964" t="s">
        <v>1062</v>
      </c>
      <c r="C66" s="147">
        <v>1067678804.17</v>
      </c>
      <c r="D66" s="147">
        <v>43487162.399999999</v>
      </c>
      <c r="E66" s="147">
        <v>28492740.82</v>
      </c>
      <c r="F66" s="147">
        <v>155624943.11000001</v>
      </c>
      <c r="G66" s="147">
        <v>840073957.84000003</v>
      </c>
      <c r="H66" s="147">
        <v>56740292.829999998</v>
      </c>
    </row>
    <row r="67" spans="1:8" ht="13.15" customHeight="1">
      <c r="A67" s="147" t="s">
        <v>368</v>
      </c>
      <c r="B67" s="964" t="s">
        <v>1063</v>
      </c>
      <c r="C67" s="147">
        <v>161329515.81</v>
      </c>
      <c r="D67" s="147">
        <v>9978604</v>
      </c>
      <c r="E67" s="147">
        <v>6466788</v>
      </c>
      <c r="F67" s="147">
        <v>33581188.380000003</v>
      </c>
      <c r="G67" s="147">
        <v>111302935.43000001</v>
      </c>
      <c r="H67" s="147">
        <v>8307818.5800000001</v>
      </c>
    </row>
    <row r="68" spans="1:8" ht="24" customHeight="1">
      <c r="A68" s="147" t="s">
        <v>372</v>
      </c>
      <c r="B68" s="964" t="s">
        <v>1064</v>
      </c>
      <c r="C68" s="147">
        <v>404500865.19</v>
      </c>
      <c r="D68" s="147">
        <v>14279424</v>
      </c>
      <c r="E68" s="147">
        <v>9336493.5500000007</v>
      </c>
      <c r="F68" s="147">
        <v>50690157.759999998</v>
      </c>
      <c r="G68" s="147">
        <v>330194789.88</v>
      </c>
      <c r="H68" s="147">
        <v>21736568.23</v>
      </c>
    </row>
    <row r="69" spans="1:8" ht="13.15" customHeight="1">
      <c r="A69" s="147" t="s">
        <v>374</v>
      </c>
      <c r="B69" s="964" t="s">
        <v>1065</v>
      </c>
      <c r="C69" s="147">
        <v>236619084.94</v>
      </c>
      <c r="D69" s="147">
        <v>9632081.8000000007</v>
      </c>
      <c r="E69" s="147">
        <v>6300488</v>
      </c>
      <c r="F69" s="147">
        <v>33774980</v>
      </c>
      <c r="G69" s="147">
        <v>186911535.13999999</v>
      </c>
      <c r="H69" s="147">
        <v>12572093.66</v>
      </c>
    </row>
    <row r="70" spans="1:8" ht="13.15" customHeight="1">
      <c r="A70" s="147" t="s">
        <v>377</v>
      </c>
      <c r="B70" s="964" t="s">
        <v>1066</v>
      </c>
      <c r="C70" s="147">
        <v>605810825.70000005</v>
      </c>
      <c r="D70" s="147">
        <v>31777903.460000001</v>
      </c>
      <c r="E70" s="147">
        <v>20506867.940000001</v>
      </c>
      <c r="F70" s="147">
        <v>106393221.63</v>
      </c>
      <c r="G70" s="147">
        <v>447132832.67000002</v>
      </c>
      <c r="H70" s="147">
        <v>31717452.149999999</v>
      </c>
    </row>
    <row r="71" spans="1:8" ht="13.15" customHeight="1">
      <c r="A71" s="147" t="s">
        <v>380</v>
      </c>
      <c r="B71" s="964" t="s">
        <v>1067</v>
      </c>
      <c r="C71" s="147">
        <v>289070708.86000001</v>
      </c>
      <c r="D71" s="147">
        <v>11495977</v>
      </c>
      <c r="E71" s="147">
        <v>7486915.8399999999</v>
      </c>
      <c r="F71" s="147">
        <v>39803892.390000001</v>
      </c>
      <c r="G71" s="147">
        <v>230283923.63</v>
      </c>
      <c r="H71" s="147">
        <v>15408514.42</v>
      </c>
    </row>
    <row r="72" spans="1:8" ht="13.15" customHeight="1">
      <c r="A72" s="147" t="s">
        <v>383</v>
      </c>
      <c r="B72" s="964" t="s">
        <v>1068</v>
      </c>
      <c r="C72" s="147">
        <v>2455153978.54</v>
      </c>
      <c r="D72" s="147">
        <v>89901165.810000002</v>
      </c>
      <c r="E72" s="147">
        <v>58454582.090000004</v>
      </c>
      <c r="F72" s="147">
        <v>314705402.52999997</v>
      </c>
      <c r="G72" s="147">
        <v>1992092828.1099999</v>
      </c>
      <c r="H72" s="147">
        <v>131766717.65000001</v>
      </c>
    </row>
    <row r="73" spans="1:8" ht="24" customHeight="1">
      <c r="A73" s="147" t="s">
        <v>385</v>
      </c>
      <c r="B73" s="964" t="s">
        <v>1069</v>
      </c>
      <c r="C73" s="519">
        <v>395692077.29000002</v>
      </c>
      <c r="D73" s="519">
        <v>16370042</v>
      </c>
      <c r="E73" s="519">
        <v>10679695</v>
      </c>
      <c r="F73" s="519">
        <v>57559120.859999999</v>
      </c>
      <c r="G73" s="519">
        <v>311083219.43000001</v>
      </c>
      <c r="H73" s="519">
        <v>21014864.239999998</v>
      </c>
    </row>
    <row r="74" spans="1:8" ht="13.15" customHeight="1">
      <c r="A74" s="147" t="s">
        <v>388</v>
      </c>
      <c r="B74" s="964" t="s">
        <v>1070</v>
      </c>
      <c r="C74" s="519">
        <v>896500505.13999999</v>
      </c>
      <c r="D74" s="519">
        <v>29752607</v>
      </c>
      <c r="E74" s="519">
        <v>19485600</v>
      </c>
      <c r="F74" s="519">
        <v>108311852</v>
      </c>
      <c r="G74" s="519">
        <v>738950446.13999999</v>
      </c>
      <c r="H74" s="519">
        <v>48192580.810000002</v>
      </c>
    </row>
    <row r="75" spans="1:8" ht="13.15" customHeight="1">
      <c r="A75" s="147" t="s">
        <v>390</v>
      </c>
      <c r="B75" s="964" t="s">
        <v>1071</v>
      </c>
      <c r="C75" s="519">
        <v>308484872.33999997</v>
      </c>
      <c r="D75" s="519">
        <v>12360566.199999999</v>
      </c>
      <c r="E75" s="519">
        <v>7965271</v>
      </c>
      <c r="F75" s="519">
        <v>40781479.560000002</v>
      </c>
      <c r="G75" s="519">
        <v>247377555.58000001</v>
      </c>
      <c r="H75" s="519">
        <v>16528453.41</v>
      </c>
    </row>
    <row r="76" spans="1:8" ht="13.15" customHeight="1">
      <c r="A76" s="147" t="s">
        <v>393</v>
      </c>
      <c r="B76" s="964" t="s">
        <v>1072</v>
      </c>
      <c r="C76" s="519">
        <v>376993382.92000002</v>
      </c>
      <c r="D76" s="519">
        <v>13731930.109999999</v>
      </c>
      <c r="E76" s="519">
        <v>8943673.4199999999</v>
      </c>
      <c r="F76" s="519">
        <v>48075341.600000001</v>
      </c>
      <c r="G76" s="519">
        <v>306242437.79000002</v>
      </c>
      <c r="H76" s="519">
        <v>20223505.460000001</v>
      </c>
    </row>
    <row r="77" spans="1:8" ht="13.15" customHeight="1">
      <c r="A77" s="147" t="s">
        <v>396</v>
      </c>
      <c r="B77" s="964" t="s">
        <v>1073</v>
      </c>
      <c r="C77" s="519">
        <v>212639856.50999999</v>
      </c>
      <c r="D77" s="519">
        <v>13071237</v>
      </c>
      <c r="E77" s="519">
        <v>8443309</v>
      </c>
      <c r="F77" s="519">
        <v>43748055.600000001</v>
      </c>
      <c r="G77" s="519">
        <v>147377254.91</v>
      </c>
      <c r="H77" s="519">
        <v>10950172.74</v>
      </c>
    </row>
    <row r="78" spans="1:8" ht="24" customHeight="1">
      <c r="A78" s="147" t="s">
        <v>399</v>
      </c>
      <c r="B78" s="964" t="s">
        <v>1074</v>
      </c>
      <c r="C78" s="519">
        <v>1045332684.61</v>
      </c>
      <c r="D78" s="519">
        <v>44369603</v>
      </c>
      <c r="E78" s="519">
        <v>29044626</v>
      </c>
      <c r="F78" s="519">
        <v>158574795.33000001</v>
      </c>
      <c r="G78" s="519">
        <v>813343660.27999997</v>
      </c>
      <c r="H78" s="519">
        <v>55478087.990000002</v>
      </c>
    </row>
    <row r="79" spans="1:8" ht="13.15" customHeight="1">
      <c r="A79" s="147" t="s">
        <v>402</v>
      </c>
      <c r="B79" s="964" t="s">
        <v>1075</v>
      </c>
      <c r="C79" s="519">
        <v>434553237.06</v>
      </c>
      <c r="D79" s="519">
        <v>23881755.949999999</v>
      </c>
      <c r="E79" s="519">
        <v>15627742</v>
      </c>
      <c r="F79" s="519">
        <v>83397243.459999993</v>
      </c>
      <c r="G79" s="519">
        <v>311646495.64999998</v>
      </c>
      <c r="H79" s="519">
        <v>22499487.649999999</v>
      </c>
    </row>
    <row r="80" spans="1:8" ht="13.15" customHeight="1">
      <c r="A80" s="147" t="s">
        <v>405</v>
      </c>
      <c r="B80" s="964" t="s">
        <v>1076</v>
      </c>
      <c r="C80" s="519">
        <v>267539843.96000001</v>
      </c>
      <c r="D80" s="519">
        <v>15306553</v>
      </c>
      <c r="E80" s="519">
        <v>9966199</v>
      </c>
      <c r="F80" s="519">
        <v>52312043</v>
      </c>
      <c r="G80" s="519">
        <v>189955048.96000001</v>
      </c>
      <c r="H80" s="519">
        <v>13811925.02</v>
      </c>
    </row>
    <row r="81" spans="1:8" ht="13.15" customHeight="1">
      <c r="A81" s="147" t="s">
        <v>408</v>
      </c>
      <c r="B81" s="964" t="s">
        <v>1077</v>
      </c>
      <c r="C81" s="519">
        <v>1107991898.73</v>
      </c>
      <c r="D81" s="519">
        <v>59806580.710000001</v>
      </c>
      <c r="E81" s="519">
        <v>38831394.560000002</v>
      </c>
      <c r="F81" s="519">
        <v>204284179.77000001</v>
      </c>
      <c r="G81" s="519">
        <v>805069743.69000006</v>
      </c>
      <c r="H81" s="519">
        <v>57631896.799999997</v>
      </c>
    </row>
    <row r="82" spans="1:8" ht="13.15" customHeight="1">
      <c r="A82" s="147" t="s">
        <v>411</v>
      </c>
      <c r="B82" s="964" t="s">
        <v>1078</v>
      </c>
      <c r="C82" s="519">
        <v>1267355503.1800001</v>
      </c>
      <c r="D82" s="519">
        <v>35563646</v>
      </c>
      <c r="E82" s="519">
        <v>23388689</v>
      </c>
      <c r="F82" s="519">
        <v>129723569.89</v>
      </c>
      <c r="G82" s="519">
        <v>1078679598.29</v>
      </c>
      <c r="H82" s="519">
        <v>68801514.650000006</v>
      </c>
    </row>
    <row r="83" spans="1:8" ht="16" customHeight="1">
      <c r="A83" s="1006" t="s">
        <v>600</v>
      </c>
      <c r="B83" s="969"/>
      <c r="D83" s="147"/>
      <c r="E83" s="147"/>
      <c r="F83" s="147"/>
      <c r="G83" s="147"/>
      <c r="H83" s="147"/>
    </row>
    <row r="84" spans="1:8" ht="14.9" customHeight="1">
      <c r="A84" s="1007" t="s">
        <v>599</v>
      </c>
      <c r="B84" s="969"/>
      <c r="D84" s="147"/>
      <c r="E84" s="147"/>
      <c r="F84" s="147"/>
      <c r="G84" s="147"/>
      <c r="H84" s="147"/>
    </row>
    <row r="85" spans="1:8" ht="14" customHeight="1">
      <c r="A85" s="1008" t="str">
        <f>A3</f>
        <v>Taxable Year 2022</v>
      </c>
      <c r="B85" s="969"/>
      <c r="D85" s="147"/>
      <c r="E85" s="147"/>
      <c r="F85" s="147"/>
      <c r="G85" s="147"/>
      <c r="H85" s="147"/>
    </row>
    <row r="86" spans="1:8" ht="3" customHeight="1">
      <c r="D86" s="147"/>
      <c r="E86" s="147"/>
      <c r="F86" s="147"/>
      <c r="G86" s="147"/>
      <c r="H86" s="147"/>
    </row>
    <row r="87" spans="1:8" ht="3" customHeight="1" thickBot="1">
      <c r="B87" s="970"/>
      <c r="C87" s="145"/>
      <c r="D87" s="145"/>
      <c r="E87" s="145"/>
      <c r="F87" s="145"/>
      <c r="G87" s="145"/>
      <c r="H87" s="145"/>
    </row>
    <row r="88" spans="1:8" ht="26">
      <c r="A88" s="961" t="s">
        <v>18</v>
      </c>
      <c r="B88" s="963" t="s">
        <v>910</v>
      </c>
      <c r="C88" s="962" t="s">
        <v>877</v>
      </c>
      <c r="D88" s="962" t="s">
        <v>1005</v>
      </c>
      <c r="E88" s="962" t="s">
        <v>1006</v>
      </c>
      <c r="F88" s="962" t="s">
        <v>1007</v>
      </c>
      <c r="G88" s="962" t="s">
        <v>1008</v>
      </c>
      <c r="H88" s="962" t="s">
        <v>878</v>
      </c>
    </row>
    <row r="89" spans="1:8" ht="24" customHeight="1">
      <c r="A89" s="147" t="s">
        <v>414</v>
      </c>
      <c r="B89" s="964" t="s">
        <v>1079</v>
      </c>
      <c r="C89" s="521">
        <v>344436383.06</v>
      </c>
      <c r="D89" s="521">
        <v>17644214.140000001</v>
      </c>
      <c r="E89" s="521">
        <v>11436309.6</v>
      </c>
      <c r="F89" s="521">
        <v>59408456.039999999</v>
      </c>
      <c r="G89" s="521">
        <v>255947403.28</v>
      </c>
      <c r="H89" s="521">
        <v>18073036.300000001</v>
      </c>
    </row>
    <row r="90" spans="1:8" ht="13.15" customHeight="1">
      <c r="A90" s="147" t="s">
        <v>416</v>
      </c>
      <c r="B90" s="964" t="s">
        <v>1080</v>
      </c>
      <c r="C90" s="519">
        <v>716017705.04999995</v>
      </c>
      <c r="D90" s="519">
        <v>34634573.409999996</v>
      </c>
      <c r="E90" s="519">
        <v>22393492.199999999</v>
      </c>
      <c r="F90" s="519">
        <v>119907425.92</v>
      </c>
      <c r="G90" s="519">
        <v>539082213.51999998</v>
      </c>
      <c r="H90" s="519">
        <v>37632494.539999999</v>
      </c>
    </row>
    <row r="91" spans="1:8" ht="13.15" customHeight="1">
      <c r="A91" s="147" t="s">
        <v>419</v>
      </c>
      <c r="B91" s="964" t="s">
        <v>1081</v>
      </c>
      <c r="C91" s="519">
        <v>16871039550.139999</v>
      </c>
      <c r="D91" s="519">
        <v>559202434.51999998</v>
      </c>
      <c r="E91" s="519">
        <v>366021474.95999998</v>
      </c>
      <c r="F91" s="519">
        <v>2009114914.9000001</v>
      </c>
      <c r="G91" s="519">
        <v>13936700725.76</v>
      </c>
      <c r="H91" s="519">
        <v>911362378.12</v>
      </c>
    </row>
    <row r="92" spans="1:8" ht="13.15" customHeight="1">
      <c r="A92" s="147" t="s">
        <v>421</v>
      </c>
      <c r="B92" s="964" t="s">
        <v>1082</v>
      </c>
      <c r="C92" s="519">
        <v>606102584.09000003</v>
      </c>
      <c r="D92" s="519">
        <v>32260521.890000001</v>
      </c>
      <c r="E92" s="519">
        <v>21072476</v>
      </c>
      <c r="F92" s="519">
        <v>113208849.58</v>
      </c>
      <c r="G92" s="519">
        <v>439560736.62</v>
      </c>
      <c r="H92" s="519">
        <v>31466259.760000002</v>
      </c>
    </row>
    <row r="93" spans="1:8" ht="13.15" customHeight="1">
      <c r="A93" s="147" t="s">
        <v>424</v>
      </c>
      <c r="B93" s="964" t="s">
        <v>1083</v>
      </c>
      <c r="C93" s="519">
        <v>396783737.19</v>
      </c>
      <c r="D93" s="519">
        <v>8564677</v>
      </c>
      <c r="E93" s="519">
        <v>5596042</v>
      </c>
      <c r="F93" s="519">
        <v>30819066.399999999</v>
      </c>
      <c r="G93" s="519">
        <v>351803951.79000002</v>
      </c>
      <c r="H93" s="519">
        <v>21898539.02</v>
      </c>
    </row>
    <row r="94" spans="1:8" ht="24" customHeight="1">
      <c r="A94" s="147" t="s">
        <v>354</v>
      </c>
      <c r="B94" s="964" t="s">
        <v>1084</v>
      </c>
      <c r="C94" s="520">
        <v>394651190.54000002</v>
      </c>
      <c r="D94" s="520">
        <v>13310076.48</v>
      </c>
      <c r="E94" s="520">
        <v>8141326.0199999996</v>
      </c>
      <c r="F94" s="520">
        <v>40728199.719999999</v>
      </c>
      <c r="G94" s="520">
        <v>332471588.31999999</v>
      </c>
      <c r="H94" s="520">
        <v>21488895.690000001</v>
      </c>
    </row>
    <row r="95" spans="1:8" ht="13.15" customHeight="1">
      <c r="A95" s="147" t="s">
        <v>358</v>
      </c>
      <c r="B95" s="964" t="s">
        <v>1085</v>
      </c>
      <c r="C95" s="519">
        <v>2824840865.4400001</v>
      </c>
      <c r="D95" s="519">
        <v>108666291.90000001</v>
      </c>
      <c r="E95" s="519">
        <v>71053035.790000007</v>
      </c>
      <c r="F95" s="519">
        <v>387120397.64999998</v>
      </c>
      <c r="G95" s="519">
        <v>2258001140.0999999</v>
      </c>
      <c r="H95" s="519">
        <v>150687005.43000001</v>
      </c>
    </row>
    <row r="96" spans="1:8" ht="13.15" customHeight="1">
      <c r="A96" s="147" t="s">
        <v>431</v>
      </c>
      <c r="B96" s="964" t="s">
        <v>1086</v>
      </c>
      <c r="C96" s="519">
        <v>507409415.54000002</v>
      </c>
      <c r="D96" s="519">
        <v>22103460.800000001</v>
      </c>
      <c r="E96" s="519">
        <v>14381106</v>
      </c>
      <c r="F96" s="519">
        <v>76899664</v>
      </c>
      <c r="G96" s="519">
        <v>394025184.74000001</v>
      </c>
      <c r="H96" s="519">
        <v>26833928.199999999</v>
      </c>
    </row>
    <row r="97" spans="1:8" ht="13.15" customHeight="1">
      <c r="A97" s="147" t="s">
        <v>434</v>
      </c>
      <c r="B97" s="964" t="s">
        <v>1087</v>
      </c>
      <c r="C97" s="519">
        <v>2199151169.4000001</v>
      </c>
      <c r="D97" s="519">
        <v>92968706.459999993</v>
      </c>
      <c r="E97" s="519">
        <v>60818094.130000003</v>
      </c>
      <c r="F97" s="519">
        <v>330717201.38999999</v>
      </c>
      <c r="G97" s="519">
        <v>1714647167.4200001</v>
      </c>
      <c r="H97" s="519">
        <v>116387436.79000001</v>
      </c>
    </row>
    <row r="98" spans="1:8" ht="13.15" customHeight="1">
      <c r="A98" s="147" t="s">
        <v>437</v>
      </c>
      <c r="B98" s="964" t="s">
        <v>1088</v>
      </c>
      <c r="C98" s="520">
        <v>368273830.37</v>
      </c>
      <c r="D98" s="520">
        <v>21029231.039999999</v>
      </c>
      <c r="E98" s="520">
        <v>13728111.199999999</v>
      </c>
      <c r="F98" s="520">
        <v>72071722.219999999</v>
      </c>
      <c r="G98" s="520">
        <v>261444765.91</v>
      </c>
      <c r="H98" s="520">
        <v>18956783.350000001</v>
      </c>
    </row>
    <row r="99" spans="1:8" ht="24" customHeight="1">
      <c r="A99" s="147" t="s">
        <v>313</v>
      </c>
      <c r="B99" s="964" t="s">
        <v>1089</v>
      </c>
      <c r="C99" s="147">
        <v>310039930.70999998</v>
      </c>
      <c r="D99" s="147">
        <v>18664324.32</v>
      </c>
      <c r="E99" s="147">
        <v>12025142.84</v>
      </c>
      <c r="F99" s="147">
        <v>62760981.439999998</v>
      </c>
      <c r="G99" s="147">
        <v>216589482.11000001</v>
      </c>
      <c r="H99" s="147">
        <v>15931315.630000001</v>
      </c>
    </row>
    <row r="100" spans="1:8" ht="13.15" customHeight="1">
      <c r="A100" s="147" t="s">
        <v>317</v>
      </c>
      <c r="B100" s="964" t="s">
        <v>1090</v>
      </c>
      <c r="C100" s="147">
        <v>1101995454.5699999</v>
      </c>
      <c r="D100" s="147">
        <v>49760564</v>
      </c>
      <c r="E100" s="147">
        <v>32580689</v>
      </c>
      <c r="F100" s="147">
        <v>176937891.96000001</v>
      </c>
      <c r="G100" s="147">
        <v>842716309.61000001</v>
      </c>
      <c r="H100" s="147">
        <v>58174143.609999999</v>
      </c>
    </row>
    <row r="101" spans="1:8" ht="13.15" customHeight="1">
      <c r="A101" s="147" t="s">
        <v>321</v>
      </c>
      <c r="B101" s="964" t="s">
        <v>1091</v>
      </c>
      <c r="C101" s="147">
        <v>451364568.86000001</v>
      </c>
      <c r="D101" s="147">
        <v>26935548</v>
      </c>
      <c r="E101" s="147">
        <v>17545597.629999999</v>
      </c>
      <c r="F101" s="147">
        <v>91775046.760000005</v>
      </c>
      <c r="G101" s="147">
        <v>315108376.47000003</v>
      </c>
      <c r="H101" s="147">
        <v>23196230.57</v>
      </c>
    </row>
    <row r="102" spans="1:8" ht="13.15" customHeight="1">
      <c r="A102" s="147" t="s">
        <v>325</v>
      </c>
      <c r="B102" s="964" t="s">
        <v>1092</v>
      </c>
      <c r="C102" s="147">
        <v>357460229.63999999</v>
      </c>
      <c r="D102" s="147">
        <v>18380136.09</v>
      </c>
      <c r="E102" s="147">
        <v>11962595</v>
      </c>
      <c r="F102" s="147">
        <v>63400571.210000001</v>
      </c>
      <c r="G102" s="147">
        <v>263716927.34</v>
      </c>
      <c r="H102" s="147">
        <v>18659496.16</v>
      </c>
    </row>
    <row r="103" spans="1:8" ht="13.15" customHeight="1">
      <c r="A103" s="147" t="s">
        <v>329</v>
      </c>
      <c r="B103" s="964" t="s">
        <v>1093</v>
      </c>
      <c r="C103" s="147">
        <v>4414055744.3100004</v>
      </c>
      <c r="D103" s="147">
        <v>164658143.81</v>
      </c>
      <c r="E103" s="147">
        <v>107765842.04000001</v>
      </c>
      <c r="F103" s="147">
        <v>589603684.63</v>
      </c>
      <c r="G103" s="147">
        <v>3552028073.8299999</v>
      </c>
      <c r="H103" s="147">
        <v>236522898.75999999</v>
      </c>
    </row>
    <row r="104" spans="1:8" ht="24" customHeight="1">
      <c r="A104" s="147" t="s">
        <v>333</v>
      </c>
      <c r="B104" s="964" t="s">
        <v>1094</v>
      </c>
      <c r="C104" s="147">
        <v>5302672836.96</v>
      </c>
      <c r="D104" s="147">
        <v>176428599.00999999</v>
      </c>
      <c r="E104" s="147">
        <v>115663627.88</v>
      </c>
      <c r="F104" s="147">
        <v>638323071.44000006</v>
      </c>
      <c r="G104" s="147">
        <v>4372257538.6300001</v>
      </c>
      <c r="H104" s="147">
        <v>286014596.95999998</v>
      </c>
    </row>
    <row r="105" spans="1:8" ht="13.15" customHeight="1">
      <c r="A105" s="147" t="s">
        <v>337</v>
      </c>
      <c r="B105" s="964" t="s">
        <v>1095</v>
      </c>
      <c r="C105" s="147">
        <v>134758588.90000001</v>
      </c>
      <c r="D105" s="147">
        <v>7652555</v>
      </c>
      <c r="E105" s="147">
        <v>4952352</v>
      </c>
      <c r="F105" s="147">
        <v>25761983.719999999</v>
      </c>
      <c r="G105" s="147">
        <v>96391698.180000007</v>
      </c>
      <c r="H105" s="147">
        <v>6995636.04</v>
      </c>
    </row>
    <row r="106" spans="1:8" ht="13.15" customHeight="1">
      <c r="A106" s="147" t="s">
        <v>341</v>
      </c>
      <c r="B106" s="964" t="s">
        <v>1096</v>
      </c>
      <c r="C106" s="147">
        <v>144978692.34999999</v>
      </c>
      <c r="D106" s="147">
        <v>8718082</v>
      </c>
      <c r="E106" s="147">
        <v>5633152</v>
      </c>
      <c r="F106" s="147">
        <v>28969418.73</v>
      </c>
      <c r="G106" s="147">
        <v>101658039.62</v>
      </c>
      <c r="H106" s="147">
        <v>7507112.6600000001</v>
      </c>
    </row>
    <row r="107" spans="1:8" ht="13.15" customHeight="1">
      <c r="A107" s="147" t="s">
        <v>345</v>
      </c>
      <c r="B107" s="964" t="s">
        <v>1097</v>
      </c>
      <c r="C107" s="147">
        <v>640667766.75999999</v>
      </c>
      <c r="D107" s="147">
        <v>33895073.43</v>
      </c>
      <c r="E107" s="147">
        <v>22013854</v>
      </c>
      <c r="F107" s="147">
        <v>115015806.38</v>
      </c>
      <c r="G107" s="147">
        <v>469743032.94999999</v>
      </c>
      <c r="H107" s="147">
        <v>33342571.75</v>
      </c>
    </row>
    <row r="108" spans="1:8" ht="13.15" customHeight="1">
      <c r="A108" s="147" t="s">
        <v>349</v>
      </c>
      <c r="B108" s="964" t="s">
        <v>1098</v>
      </c>
      <c r="C108" s="147">
        <v>1105856850.2</v>
      </c>
      <c r="D108" s="147">
        <v>46712026</v>
      </c>
      <c r="E108" s="147">
        <v>30582561</v>
      </c>
      <c r="F108" s="147">
        <v>166639857.63999999</v>
      </c>
      <c r="G108" s="147">
        <v>861922405.55999994</v>
      </c>
      <c r="H108" s="147">
        <v>58788491.369999997</v>
      </c>
    </row>
    <row r="109" spans="1:8" ht="24" customHeight="1">
      <c r="A109" s="147" t="s">
        <v>353</v>
      </c>
      <c r="B109" s="964" t="s">
        <v>1099</v>
      </c>
      <c r="C109" s="208">
        <v>1244618809.47</v>
      </c>
      <c r="D109" s="208">
        <v>58308305.340000004</v>
      </c>
      <c r="E109" s="208">
        <v>37607137</v>
      </c>
      <c r="F109" s="208">
        <v>196464875.53</v>
      </c>
      <c r="G109" s="208">
        <v>952238491.60000002</v>
      </c>
      <c r="H109" s="208">
        <v>65633604.619999997</v>
      </c>
    </row>
    <row r="110" spans="1:8" ht="13.15" customHeight="1">
      <c r="A110" s="147" t="s">
        <v>357</v>
      </c>
      <c r="B110" s="964" t="s">
        <v>1100</v>
      </c>
      <c r="C110" s="147">
        <v>444778254.67000002</v>
      </c>
      <c r="D110" s="147">
        <v>20158588</v>
      </c>
      <c r="E110" s="147">
        <v>13129488</v>
      </c>
      <c r="F110" s="147">
        <v>70025030.200000003</v>
      </c>
      <c r="G110" s="147">
        <v>341465148.47000003</v>
      </c>
      <c r="H110" s="147">
        <v>23567737.48</v>
      </c>
    </row>
    <row r="111" spans="1:8" ht="13.15" customHeight="1">
      <c r="A111" s="147" t="s">
        <v>361</v>
      </c>
      <c r="B111" s="964" t="s">
        <v>1101</v>
      </c>
      <c r="C111" s="147">
        <v>485702878.74000001</v>
      </c>
      <c r="D111" s="147">
        <v>28474049.449999999</v>
      </c>
      <c r="E111" s="147">
        <v>18445542.100000001</v>
      </c>
      <c r="F111" s="147">
        <v>95606827.900000006</v>
      </c>
      <c r="G111" s="147">
        <v>343176459.29000002</v>
      </c>
      <c r="H111" s="147">
        <v>25031678.629999999</v>
      </c>
    </row>
    <row r="112" spans="1:8" ht="13.15" customHeight="1">
      <c r="A112" s="147" t="s">
        <v>365</v>
      </c>
      <c r="B112" s="964" t="s">
        <v>1102</v>
      </c>
      <c r="C112" s="147">
        <v>504587426.94</v>
      </c>
      <c r="D112" s="147">
        <v>27648824</v>
      </c>
      <c r="E112" s="147">
        <v>17967981.600000001</v>
      </c>
      <c r="F112" s="147">
        <v>94981892.540000007</v>
      </c>
      <c r="G112" s="147">
        <v>363988728.80000001</v>
      </c>
      <c r="H112" s="147">
        <v>26147349.079999998</v>
      </c>
    </row>
    <row r="113" spans="1:8" ht="13.15" customHeight="1">
      <c r="A113" s="147" t="s">
        <v>369</v>
      </c>
      <c r="B113" s="964" t="s">
        <v>1103</v>
      </c>
      <c r="C113" s="147">
        <v>2265189534.3000002</v>
      </c>
      <c r="D113" s="147">
        <v>73791147.299999997</v>
      </c>
      <c r="E113" s="147">
        <v>48212858</v>
      </c>
      <c r="F113" s="147">
        <v>265441052.77000001</v>
      </c>
      <c r="G113" s="147">
        <v>1877744476.23</v>
      </c>
      <c r="H113" s="147">
        <v>122122278.33</v>
      </c>
    </row>
    <row r="114" spans="1:8" ht="10.75" customHeight="1">
      <c r="A114" s="147"/>
      <c r="B114" s="965"/>
      <c r="D114" s="147"/>
      <c r="E114" s="147"/>
      <c r="F114" s="147"/>
      <c r="G114" s="147"/>
      <c r="H114" s="147"/>
    </row>
    <row r="115" spans="1:8" ht="13.15" customHeight="1">
      <c r="A115" s="286" t="s">
        <v>19</v>
      </c>
      <c r="B115" s="966"/>
      <c r="C115" s="287">
        <f t="shared" ref="C115:H115" si="0">SUM(C7:C113)</f>
        <v>241744620060.47998</v>
      </c>
      <c r="D115" s="287">
        <f t="shared" si="0"/>
        <v>6857784979.0700006</v>
      </c>
      <c r="E115" s="287">
        <f t="shared" si="0"/>
        <v>4484884095.3300018</v>
      </c>
      <c r="F115" s="287">
        <f t="shared" si="0"/>
        <v>24615176702.710007</v>
      </c>
      <c r="G115" s="287">
        <f t="shared" si="0"/>
        <v>205786774283.37</v>
      </c>
      <c r="H115" s="287">
        <f t="shared" si="0"/>
        <v>13167933759.839998</v>
      </c>
    </row>
    <row r="116" spans="1:8" ht="16" customHeight="1">
      <c r="A116" s="1006" t="s">
        <v>600</v>
      </c>
      <c r="B116" s="969"/>
      <c r="D116" s="147"/>
      <c r="E116" s="147"/>
      <c r="F116" s="147"/>
      <c r="G116" s="147"/>
      <c r="H116" s="147"/>
    </row>
    <row r="117" spans="1:8" ht="14.9" customHeight="1">
      <c r="A117" s="1007" t="s">
        <v>599</v>
      </c>
      <c r="B117" s="969"/>
      <c r="D117" s="147"/>
      <c r="E117" s="147"/>
      <c r="F117" s="147"/>
      <c r="G117" s="147"/>
      <c r="H117" s="147"/>
    </row>
    <row r="118" spans="1:8" ht="14" customHeight="1">
      <c r="A118" s="1008" t="str">
        <f>A3</f>
        <v>Taxable Year 2022</v>
      </c>
      <c r="B118" s="969"/>
      <c r="D118" s="147"/>
      <c r="E118" s="147"/>
      <c r="F118" s="147"/>
      <c r="G118" s="147"/>
      <c r="H118" s="147"/>
    </row>
    <row r="119" spans="1:8" ht="6" customHeight="1" thickBot="1">
      <c r="D119" s="147"/>
      <c r="E119" s="147"/>
      <c r="F119" s="147"/>
      <c r="G119" s="147"/>
      <c r="H119" s="147"/>
    </row>
    <row r="120" spans="1:8" ht="25" customHeight="1">
      <c r="A120" s="994" t="s">
        <v>20</v>
      </c>
      <c r="B120" s="963" t="s">
        <v>910</v>
      </c>
      <c r="C120" s="962" t="s">
        <v>877</v>
      </c>
      <c r="D120" s="962" t="s">
        <v>1005</v>
      </c>
      <c r="E120" s="962" t="s">
        <v>1006</v>
      </c>
      <c r="F120" s="962" t="s">
        <v>1007</v>
      </c>
      <c r="G120" s="962" t="s">
        <v>1008</v>
      </c>
      <c r="H120" s="962" t="s">
        <v>878</v>
      </c>
    </row>
    <row r="121" spans="1:8" ht="19" customHeight="1">
      <c r="A121" s="145" t="s">
        <v>386</v>
      </c>
      <c r="B121" s="964" t="s">
        <v>1104</v>
      </c>
      <c r="C121" s="285">
        <v>9997195174.2700005</v>
      </c>
      <c r="D121" s="285">
        <v>225579667.5</v>
      </c>
      <c r="E121" s="285">
        <v>147187364.41999999</v>
      </c>
      <c r="F121" s="285">
        <v>820549976.28999996</v>
      </c>
      <c r="G121" s="285">
        <v>8803878166.0599995</v>
      </c>
      <c r="H121" s="285">
        <v>552392375.04999995</v>
      </c>
    </row>
    <row r="122" spans="1:8" s="1012" customFormat="1" ht="12" customHeight="1">
      <c r="A122" s="1009" t="s">
        <v>391</v>
      </c>
      <c r="B122" s="1010" t="s">
        <v>1105</v>
      </c>
      <c r="C122" s="1011">
        <v>334699931.19999999</v>
      </c>
      <c r="D122" s="1011">
        <v>25542927.760000002</v>
      </c>
      <c r="E122" s="1011">
        <v>15804986.470000001</v>
      </c>
      <c r="F122" s="1011">
        <v>76785748.319999993</v>
      </c>
      <c r="G122" s="1011">
        <v>216566268.65000001</v>
      </c>
      <c r="H122" s="1011">
        <v>17004026.640000001</v>
      </c>
    </row>
    <row r="123" spans="1:8" s="1012" customFormat="1" ht="12" customHeight="1">
      <c r="A123" s="1009" t="s">
        <v>394</v>
      </c>
      <c r="B123" s="1010" t="s">
        <v>1106</v>
      </c>
      <c r="C123" s="1011">
        <v>88200613.799999997</v>
      </c>
      <c r="D123" s="1011">
        <v>6046599</v>
      </c>
      <c r="E123" s="1011">
        <v>3911399</v>
      </c>
      <c r="F123" s="1011">
        <v>20413733.300000001</v>
      </c>
      <c r="G123" s="1011">
        <v>57828882.5</v>
      </c>
      <c r="H123" s="1011">
        <v>4464088.3899999997</v>
      </c>
    </row>
    <row r="124" spans="1:8" s="1012" customFormat="1" ht="12" customHeight="1">
      <c r="A124" s="1009" t="s">
        <v>397</v>
      </c>
      <c r="B124" s="1010" t="s">
        <v>1107</v>
      </c>
      <c r="C124" s="1011">
        <v>1755551747.77</v>
      </c>
      <c r="D124" s="1011">
        <v>50283879.009999998</v>
      </c>
      <c r="E124" s="1011">
        <v>32494911.260000002</v>
      </c>
      <c r="F124" s="1011">
        <v>174617453.47999999</v>
      </c>
      <c r="G124" s="1011">
        <v>1498155504.02</v>
      </c>
      <c r="H124" s="1011">
        <v>95964986.060000002</v>
      </c>
    </row>
    <row r="125" spans="1:8" s="1012" customFormat="1" ht="12" customHeight="1">
      <c r="A125" s="1009" t="s">
        <v>400</v>
      </c>
      <c r="B125" s="1010" t="s">
        <v>1108</v>
      </c>
      <c r="C125" s="1011">
        <v>6536808676.0200005</v>
      </c>
      <c r="D125" s="1011">
        <v>265915357.62</v>
      </c>
      <c r="E125" s="1011">
        <v>172970766.02000001</v>
      </c>
      <c r="F125" s="1011">
        <v>934391148.48000002</v>
      </c>
      <c r="G125" s="1011">
        <v>5163531403.8999996</v>
      </c>
      <c r="H125" s="1011">
        <v>348380227.88999999</v>
      </c>
    </row>
    <row r="126" spans="1:8" ht="19" customHeight="1">
      <c r="A126" s="145" t="s">
        <v>403</v>
      </c>
      <c r="B126" s="964" t="s">
        <v>1109</v>
      </c>
      <c r="C126" s="147">
        <v>350442419.08999997</v>
      </c>
      <c r="D126" s="147">
        <v>20145551</v>
      </c>
      <c r="E126" s="147">
        <v>13137773.6</v>
      </c>
      <c r="F126" s="147">
        <v>69727177.959999993</v>
      </c>
      <c r="G126" s="147">
        <v>247431916.53</v>
      </c>
      <c r="H126" s="147">
        <v>18165277.149999999</v>
      </c>
    </row>
    <row r="127" spans="1:8" s="1012" customFormat="1" ht="12" customHeight="1">
      <c r="A127" s="1009" t="s">
        <v>406</v>
      </c>
      <c r="B127" s="1010" t="s">
        <v>1110</v>
      </c>
      <c r="C127" s="1011">
        <v>87177810.599999994</v>
      </c>
      <c r="D127" s="1011">
        <v>5908267</v>
      </c>
      <c r="E127" s="1011">
        <v>3790603</v>
      </c>
      <c r="F127" s="1011">
        <v>19375425.800000001</v>
      </c>
      <c r="G127" s="1011">
        <v>58103514.799999997</v>
      </c>
      <c r="H127" s="1011">
        <v>4450410.25</v>
      </c>
    </row>
    <row r="128" spans="1:8" s="1012" customFormat="1" ht="12" customHeight="1">
      <c r="A128" s="1009" t="s">
        <v>409</v>
      </c>
      <c r="B128" s="1010" t="s">
        <v>1111</v>
      </c>
      <c r="C128" s="1011">
        <v>676963670.87</v>
      </c>
      <c r="D128" s="1011">
        <v>42024796.460000001</v>
      </c>
      <c r="E128" s="1011">
        <v>26625659.5</v>
      </c>
      <c r="F128" s="1011">
        <v>131191977.25</v>
      </c>
      <c r="G128" s="1011">
        <v>477121237.66000003</v>
      </c>
      <c r="H128" s="1011">
        <v>35212040.899999999</v>
      </c>
    </row>
    <row r="129" spans="1:8" s="1012" customFormat="1" ht="12" customHeight="1">
      <c r="A129" s="1009" t="s">
        <v>412</v>
      </c>
      <c r="B129" s="1010" t="s">
        <v>1112</v>
      </c>
      <c r="C129" s="1011">
        <v>63108259.560000002</v>
      </c>
      <c r="D129" s="1011">
        <v>5301251</v>
      </c>
      <c r="E129" s="1011">
        <v>3337094.67</v>
      </c>
      <c r="F129" s="1011">
        <v>15869737.449999999</v>
      </c>
      <c r="G129" s="1011">
        <v>38600176.439999998</v>
      </c>
      <c r="H129" s="1011">
        <v>3184037.97</v>
      </c>
    </row>
    <row r="130" spans="1:8" s="1012" customFormat="1" ht="12" customHeight="1">
      <c r="A130" s="1009" t="s">
        <v>407</v>
      </c>
      <c r="B130" s="1010" t="s">
        <v>1113</v>
      </c>
      <c r="C130" s="1011">
        <v>1466343658</v>
      </c>
      <c r="D130" s="1011">
        <v>38012133.840000004</v>
      </c>
      <c r="E130" s="1011">
        <v>24617203.48</v>
      </c>
      <c r="F130" s="1011">
        <v>134383555.50999999</v>
      </c>
      <c r="G130" s="1011">
        <v>1269330765.1700001</v>
      </c>
      <c r="H130" s="1011">
        <v>80354322.629999995</v>
      </c>
    </row>
    <row r="131" spans="1:8" ht="19" customHeight="1">
      <c r="A131" s="145" t="s">
        <v>417</v>
      </c>
      <c r="B131" s="964" t="s">
        <v>1114</v>
      </c>
      <c r="C131" s="147">
        <v>1272258682.9300001</v>
      </c>
      <c r="D131" s="147">
        <v>21126019.780000001</v>
      </c>
      <c r="E131" s="147">
        <v>13815967.380000001</v>
      </c>
      <c r="F131" s="147">
        <v>77554366.200000003</v>
      </c>
      <c r="G131" s="147">
        <v>1159762329.5699999</v>
      </c>
      <c r="H131" s="147">
        <v>70844388.019999996</v>
      </c>
    </row>
    <row r="132" spans="1:8" s="1012" customFormat="1" ht="12" customHeight="1">
      <c r="A132" s="1009" t="s">
        <v>21</v>
      </c>
      <c r="B132" s="1010" t="s">
        <v>1115</v>
      </c>
      <c r="C132" s="1011">
        <v>122393868.79000001</v>
      </c>
      <c r="D132" s="1011">
        <v>7927610.1799999997</v>
      </c>
      <c r="E132" s="1011">
        <v>5012490.3899999997</v>
      </c>
      <c r="F132" s="1011">
        <v>25179428.100000001</v>
      </c>
      <c r="G132" s="1011">
        <v>84274340.120000005</v>
      </c>
      <c r="H132" s="1011">
        <v>6317254.8899999997</v>
      </c>
    </row>
    <row r="133" spans="1:8" s="1012" customFormat="1" ht="12" customHeight="1">
      <c r="A133" s="1009" t="s">
        <v>422</v>
      </c>
      <c r="B133" s="1010" t="s">
        <v>1116</v>
      </c>
      <c r="C133" s="1011">
        <v>1063064912.47</v>
      </c>
      <c r="D133" s="1011">
        <v>35129054.509999998</v>
      </c>
      <c r="E133" s="1011">
        <v>22796131.359999999</v>
      </c>
      <c r="F133" s="1011">
        <v>122012176.97</v>
      </c>
      <c r="G133" s="1011">
        <v>883127549.63</v>
      </c>
      <c r="H133" s="1011">
        <v>57729982.079999998</v>
      </c>
    </row>
    <row r="134" spans="1:8" s="1012" customFormat="1" ht="12" customHeight="1">
      <c r="A134" s="1009" t="s">
        <v>425</v>
      </c>
      <c r="B134" s="1010" t="s">
        <v>1117</v>
      </c>
      <c r="C134" s="1011">
        <v>109084252.53</v>
      </c>
      <c r="D134" s="1011">
        <v>7241764.21</v>
      </c>
      <c r="E134" s="1011">
        <v>4642541</v>
      </c>
      <c r="F134" s="1011">
        <v>23831151.199999999</v>
      </c>
      <c r="G134" s="1011">
        <v>73368796.120000005</v>
      </c>
      <c r="H134" s="1011">
        <v>5575106.2199999997</v>
      </c>
    </row>
    <row r="135" spans="1:8" s="1012" customFormat="1" ht="12" customHeight="1">
      <c r="A135" s="1009" t="s">
        <v>427</v>
      </c>
      <c r="B135" s="1010" t="s">
        <v>1118</v>
      </c>
      <c r="C135" s="1011">
        <v>2314949072.8899999</v>
      </c>
      <c r="D135" s="1011">
        <v>135151920.72999999</v>
      </c>
      <c r="E135" s="1011">
        <v>87317430.489999995</v>
      </c>
      <c r="F135" s="1011">
        <v>456975662.66000003</v>
      </c>
      <c r="G135" s="1011">
        <v>1635504059.01</v>
      </c>
      <c r="H135" s="1011">
        <v>120325793.73</v>
      </c>
    </row>
    <row r="136" spans="1:8" ht="19" customHeight="1">
      <c r="A136" s="145" t="s">
        <v>429</v>
      </c>
      <c r="B136" s="964" t="s">
        <v>1119</v>
      </c>
      <c r="C136" s="147">
        <v>750185659.33000004</v>
      </c>
      <c r="D136" s="147">
        <v>42924800.229999997</v>
      </c>
      <c r="E136" s="147">
        <v>27760765.300000001</v>
      </c>
      <c r="F136" s="147">
        <v>145404942.43000001</v>
      </c>
      <c r="G136" s="147">
        <v>534095151.37</v>
      </c>
      <c r="H136" s="147">
        <v>38983155.189999998</v>
      </c>
    </row>
    <row r="137" spans="1:8" s="1012" customFormat="1" ht="12" customHeight="1">
      <c r="A137" s="1009" t="s">
        <v>432</v>
      </c>
      <c r="B137" s="1010" t="s">
        <v>1120</v>
      </c>
      <c r="C137" s="1011">
        <v>290695446.06</v>
      </c>
      <c r="D137" s="1011">
        <v>22358329</v>
      </c>
      <c r="E137" s="1011">
        <v>14375523.800000001</v>
      </c>
      <c r="F137" s="1011">
        <v>73014761.980000004</v>
      </c>
      <c r="G137" s="1011">
        <v>180946831.28</v>
      </c>
      <c r="H137" s="1011">
        <v>14716650.26</v>
      </c>
    </row>
    <row r="138" spans="1:8" s="1012" customFormat="1" ht="12" customHeight="1">
      <c r="A138" s="1009" t="s">
        <v>435</v>
      </c>
      <c r="B138" s="1010" t="s">
        <v>1121</v>
      </c>
      <c r="C138" s="1013">
        <v>158352270.88999999</v>
      </c>
      <c r="D138" s="1013">
        <v>5974993.5099999998</v>
      </c>
      <c r="E138" s="1013">
        <v>3839817</v>
      </c>
      <c r="F138" s="1013">
        <v>20720383.280000001</v>
      </c>
      <c r="G138" s="1013">
        <v>127817077.09999999</v>
      </c>
      <c r="H138" s="1013">
        <v>8479481.3100000005</v>
      </c>
    </row>
    <row r="139" spans="1:8" s="1012" customFormat="1" ht="12" customHeight="1">
      <c r="A139" s="1014" t="s">
        <v>438</v>
      </c>
      <c r="B139" s="1010" t="s">
        <v>1122</v>
      </c>
      <c r="C139" s="1011">
        <v>1626531923.99</v>
      </c>
      <c r="D139" s="1011">
        <v>74790996.799999997</v>
      </c>
      <c r="E139" s="1011">
        <v>48261078.009999998</v>
      </c>
      <c r="F139" s="1011">
        <v>251777829.50999999</v>
      </c>
      <c r="G139" s="1011">
        <v>1251702019.6700001</v>
      </c>
      <c r="H139" s="1011">
        <v>86196840.560000002</v>
      </c>
    </row>
    <row r="140" spans="1:8" s="1012" customFormat="1" ht="12" customHeight="1">
      <c r="A140" s="1014" t="s">
        <v>314</v>
      </c>
      <c r="B140" s="1010" t="s">
        <v>1123</v>
      </c>
      <c r="C140" s="1011">
        <v>1153189555.6600001</v>
      </c>
      <c r="D140" s="1011">
        <v>53261697.219999999</v>
      </c>
      <c r="E140" s="1011">
        <v>34673741.43</v>
      </c>
      <c r="F140" s="1011">
        <v>186896154.44999999</v>
      </c>
      <c r="G140" s="1011">
        <v>878357962.55999994</v>
      </c>
      <c r="H140" s="1011">
        <v>61063312.490000002</v>
      </c>
    </row>
    <row r="141" spans="1:8" ht="19" customHeight="1">
      <c r="A141" s="145" t="s">
        <v>318</v>
      </c>
      <c r="B141" s="964" t="s">
        <v>1124</v>
      </c>
      <c r="C141" s="147">
        <v>444808564.32999998</v>
      </c>
      <c r="D141" s="147">
        <v>22249672</v>
      </c>
      <c r="E141" s="147">
        <v>14524494</v>
      </c>
      <c r="F141" s="147">
        <v>78089970.060000002</v>
      </c>
      <c r="G141" s="147">
        <v>329944428.26999998</v>
      </c>
      <c r="H141" s="147">
        <v>23398406.559999999</v>
      </c>
    </row>
    <row r="142" spans="1:8" s="1012" customFormat="1" ht="12" customHeight="1">
      <c r="A142" s="1009" t="s">
        <v>322</v>
      </c>
      <c r="B142" s="1010" t="s">
        <v>1125</v>
      </c>
      <c r="C142" s="1011">
        <v>213604253.19999999</v>
      </c>
      <c r="D142" s="1011">
        <v>13414738.789999999</v>
      </c>
      <c r="E142" s="1011">
        <v>8611687.0500000007</v>
      </c>
      <c r="F142" s="1011">
        <v>43240510.939999998</v>
      </c>
      <c r="G142" s="1011">
        <v>148337316.41999999</v>
      </c>
      <c r="H142" s="1011">
        <v>11075026.279999999</v>
      </c>
    </row>
    <row r="143" spans="1:8" s="1012" customFormat="1" ht="12" customHeight="1">
      <c r="A143" s="1009" t="s">
        <v>326</v>
      </c>
      <c r="B143" s="1010" t="s">
        <v>1126</v>
      </c>
      <c r="C143" s="1011">
        <v>3241182394.9899998</v>
      </c>
      <c r="D143" s="1011">
        <v>184486342.94999999</v>
      </c>
      <c r="E143" s="1011">
        <v>118955062.59999999</v>
      </c>
      <c r="F143" s="1011">
        <v>622284239.25</v>
      </c>
      <c r="G143" s="1011">
        <v>2315456750.1900001</v>
      </c>
      <c r="H143" s="1011">
        <v>168960585.80000001</v>
      </c>
    </row>
    <row r="144" spans="1:8" s="1012" customFormat="1" ht="12" customHeight="1">
      <c r="A144" s="1009" t="s">
        <v>330</v>
      </c>
      <c r="B144" s="1010" t="s">
        <v>1127</v>
      </c>
      <c r="C144" s="1011">
        <v>4413926986.2399998</v>
      </c>
      <c r="D144" s="1011">
        <v>211440559.87</v>
      </c>
      <c r="E144" s="1011">
        <v>135884732.31999999</v>
      </c>
      <c r="F144" s="1011">
        <v>700511900.76999998</v>
      </c>
      <c r="G144" s="1011">
        <v>3366089793.2800002</v>
      </c>
      <c r="H144" s="1011">
        <v>234252013.56999999</v>
      </c>
    </row>
    <row r="145" spans="1:8" s="1012" customFormat="1" ht="12" customHeight="1">
      <c r="A145" s="1009" t="s">
        <v>334</v>
      </c>
      <c r="B145" s="1010" t="s">
        <v>1128</v>
      </c>
      <c r="C145" s="1011">
        <v>57328408.469999999</v>
      </c>
      <c r="D145" s="1011">
        <v>3791490.26</v>
      </c>
      <c r="E145" s="1011">
        <v>2420683</v>
      </c>
      <c r="F145" s="1011">
        <v>12468972.439999999</v>
      </c>
      <c r="G145" s="1011">
        <v>38647262.770000003</v>
      </c>
      <c r="H145" s="1011">
        <v>2924290.26</v>
      </c>
    </row>
    <row r="146" spans="1:8" ht="18" customHeight="1">
      <c r="A146" s="145" t="s">
        <v>338</v>
      </c>
      <c r="B146" s="964" t="s">
        <v>1129</v>
      </c>
      <c r="C146" s="147">
        <v>357174691.20999998</v>
      </c>
      <c r="D146" s="147">
        <v>30623000.390000001</v>
      </c>
      <c r="E146" s="147">
        <v>19480283.010000002</v>
      </c>
      <c r="F146" s="147">
        <v>95658464.120000005</v>
      </c>
      <c r="G146" s="147">
        <v>211412943.69</v>
      </c>
      <c r="H146" s="147">
        <v>17968758.600000001</v>
      </c>
    </row>
    <row r="147" spans="1:8" s="1012" customFormat="1" ht="12" customHeight="1">
      <c r="A147" s="1009" t="s">
        <v>342</v>
      </c>
      <c r="B147" s="1010" t="s">
        <v>1130</v>
      </c>
      <c r="C147" s="1011">
        <v>461657491.10000002</v>
      </c>
      <c r="D147" s="1011">
        <v>13835992</v>
      </c>
      <c r="E147" s="1011">
        <v>9090037.8000000007</v>
      </c>
      <c r="F147" s="1011">
        <v>50546167.740000002</v>
      </c>
      <c r="G147" s="1011">
        <v>388185293.56</v>
      </c>
      <c r="H147" s="1011">
        <v>24966432.850000001</v>
      </c>
    </row>
    <row r="148" spans="1:8" s="1012" customFormat="1" ht="12" customHeight="1">
      <c r="A148" s="1009" t="s">
        <v>346</v>
      </c>
      <c r="B148" s="1010" t="s">
        <v>1131</v>
      </c>
      <c r="C148" s="1011">
        <v>1456162926.1800001</v>
      </c>
      <c r="D148" s="1011">
        <v>94576833.579999998</v>
      </c>
      <c r="E148" s="1011">
        <v>60964181.43</v>
      </c>
      <c r="F148" s="1011">
        <v>315259380.98000002</v>
      </c>
      <c r="G148" s="1011">
        <v>985362530.19000006</v>
      </c>
      <c r="H148" s="1011">
        <v>75064038.459999993</v>
      </c>
    </row>
    <row r="149" spans="1:8" s="1012" customFormat="1" ht="12" customHeight="1">
      <c r="A149" s="1009" t="s">
        <v>350</v>
      </c>
      <c r="B149" s="1010" t="s">
        <v>1132</v>
      </c>
      <c r="C149" s="1011">
        <v>265328474.41</v>
      </c>
      <c r="D149" s="1011">
        <v>13578380.130000001</v>
      </c>
      <c r="E149" s="1011">
        <v>8801967</v>
      </c>
      <c r="F149" s="1011">
        <v>46102704.350000001</v>
      </c>
      <c r="G149" s="1011">
        <v>196845422.93000001</v>
      </c>
      <c r="H149" s="1011">
        <v>13893572.75</v>
      </c>
    </row>
    <row r="150" spans="1:8" s="1012" customFormat="1" ht="12" customHeight="1">
      <c r="A150" s="1009" t="s">
        <v>354</v>
      </c>
      <c r="B150" s="1010" t="s">
        <v>1133</v>
      </c>
      <c r="C150" s="1013">
        <v>7854959933.4399996</v>
      </c>
      <c r="D150" s="1013">
        <v>256576226.61000001</v>
      </c>
      <c r="E150" s="1013">
        <v>165873777.19999999</v>
      </c>
      <c r="F150" s="1013">
        <v>880197173.37</v>
      </c>
      <c r="G150" s="1013">
        <v>6552312756.2600002</v>
      </c>
      <c r="H150" s="1013">
        <v>427665907.74000001</v>
      </c>
    </row>
    <row r="151" spans="1:8" ht="18" customHeight="1">
      <c r="A151" s="145" t="s">
        <v>22</v>
      </c>
      <c r="B151" s="964" t="s">
        <v>1134</v>
      </c>
      <c r="C151" s="147">
        <v>2195053603</v>
      </c>
      <c r="D151" s="147">
        <v>103658674.95</v>
      </c>
      <c r="E151" s="147">
        <v>67087808</v>
      </c>
      <c r="F151" s="147">
        <v>351397936.82999998</v>
      </c>
      <c r="G151" s="147">
        <v>1672909183.22</v>
      </c>
      <c r="H151" s="147">
        <v>116388033.02</v>
      </c>
    </row>
    <row r="152" spans="1:8" s="1012" customFormat="1" ht="12" customHeight="1">
      <c r="A152" s="1009" t="s">
        <v>362</v>
      </c>
      <c r="B152" s="1010" t="s">
        <v>1135</v>
      </c>
      <c r="C152" s="1011">
        <v>700155185.19000006</v>
      </c>
      <c r="D152" s="1011">
        <v>28177282.530000001</v>
      </c>
      <c r="E152" s="1011">
        <v>18392163.199999999</v>
      </c>
      <c r="F152" s="1011">
        <v>99706371.530000001</v>
      </c>
      <c r="G152" s="1011">
        <v>553879367.92999995</v>
      </c>
      <c r="H152" s="1011">
        <v>37273351</v>
      </c>
    </row>
    <row r="153" spans="1:8" s="1012" customFormat="1" ht="12" customHeight="1">
      <c r="A153" s="1009" t="s">
        <v>366</v>
      </c>
      <c r="B153" s="1010" t="s">
        <v>1136</v>
      </c>
      <c r="C153" s="1011">
        <v>558701420.85000002</v>
      </c>
      <c r="D153" s="1011">
        <v>28408151</v>
      </c>
      <c r="E153" s="1011">
        <v>18505030</v>
      </c>
      <c r="F153" s="1011">
        <v>99703968.180000007</v>
      </c>
      <c r="G153" s="1011">
        <v>412084271.67000002</v>
      </c>
      <c r="H153" s="1011">
        <v>29252411.02</v>
      </c>
    </row>
    <row r="154" spans="1:8" s="1012" customFormat="1" ht="12" customHeight="1">
      <c r="A154" s="1009" t="s">
        <v>370</v>
      </c>
      <c r="B154" s="1010" t="s">
        <v>1137</v>
      </c>
      <c r="C154" s="1011">
        <v>2587643593.8099999</v>
      </c>
      <c r="D154" s="1011">
        <v>103589189.5</v>
      </c>
      <c r="E154" s="1011">
        <v>67252393.299999997</v>
      </c>
      <c r="F154" s="1011">
        <v>360602061.81999999</v>
      </c>
      <c r="G154" s="1011">
        <v>2056199949.1900001</v>
      </c>
      <c r="H154" s="1011">
        <v>138190681.21000001</v>
      </c>
    </row>
    <row r="155" spans="1:8" ht="18" customHeight="1">
      <c r="A155" s="145" t="s">
        <v>23</v>
      </c>
      <c r="B155" s="964" t="s">
        <v>1138</v>
      </c>
      <c r="C155" s="147">
        <v>15063355236.879999</v>
      </c>
      <c r="D155" s="147">
        <v>492594528.35000002</v>
      </c>
      <c r="E155" s="147">
        <v>320964078.45999998</v>
      </c>
      <c r="F155" s="147">
        <v>1733982889.8199999</v>
      </c>
      <c r="G155" s="147">
        <v>12515813740.25</v>
      </c>
      <c r="H155" s="147">
        <v>815776445.99000001</v>
      </c>
    </row>
    <row r="156" spans="1:8" s="1012" customFormat="1" ht="12" customHeight="1">
      <c r="A156" s="1009" t="s">
        <v>375</v>
      </c>
      <c r="B156" s="1010" t="s">
        <v>1139</v>
      </c>
      <c r="C156" s="1011">
        <v>465378347.44</v>
      </c>
      <c r="D156" s="1011">
        <v>25361706</v>
      </c>
      <c r="E156" s="1011">
        <v>16523379</v>
      </c>
      <c r="F156" s="1011">
        <v>88389599.790000007</v>
      </c>
      <c r="G156" s="1011">
        <v>335103662.64999998</v>
      </c>
      <c r="H156" s="1011">
        <v>24234519.300000001</v>
      </c>
    </row>
    <row r="157" spans="1:8" s="1012" customFormat="1" ht="12" customHeight="1">
      <c r="A157" s="1009" t="s">
        <v>378</v>
      </c>
      <c r="B157" s="1010" t="s">
        <v>1140</v>
      </c>
      <c r="C157" s="1011">
        <v>380495203.02999997</v>
      </c>
      <c r="D157" s="1011">
        <v>15537924.51</v>
      </c>
      <c r="E157" s="1011">
        <v>9898917.4600000009</v>
      </c>
      <c r="F157" s="1011">
        <v>51738869.670000002</v>
      </c>
      <c r="G157" s="1011">
        <v>303319491.38999999</v>
      </c>
      <c r="H157" s="1011">
        <v>20381549.07</v>
      </c>
    </row>
    <row r="158" spans="1:8" s="1012" customFormat="1" ht="12" customHeight="1">
      <c r="A158" s="1009" t="s">
        <v>381</v>
      </c>
      <c r="B158" s="1010" t="s">
        <v>1141</v>
      </c>
      <c r="C158" s="1011">
        <v>726856815.53999996</v>
      </c>
      <c r="D158" s="1011">
        <v>32514726.789999999</v>
      </c>
      <c r="E158" s="1011">
        <v>21046434.620000001</v>
      </c>
      <c r="F158" s="1011">
        <v>111825615.73</v>
      </c>
      <c r="G158" s="1011">
        <v>561470038.39999998</v>
      </c>
      <c r="H158" s="1011">
        <v>38663991.25</v>
      </c>
    </row>
    <row r="159" spans="1:8" ht="4" customHeight="1">
      <c r="A159" s="288"/>
      <c r="B159" s="967"/>
      <c r="C159" s="288"/>
      <c r="D159" s="288"/>
      <c r="E159" s="288"/>
      <c r="F159" s="288"/>
      <c r="G159" s="288"/>
      <c r="H159" s="288"/>
    </row>
    <row r="160" spans="1:8" s="1012" customFormat="1" ht="12.65" customHeight="1">
      <c r="A160" s="1015" t="s">
        <v>24</v>
      </c>
      <c r="B160" s="1016"/>
      <c r="C160" s="1017">
        <f t="shared" ref="C160:H160" si="1">SUM(C121:C158)</f>
        <v>71660971136.029999</v>
      </c>
      <c r="D160" s="1017">
        <f t="shared" si="1"/>
        <v>2765063036.5700002</v>
      </c>
      <c r="E160" s="1017">
        <f t="shared" si="1"/>
        <v>1790650357.0299997</v>
      </c>
      <c r="F160" s="1017">
        <f t="shared" si="1"/>
        <v>9522379588.0099983</v>
      </c>
      <c r="G160" s="1017">
        <f t="shared" si="1"/>
        <v>57582878154.419991</v>
      </c>
      <c r="H160" s="1017">
        <f t="shared" si="1"/>
        <v>3850133772.4099994</v>
      </c>
    </row>
    <row r="161" spans="1:8" s="1012" customFormat="1" ht="12.65" customHeight="1">
      <c r="A161" s="1015" t="s">
        <v>19</v>
      </c>
      <c r="B161" s="1016"/>
      <c r="C161" s="1015">
        <f t="shared" ref="C161:H161" si="2">C115</f>
        <v>241744620060.47998</v>
      </c>
      <c r="D161" s="1015">
        <f t="shared" si="2"/>
        <v>6857784979.0700006</v>
      </c>
      <c r="E161" s="1015">
        <f t="shared" si="2"/>
        <v>4484884095.3300018</v>
      </c>
      <c r="F161" s="1015">
        <f t="shared" si="2"/>
        <v>24615176702.710007</v>
      </c>
      <c r="G161" s="1015">
        <f t="shared" si="2"/>
        <v>205786774283.37</v>
      </c>
      <c r="H161" s="1015">
        <f t="shared" si="2"/>
        <v>13167933759.839998</v>
      </c>
    </row>
    <row r="162" spans="1:8" s="1012" customFormat="1" ht="12.65" customHeight="1">
      <c r="A162" s="1015" t="s">
        <v>591</v>
      </c>
      <c r="B162" s="1018" t="s">
        <v>1142</v>
      </c>
      <c r="C162" s="1009">
        <v>11843748118.280001</v>
      </c>
      <c r="D162" s="1009">
        <v>336784060.10000002</v>
      </c>
      <c r="E162" s="1009">
        <v>208389488.78</v>
      </c>
      <c r="F162" s="1009">
        <v>1074580420.21</v>
      </c>
      <c r="G162" s="1009">
        <v>10223994149.190001</v>
      </c>
      <c r="H162" s="1009">
        <v>653021321.80999994</v>
      </c>
    </row>
    <row r="163" spans="1:8" ht="6" customHeight="1">
      <c r="A163" s="286"/>
      <c r="B163" s="966"/>
      <c r="C163" s="286"/>
      <c r="D163" s="286"/>
      <c r="E163" s="286"/>
      <c r="F163" s="286"/>
      <c r="G163" s="286"/>
      <c r="H163" s="286"/>
    </row>
    <row r="164" spans="1:8" s="1012" customFormat="1" ht="12.65" customHeight="1">
      <c r="A164" s="1015" t="s">
        <v>25</v>
      </c>
      <c r="B164" s="1016"/>
      <c r="C164" s="1015">
        <f t="shared" ref="C164:H164" si="3">SUM(C160:C162)</f>
        <v>325249339314.79004</v>
      </c>
      <c r="D164" s="1015">
        <f t="shared" si="3"/>
        <v>9959632075.7400017</v>
      </c>
      <c r="E164" s="1015">
        <f t="shared" si="3"/>
        <v>6483923941.1400013</v>
      </c>
      <c r="F164" s="1015">
        <f t="shared" si="3"/>
        <v>35212136710.930008</v>
      </c>
      <c r="G164" s="1015">
        <f t="shared" si="3"/>
        <v>273593646586.97998</v>
      </c>
      <c r="H164" s="1015">
        <f t="shared" si="3"/>
        <v>17671088854.059998</v>
      </c>
    </row>
    <row r="165" spans="1:8" s="173" customFormat="1" ht="6" customHeight="1">
      <c r="A165" s="517"/>
      <c r="B165" s="969"/>
      <c r="C165" s="518"/>
      <c r="D165" s="518"/>
      <c r="E165" s="518"/>
      <c r="F165" s="518"/>
      <c r="G165" s="518"/>
      <c r="H165" s="518"/>
    </row>
    <row r="166" spans="1:8" s="1071" customFormat="1" ht="10" customHeight="1">
      <c r="A166" s="1070" t="s">
        <v>1</v>
      </c>
      <c r="C166" s="1072"/>
      <c r="H166" s="1073"/>
    </row>
    <row r="167" spans="1:8" s="1075" customFormat="1" ht="10" customHeight="1">
      <c r="A167" s="1074" t="s">
        <v>956</v>
      </c>
      <c r="C167" s="1076"/>
    </row>
    <row r="168" spans="1:8" s="1075" customFormat="1" ht="10" customHeight="1">
      <c r="A168" s="1074" t="s">
        <v>746</v>
      </c>
      <c r="C168" s="1076"/>
    </row>
    <row r="169" spans="1:8" s="1075" customFormat="1" ht="10" customHeight="1">
      <c r="A169" s="1074" t="str">
        <f>'1.5'!A174</f>
        <v>* Returns not assigned to a locality are generally nonresident returns.  In these cases, the taxpayer did not report a locality in which the Virginia portion of income was earned.</v>
      </c>
      <c r="C169" s="1076"/>
    </row>
    <row r="170" spans="1:8" s="667" customFormat="1" ht="12.75" customHeight="1">
      <c r="A170" s="745" t="s">
        <v>930</v>
      </c>
      <c r="B170" s="745"/>
      <c r="C170" s="668"/>
      <c r="D170" s="668"/>
      <c r="E170" s="668"/>
      <c r="F170" s="669"/>
    </row>
    <row r="173" spans="1:8">
      <c r="D173" s="147"/>
      <c r="E173" s="147"/>
      <c r="F173" s="147"/>
      <c r="G173" s="147"/>
      <c r="H173" s="147"/>
    </row>
    <row r="180" spans="3:3" s="1278" customFormat="1" ht="11.5">
      <c r="C180" s="1279"/>
    </row>
    <row r="181" spans="3:3" s="1280" customFormat="1" ht="10" customHeight="1">
      <c r="C181" s="1281"/>
    </row>
  </sheetData>
  <customSheetViews>
    <customSheetView guid="{E6BBE5A7-0B25-4EE8-BA45-5EA5DBAF3AD4}" showPageBreaks="1" outlineSymbols="0" printArea="1">
      <pane xSplit="1" topLeftCell="B1" activePane="topRight" state="frozen"/>
      <selection pane="topRight" activeCell="A3" sqref="A3"/>
      <rowBreaks count="4" manualBreakCount="4">
        <brk id="42" max="6" man="1"/>
        <brk id="84" max="6" man="1"/>
        <brk id="126" max="6" man="1"/>
        <brk id="168" max="6" man="1"/>
      </rowBreaks>
      <pageMargins left="0.5" right="0.5" top="0.5" bottom="1" header="0.5" footer="0.5"/>
      <printOptions horizontalCentered="1"/>
      <pageSetup scale="84" firstPageNumber="17" fitToHeight="6" orientation="landscape" useFirstPageNumber="1" r:id="rId1"/>
      <headerFooter alignWithMargins="0"/>
    </customSheetView>
  </customSheetViews>
  <hyperlinks>
    <hyperlink ref="I1" location="TOC!A1" display="Back" xr:uid="{00000000-0004-0000-0B00-000000000000}"/>
  </hyperlinks>
  <pageMargins left="0.6" right="0.25" top="0.25" bottom="0.1" header="0.25" footer="0.25"/>
  <pageSetup scale="83" firstPageNumber="17" fitToHeight="6" orientation="landscape" r:id="rId2"/>
  <headerFooter scaleWithDoc="0">
    <oddHeader>&amp;R&amp;P</oddHeader>
  </headerFooter>
  <rowBreaks count="3" manualBreakCount="3">
    <brk id="41" max="6" man="1"/>
    <brk id="82" max="6" man="1"/>
    <brk id="115" max="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P44"/>
  <sheetViews>
    <sheetView zoomScaleNormal="100" workbookViewId="0"/>
  </sheetViews>
  <sheetFormatPr defaultColWidth="9.26953125" defaultRowHeight="13"/>
  <cols>
    <col min="1" max="1" width="6.6328125" style="80" customWidth="1"/>
    <col min="2" max="2" width="17.6328125" style="80" customWidth="1"/>
    <col min="3" max="3" width="12.6328125" style="82" customWidth="1"/>
    <col min="4" max="4" width="12.6328125" style="80" customWidth="1"/>
    <col min="5" max="5" width="2.6328125" style="80" customWidth="1"/>
    <col min="6" max="6" width="12.6328125" style="82" customWidth="1"/>
    <col min="7" max="7" width="12.6328125" style="80" customWidth="1"/>
    <col min="8" max="8" width="2.6328125" style="80" customWidth="1"/>
    <col min="9" max="9" width="12.6328125" style="82" customWidth="1"/>
    <col min="10" max="10" width="12.6328125" style="80" customWidth="1"/>
    <col min="11" max="11" width="2.6328125" style="83" customWidth="1"/>
    <col min="12" max="12" width="12.6328125" style="82" customWidth="1"/>
    <col min="13" max="13" width="12.6328125" style="80" customWidth="1"/>
    <col min="14" max="14" width="4.6328125" style="80" customWidth="1"/>
    <col min="15" max="16" width="9.26953125" style="366"/>
    <col min="17" max="16384" width="9.26953125" style="80"/>
  </cols>
  <sheetData>
    <row r="1" spans="1:15" ht="16" customHeight="1">
      <c r="A1" s="340" t="s">
        <v>601</v>
      </c>
      <c r="C1" s="81"/>
      <c r="O1" s="811" t="s">
        <v>954</v>
      </c>
    </row>
    <row r="2" spans="1:15" ht="15.5">
      <c r="A2" s="84" t="s">
        <v>602</v>
      </c>
    </row>
    <row r="3" spans="1:15" ht="6" customHeight="1" thickBot="1">
      <c r="B3" s="85"/>
      <c r="C3" s="86"/>
      <c r="D3" s="85"/>
      <c r="E3" s="85"/>
      <c r="F3" s="86"/>
      <c r="G3" s="85"/>
      <c r="H3" s="85"/>
    </row>
    <row r="4" spans="1:15" ht="15.5">
      <c r="A4" s="1613"/>
      <c r="B4" s="1614"/>
      <c r="C4" s="87">
        <v>2019</v>
      </c>
      <c r="D4" s="87"/>
      <c r="E4" s="88"/>
      <c r="F4" s="87">
        <v>2020</v>
      </c>
      <c r="G4" s="87"/>
      <c r="H4" s="88"/>
      <c r="I4" s="87">
        <v>2021</v>
      </c>
      <c r="J4" s="87"/>
      <c r="K4" s="88"/>
      <c r="L4" s="87">
        <v>2022</v>
      </c>
      <c r="M4" s="87"/>
    </row>
    <row r="5" spans="1:15" ht="26">
      <c r="A5" s="1615" t="s">
        <v>603</v>
      </c>
      <c r="B5" s="1616"/>
      <c r="C5" s="960" t="s">
        <v>1003</v>
      </c>
      <c r="D5" s="953" t="s">
        <v>1213</v>
      </c>
      <c r="E5" s="89"/>
      <c r="F5" s="960" t="s">
        <v>1003</v>
      </c>
      <c r="G5" s="1239" t="s">
        <v>16</v>
      </c>
      <c r="H5" s="89"/>
      <c r="I5" s="960" t="s">
        <v>1003</v>
      </c>
      <c r="J5" s="1239" t="s">
        <v>16</v>
      </c>
      <c r="K5" s="89"/>
      <c r="L5" s="960" t="s">
        <v>1003</v>
      </c>
      <c r="M5" s="953" t="s">
        <v>16</v>
      </c>
    </row>
    <row r="6" spans="1:15" ht="21" customHeight="1">
      <c r="A6" s="1612" t="s">
        <v>604</v>
      </c>
      <c r="B6" s="1612"/>
      <c r="C6" s="90">
        <v>118572</v>
      </c>
      <c r="D6" s="91">
        <v>25116360.699999999</v>
      </c>
      <c r="F6" s="90">
        <v>67765</v>
      </c>
      <c r="G6" s="91">
        <v>14986156.43</v>
      </c>
      <c r="I6" s="90">
        <v>98692</v>
      </c>
      <c r="J6" s="91">
        <v>19194586.969999999</v>
      </c>
      <c r="K6" s="80"/>
      <c r="L6" s="90">
        <v>74786</v>
      </c>
      <c r="M6" s="91">
        <v>19941604.489999998</v>
      </c>
    </row>
    <row r="7" spans="1:15" ht="12.5">
      <c r="A7" s="1612" t="s">
        <v>605</v>
      </c>
      <c r="B7" s="1612"/>
      <c r="C7" s="90">
        <v>6625</v>
      </c>
      <c r="D7" s="93">
        <v>1439198.43</v>
      </c>
      <c r="F7" s="90">
        <v>6783</v>
      </c>
      <c r="G7" s="93">
        <v>1396821.2</v>
      </c>
      <c r="I7" s="90">
        <v>8885</v>
      </c>
      <c r="J7" s="93">
        <v>1895465.07</v>
      </c>
      <c r="K7" s="80"/>
      <c r="L7" s="90">
        <v>9699</v>
      </c>
      <c r="M7" s="93">
        <v>3011966.55</v>
      </c>
    </row>
    <row r="8" spans="1:15" ht="12.75" customHeight="1">
      <c r="A8" s="1612" t="s">
        <v>606</v>
      </c>
      <c r="B8" s="1616"/>
      <c r="C8" s="90">
        <v>37262</v>
      </c>
      <c r="D8" s="93">
        <v>5244447.8099999996</v>
      </c>
      <c r="F8" s="90">
        <v>40491</v>
      </c>
      <c r="G8" s="93">
        <v>5211471.6500000004</v>
      </c>
      <c r="I8" s="90">
        <v>53749</v>
      </c>
      <c r="J8" s="93">
        <v>7130779.8200000003</v>
      </c>
      <c r="K8" s="80"/>
      <c r="L8" s="90">
        <v>60450</v>
      </c>
      <c r="M8" s="93">
        <v>9744397.3499999996</v>
      </c>
    </row>
    <row r="9" spans="1:15" ht="12.5">
      <c r="A9" s="1612" t="s">
        <v>607</v>
      </c>
      <c r="B9" s="1612"/>
      <c r="C9" s="90">
        <v>2314</v>
      </c>
      <c r="D9" s="93">
        <v>351093.01</v>
      </c>
      <c r="F9" s="90">
        <v>2410</v>
      </c>
      <c r="G9" s="93">
        <v>359644.59</v>
      </c>
      <c r="I9" s="90">
        <v>3053</v>
      </c>
      <c r="J9" s="93">
        <v>449772.62</v>
      </c>
      <c r="K9" s="80"/>
      <c r="L9" s="90">
        <v>3579</v>
      </c>
      <c r="M9" s="93">
        <v>646133.80000000005</v>
      </c>
    </row>
    <row r="10" spans="1:15" ht="12.5">
      <c r="A10" s="1612" t="s">
        <v>608</v>
      </c>
      <c r="B10" s="1612"/>
      <c r="C10" s="90">
        <v>3919</v>
      </c>
      <c r="D10" s="93">
        <v>548832.85</v>
      </c>
      <c r="F10" s="90">
        <v>4805</v>
      </c>
      <c r="G10" s="93">
        <v>606549.03</v>
      </c>
      <c r="I10" s="90">
        <v>7097</v>
      </c>
      <c r="J10" s="93">
        <v>942396.44</v>
      </c>
      <c r="K10" s="80"/>
      <c r="L10" s="90">
        <v>9744</v>
      </c>
      <c r="M10" s="93">
        <v>1557641.69</v>
      </c>
    </row>
    <row r="11" spans="1:15" ht="12.5">
      <c r="A11" s="92" t="s">
        <v>609</v>
      </c>
      <c r="C11" s="90">
        <v>6781</v>
      </c>
      <c r="D11" s="93">
        <v>2487295.6800000002</v>
      </c>
      <c r="F11" s="90">
        <v>2306</v>
      </c>
      <c r="G11" s="93">
        <v>1869537.17</v>
      </c>
      <c r="I11" s="327">
        <v>1</v>
      </c>
      <c r="J11" s="328">
        <v>19868.689999999999</v>
      </c>
      <c r="K11" s="80"/>
      <c r="L11" s="327">
        <v>0</v>
      </c>
      <c r="M11" s="328">
        <v>0</v>
      </c>
    </row>
    <row r="12" spans="1:15" ht="12.5">
      <c r="A12" s="1617" t="s">
        <v>268</v>
      </c>
      <c r="B12" s="1617"/>
      <c r="C12" s="327">
        <v>124032</v>
      </c>
      <c r="D12" s="328">
        <v>20694617.34</v>
      </c>
      <c r="E12" s="366"/>
      <c r="F12" s="327">
        <v>91175</v>
      </c>
      <c r="G12" s="328">
        <v>14788383.75</v>
      </c>
      <c r="H12" s="366"/>
      <c r="I12" s="327">
        <v>148722</v>
      </c>
      <c r="J12" s="93">
        <v>24417481.780000001</v>
      </c>
      <c r="K12" s="80"/>
      <c r="L12" s="90">
        <v>150565</v>
      </c>
      <c r="M12" s="93">
        <v>31583813.329999998</v>
      </c>
    </row>
    <row r="13" spans="1:15" ht="12.5">
      <c r="A13" s="1617" t="s">
        <v>269</v>
      </c>
      <c r="B13" s="1617"/>
      <c r="C13" s="327">
        <v>114900</v>
      </c>
      <c r="D13" s="328">
        <v>18338563.329999998</v>
      </c>
      <c r="E13" s="366"/>
      <c r="F13" s="327">
        <v>93039</v>
      </c>
      <c r="G13" s="328">
        <v>15437520.27</v>
      </c>
      <c r="H13" s="366"/>
      <c r="I13" s="327">
        <v>157530</v>
      </c>
      <c r="J13" s="93">
        <v>26124952.140000001</v>
      </c>
      <c r="K13" s="80"/>
      <c r="L13" s="90">
        <v>154388</v>
      </c>
      <c r="M13" s="93">
        <v>32031494.09</v>
      </c>
    </row>
    <row r="14" spans="1:15" ht="12.5">
      <c r="A14" s="1617" t="s">
        <v>610</v>
      </c>
      <c r="B14" s="1617"/>
      <c r="C14" s="327">
        <v>6190</v>
      </c>
      <c r="D14" s="328">
        <v>537884.18999999994</v>
      </c>
      <c r="E14" s="366"/>
      <c r="F14" s="327">
        <v>5960</v>
      </c>
      <c r="G14" s="328">
        <v>478133.7</v>
      </c>
      <c r="H14" s="366"/>
      <c r="I14" s="327">
        <v>9585</v>
      </c>
      <c r="J14" s="93">
        <v>890070.45</v>
      </c>
      <c r="K14" s="80"/>
      <c r="L14" s="90">
        <v>9187</v>
      </c>
      <c r="M14" s="93">
        <v>919634.9</v>
      </c>
    </row>
    <row r="15" spans="1:15" ht="12.5">
      <c r="A15" s="1612" t="s">
        <v>611</v>
      </c>
      <c r="B15" s="1612"/>
      <c r="C15" s="90">
        <v>1379</v>
      </c>
      <c r="D15" s="93">
        <v>404823.16</v>
      </c>
      <c r="F15" s="90">
        <v>1086</v>
      </c>
      <c r="G15" s="93">
        <v>294920.27</v>
      </c>
      <c r="I15" s="90">
        <v>1629</v>
      </c>
      <c r="J15" s="93">
        <v>459460.28</v>
      </c>
      <c r="K15" s="80"/>
      <c r="L15" s="90">
        <v>1570</v>
      </c>
      <c r="M15" s="93">
        <v>571609.68999999994</v>
      </c>
    </row>
    <row r="16" spans="1:15" ht="21" customHeight="1">
      <c r="A16" s="954" t="s">
        <v>845</v>
      </c>
      <c r="B16" s="955"/>
      <c r="C16" s="1324">
        <v>17215</v>
      </c>
      <c r="D16" s="1325">
        <v>5057115.0199999996</v>
      </c>
      <c r="E16" s="955"/>
      <c r="F16" s="956">
        <v>2566</v>
      </c>
      <c r="G16" s="957">
        <v>813724.61</v>
      </c>
      <c r="H16" s="955"/>
      <c r="I16" s="956">
        <v>3390</v>
      </c>
      <c r="J16" s="957">
        <v>1109008.49</v>
      </c>
      <c r="K16" s="955"/>
      <c r="L16" s="956">
        <v>4471</v>
      </c>
      <c r="M16" s="957">
        <v>1634391.35</v>
      </c>
    </row>
    <row r="17" spans="1:13" ht="15" customHeight="1">
      <c r="A17" s="958"/>
      <c r="B17" s="959" t="s">
        <v>612</v>
      </c>
      <c r="C17" s="1376">
        <f>SUM(C6:C16)</f>
        <v>439189</v>
      </c>
      <c r="D17" s="1377">
        <f>SUM(D6:D16)</f>
        <v>80220231.519999996</v>
      </c>
      <c r="E17" s="1378"/>
      <c r="F17" s="1376">
        <f>SUM(F6:F16)</f>
        <v>318386</v>
      </c>
      <c r="G17" s="1377">
        <f>SUM(G6:G16)</f>
        <v>56242862.670000009</v>
      </c>
      <c r="H17" s="1378"/>
      <c r="I17" s="1376">
        <f>SUM(I6:I16)</f>
        <v>492333</v>
      </c>
      <c r="J17" s="1377">
        <f>SUM(J6:J16)</f>
        <v>82633842.75</v>
      </c>
      <c r="K17" s="1378"/>
      <c r="L17" s="1376">
        <f>SUM(L6:L16)</f>
        <v>478439</v>
      </c>
      <c r="M17" s="1377">
        <f>SUM(M6:M16)</f>
        <v>101642687.23999999</v>
      </c>
    </row>
    <row r="18" spans="1:13" ht="6" customHeight="1">
      <c r="G18" s="94"/>
      <c r="J18" s="94"/>
      <c r="L18" s="217"/>
      <c r="M18" s="91"/>
    </row>
    <row r="19" spans="1:13" s="525" customFormat="1">
      <c r="A19" s="525" t="s">
        <v>15</v>
      </c>
      <c r="C19" s="755"/>
      <c r="F19" s="755"/>
      <c r="I19" s="755"/>
      <c r="K19" s="756"/>
      <c r="L19" s="755"/>
    </row>
    <row r="20" spans="1:13" s="525" customFormat="1" ht="13" customHeight="1">
      <c r="A20" s="525" t="s">
        <v>745</v>
      </c>
      <c r="C20" s="755"/>
      <c r="F20" s="755"/>
      <c r="I20" s="755"/>
      <c r="K20" s="756"/>
      <c r="L20" s="755"/>
    </row>
    <row r="21" spans="1:13" s="525" customFormat="1" ht="13" customHeight="1">
      <c r="A21" s="526" t="s">
        <v>850</v>
      </c>
      <c r="B21" s="666"/>
      <c r="C21" s="666"/>
      <c r="D21" s="666"/>
      <c r="E21" s="666"/>
      <c r="F21" s="666"/>
      <c r="G21" s="666"/>
      <c r="H21" s="666"/>
      <c r="I21" s="666"/>
      <c r="J21" s="666"/>
      <c r="K21" s="666"/>
      <c r="L21" s="666"/>
      <c r="M21" s="666"/>
    </row>
    <row r="22" spans="1:13" ht="13" customHeight="1">
      <c r="A22" s="1246" t="s">
        <v>1378</v>
      </c>
    </row>
    <row r="23" spans="1:13" ht="8" customHeight="1">
      <c r="A23" s="95"/>
    </row>
    <row r="24" spans="1:13" ht="8" customHeight="1"/>
    <row r="25" spans="1:13" ht="18">
      <c r="A25" s="96" t="s">
        <v>613</v>
      </c>
      <c r="C25" s="97"/>
    </row>
    <row r="26" spans="1:13" ht="15.5">
      <c r="A26" s="98" t="s">
        <v>614</v>
      </c>
      <c r="C26" s="97"/>
    </row>
    <row r="27" spans="1:13" ht="13.5" thickBot="1">
      <c r="B27" s="97"/>
      <c r="C27" s="97"/>
    </row>
    <row r="28" spans="1:13">
      <c r="B28" s="99" t="s">
        <v>615</v>
      </c>
      <c r="C28" s="952" t="s">
        <v>13</v>
      </c>
      <c r="F28" s="522"/>
      <c r="G28" s="522"/>
    </row>
    <row r="29" spans="1:13">
      <c r="B29" s="100">
        <v>2011</v>
      </c>
      <c r="C29" s="1503">
        <v>18104923.309999999</v>
      </c>
      <c r="F29" s="523"/>
      <c r="G29" s="524"/>
    </row>
    <row r="30" spans="1:13" ht="12.75" customHeight="1">
      <c r="B30" s="100">
        <v>2012</v>
      </c>
      <c r="C30" s="101">
        <v>17368776.620000001</v>
      </c>
      <c r="F30" s="523"/>
      <c r="G30" s="524"/>
    </row>
    <row r="31" spans="1:13" ht="12.75" customHeight="1">
      <c r="B31" s="100">
        <v>2013</v>
      </c>
      <c r="C31" s="101">
        <v>18211926.469999999</v>
      </c>
      <c r="F31" s="523"/>
      <c r="G31" s="524"/>
    </row>
    <row r="32" spans="1:13" ht="12.75" customHeight="1">
      <c r="B32" s="100">
        <v>2014</v>
      </c>
      <c r="C32" s="102">
        <v>19469019.920000002</v>
      </c>
      <c r="F32" s="523"/>
      <c r="G32" s="524"/>
    </row>
    <row r="33" spans="1:14" ht="12.75" customHeight="1">
      <c r="B33" s="100">
        <v>2015</v>
      </c>
      <c r="C33" s="102">
        <v>19206043.66</v>
      </c>
      <c r="F33" s="523"/>
      <c r="G33" s="524"/>
    </row>
    <row r="34" spans="1:14" ht="12.75" customHeight="1">
      <c r="B34" s="100">
        <v>2016</v>
      </c>
      <c r="C34" s="93">
        <v>16359793.289999999</v>
      </c>
      <c r="F34" s="523"/>
      <c r="G34" s="524"/>
    </row>
    <row r="35" spans="1:14" ht="12.75" customHeight="1">
      <c r="B35" s="100">
        <v>2017</v>
      </c>
      <c r="C35" s="93">
        <v>17431562.34</v>
      </c>
      <c r="F35" s="523"/>
      <c r="G35" s="524"/>
    </row>
    <row r="36" spans="1:14" ht="12.75" customHeight="1">
      <c r="B36" s="103">
        <v>2018</v>
      </c>
      <c r="C36" s="93">
        <v>16204019.57</v>
      </c>
      <c r="F36" s="523"/>
      <c r="G36" s="524"/>
    </row>
    <row r="37" spans="1:14" ht="12.75" customHeight="1">
      <c r="B37" s="100">
        <v>2019</v>
      </c>
      <c r="C37" s="93">
        <v>17428289.379999999</v>
      </c>
      <c r="F37" s="523"/>
      <c r="G37" s="524"/>
    </row>
    <row r="38" spans="1:14" ht="12.75" customHeight="1">
      <c r="B38" s="100">
        <v>2020</v>
      </c>
      <c r="C38" s="93">
        <v>18570711.949999999</v>
      </c>
      <c r="F38" s="523"/>
      <c r="G38" s="524"/>
    </row>
    <row r="39" spans="1:14">
      <c r="B39" s="103">
        <v>2021</v>
      </c>
      <c r="C39" s="93">
        <v>19281706.66</v>
      </c>
      <c r="F39" s="523"/>
    </row>
    <row r="40" spans="1:14" ht="12.75" customHeight="1">
      <c r="B40" s="100">
        <v>2022</v>
      </c>
      <c r="C40" s="93">
        <v>27012720.899999999</v>
      </c>
      <c r="I40" s="104"/>
      <c r="J40" s="104"/>
    </row>
    <row r="41" spans="1:14" ht="12.75" customHeight="1">
      <c r="D41" s="458"/>
      <c r="I41" s="104"/>
      <c r="J41" s="104"/>
    </row>
    <row r="42" spans="1:14" s="1106" customFormat="1" ht="10" customHeight="1">
      <c r="A42" s="1106" t="s">
        <v>15</v>
      </c>
      <c r="B42" s="1107"/>
      <c r="C42" s="1107"/>
      <c r="D42" s="1108"/>
      <c r="F42" s="1109"/>
      <c r="G42" s="1110"/>
      <c r="H42" s="1110"/>
      <c r="I42" s="1109"/>
      <c r="K42" s="1110"/>
      <c r="L42" s="1110"/>
      <c r="M42" s="1110"/>
      <c r="N42" s="1110"/>
    </row>
    <row r="43" spans="1:14" s="1106" customFormat="1" ht="10" customHeight="1">
      <c r="A43" s="1112" t="s">
        <v>1004</v>
      </c>
      <c r="B43" s="1114"/>
      <c r="C43" s="1114"/>
      <c r="D43" s="1114"/>
      <c r="E43" s="1111"/>
      <c r="F43" s="1112"/>
      <c r="I43" s="1109"/>
      <c r="K43" s="1113"/>
      <c r="L43" s="1109"/>
    </row>
    <row r="44" spans="1:14" s="667" customFormat="1" ht="12.75" customHeight="1">
      <c r="A44" s="745" t="s">
        <v>931</v>
      </c>
      <c r="B44" s="668"/>
      <c r="C44" s="668"/>
      <c r="D44" s="668"/>
      <c r="E44" s="669"/>
    </row>
  </sheetData>
  <customSheetViews>
    <customSheetView guid="{E6BBE5A7-0B25-4EE8-BA45-5EA5DBAF3AD4}" showPageBreaks="1" printArea="1">
      <selection activeCell="F24" sqref="F24"/>
      <pageMargins left="0.5" right="0.5" top="0.5" bottom="1" header="0.5" footer="0.5"/>
      <printOptions horizontalCentered="1"/>
      <pageSetup scale="82" firstPageNumber="22" orientation="landscape" useFirstPageNumber="1" r:id="rId1"/>
      <headerFooter alignWithMargins="0"/>
    </customSheetView>
  </customSheetViews>
  <mergeCells count="11">
    <mergeCell ref="A7:B7"/>
    <mergeCell ref="A4:B4"/>
    <mergeCell ref="A5:B5"/>
    <mergeCell ref="A6:B6"/>
    <mergeCell ref="A15:B15"/>
    <mergeCell ref="A14:B14"/>
    <mergeCell ref="A8:B8"/>
    <mergeCell ref="A9:B9"/>
    <mergeCell ref="A10:B10"/>
    <mergeCell ref="A12:B12"/>
    <mergeCell ref="A13:B13"/>
  </mergeCells>
  <hyperlinks>
    <hyperlink ref="O1" location="TOC!A1" display="Back" xr:uid="{00000000-0004-0000-0C00-000000000000}"/>
  </hyperlinks>
  <pageMargins left="0.5" right="0.25" top="0.4" bottom="0.25" header="0.25" footer="0"/>
  <pageSetup scale="96" firstPageNumber="22" orientation="landscape" r:id="rId2"/>
  <headerFooter scaleWithDoc="0">
    <oddHeader>&amp;R&amp;P</oddHeader>
  </headerFooter>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O54"/>
  <sheetViews>
    <sheetView zoomScale="95" zoomScaleNormal="95" workbookViewId="0"/>
  </sheetViews>
  <sheetFormatPr defaultColWidth="9.54296875" defaultRowHeight="11.5"/>
  <cols>
    <col min="1" max="1" width="58.7265625" style="108" customWidth="1"/>
    <col min="2" max="2" width="7.90625" style="108" hidden="1" customWidth="1"/>
    <col min="3" max="3" width="6.26953125" style="108" hidden="1" customWidth="1"/>
    <col min="4" max="4" width="10.90625" style="108" hidden="1" customWidth="1"/>
    <col min="5" max="5" width="10.7265625" style="108" customWidth="1"/>
    <col min="6" max="6" width="12.7265625" style="108" customWidth="1"/>
    <col min="7" max="7" width="1.6328125" style="108" customWidth="1"/>
    <col min="8" max="8" width="10.7265625" style="122" customWidth="1"/>
    <col min="9" max="9" width="12.7265625" style="108" customWidth="1"/>
    <col min="10" max="10" width="1.6328125" style="108" customWidth="1"/>
    <col min="11" max="11" width="10.7265625" style="122" customWidth="1"/>
    <col min="12" max="12" width="12.7265625" style="108" customWidth="1"/>
    <col min="13" max="14" width="11.6328125" style="108" customWidth="1"/>
    <col min="15" max="16384" width="9.54296875" style="108"/>
  </cols>
  <sheetData>
    <row r="1" spans="1:15" ht="17.149999999999999" customHeight="1">
      <c r="A1" s="341" t="s">
        <v>616</v>
      </c>
      <c r="B1" s="105"/>
      <c r="C1" s="105"/>
      <c r="D1" s="105"/>
      <c r="E1" s="105"/>
      <c r="F1" s="105"/>
      <c r="G1" s="105"/>
      <c r="H1" s="106"/>
      <c r="I1" s="105"/>
      <c r="J1" s="105"/>
      <c r="K1" s="106"/>
      <c r="L1" s="105"/>
      <c r="M1" s="107"/>
      <c r="O1" s="811" t="s">
        <v>954</v>
      </c>
    </row>
    <row r="2" spans="1:15" ht="15" customHeight="1">
      <c r="A2" s="109" t="s">
        <v>1177</v>
      </c>
      <c r="C2" s="105"/>
      <c r="D2" s="105"/>
      <c r="E2" s="105"/>
      <c r="F2" s="105"/>
      <c r="G2" s="105"/>
      <c r="H2" s="106"/>
      <c r="I2" s="105"/>
      <c r="J2" s="105"/>
      <c r="K2" s="106"/>
      <c r="L2" s="105"/>
      <c r="M2" s="107"/>
    </row>
    <row r="3" spans="1:15" ht="6" customHeight="1" thickBot="1">
      <c r="A3" s="110"/>
      <c r="B3" s="110"/>
      <c r="C3" s="110"/>
      <c r="D3" s="110"/>
      <c r="E3" s="110"/>
      <c r="F3" s="110"/>
      <c r="G3" s="110"/>
      <c r="H3" s="111"/>
      <c r="I3" s="110"/>
      <c r="J3" s="110"/>
      <c r="K3" s="111"/>
      <c r="L3" s="110"/>
      <c r="M3" s="107"/>
    </row>
    <row r="4" spans="1:15" ht="14.15" customHeight="1">
      <c r="A4" s="1116"/>
      <c r="B4" s="1120">
        <v>2020</v>
      </c>
      <c r="C4" s="1121"/>
      <c r="D4" s="1117"/>
      <c r="E4" s="1120" t="s" vm="1">
        <v>991</v>
      </c>
      <c r="F4" s="1121"/>
      <c r="G4" s="1117"/>
      <c r="H4" s="1120" t="s" vm="2">
        <v>1257</v>
      </c>
      <c r="I4" s="1121"/>
      <c r="J4" s="1117"/>
      <c r="K4" s="1120" t="s" vm="3">
        <v>1315</v>
      </c>
      <c r="L4" s="1121"/>
      <c r="M4" s="107"/>
    </row>
    <row r="5" spans="1:15" s="112" customFormat="1" ht="14.15" customHeight="1">
      <c r="A5" s="1118" t="s">
        <v>617</v>
      </c>
      <c r="B5" s="1119" t="s">
        <v>618</v>
      </c>
      <c r="C5" s="1119" t="s">
        <v>16</v>
      </c>
      <c r="D5" s="1119"/>
      <c r="E5" s="1119" t="s">
        <v>618</v>
      </c>
      <c r="F5" s="1119" t="s">
        <v>16</v>
      </c>
      <c r="G5" s="1119"/>
      <c r="H5" s="1119" t="s">
        <v>618</v>
      </c>
      <c r="I5" s="1119" t="s">
        <v>16</v>
      </c>
      <c r="J5" s="1119"/>
      <c r="K5" s="1119" t="s">
        <v>618</v>
      </c>
      <c r="L5" s="1119" t="s">
        <v>16</v>
      </c>
      <c r="M5" s="110"/>
      <c r="N5" s="108"/>
      <c r="O5" s="108"/>
    </row>
    <row r="6" spans="1:15" ht="21" customHeight="1">
      <c r="A6" s="758" t="s">
        <v>1340</v>
      </c>
      <c r="B6" s="111">
        <v>995</v>
      </c>
      <c r="C6" s="113">
        <v>604040.1</v>
      </c>
      <c r="D6" s="113"/>
      <c r="E6" s="111">
        <v>990</v>
      </c>
      <c r="F6" s="113">
        <v>539147.93999999994</v>
      </c>
      <c r="H6" s="111">
        <v>1120</v>
      </c>
      <c r="I6" s="113">
        <v>776164.14</v>
      </c>
      <c r="K6" s="111">
        <v>822</v>
      </c>
      <c r="L6" s="113">
        <v>556382.52</v>
      </c>
      <c r="M6" s="107"/>
      <c r="N6" s="112"/>
      <c r="O6" s="112"/>
    </row>
    <row r="7" spans="1:15" ht="14.15" customHeight="1">
      <c r="A7" s="369" t="s">
        <v>1348</v>
      </c>
      <c r="B7" s="111">
        <v>5121</v>
      </c>
      <c r="C7" s="111">
        <v>185866.94</v>
      </c>
      <c r="D7" s="111"/>
      <c r="E7" s="111">
        <v>3749</v>
      </c>
      <c r="F7" s="111">
        <v>125141.78</v>
      </c>
      <c r="H7" s="111">
        <v>3598</v>
      </c>
      <c r="I7" s="111">
        <v>116249.9</v>
      </c>
      <c r="K7" s="111">
        <v>3082</v>
      </c>
      <c r="L7" s="111">
        <v>102038.86</v>
      </c>
      <c r="M7" s="107"/>
    </row>
    <row r="8" spans="1:15" ht="14.15" customHeight="1">
      <c r="A8" s="369" t="s">
        <v>621</v>
      </c>
      <c r="B8" s="111">
        <v>5024</v>
      </c>
      <c r="C8" s="111">
        <v>115598.51</v>
      </c>
      <c r="D8" s="111"/>
      <c r="E8" s="111">
        <v>3942</v>
      </c>
      <c r="F8" s="111">
        <v>88010.3</v>
      </c>
      <c r="H8" s="111">
        <v>4496</v>
      </c>
      <c r="I8" s="111">
        <v>112371.43</v>
      </c>
      <c r="K8" s="111">
        <v>3360</v>
      </c>
      <c r="L8" s="111">
        <v>82809.070000000007</v>
      </c>
      <c r="M8" s="107"/>
    </row>
    <row r="9" spans="1:15" ht="14.15" customHeight="1">
      <c r="A9" s="759" t="s">
        <v>627</v>
      </c>
      <c r="B9" s="15">
        <v>4198</v>
      </c>
      <c r="C9" s="111">
        <v>113372.05</v>
      </c>
      <c r="D9" s="111"/>
      <c r="E9" s="15">
        <v>3573</v>
      </c>
      <c r="F9" s="111">
        <v>96239.74</v>
      </c>
      <c r="H9" s="15">
        <v>3340</v>
      </c>
      <c r="I9" s="111">
        <v>89584.19</v>
      </c>
      <c r="K9" s="111">
        <v>2895</v>
      </c>
      <c r="L9" s="111">
        <v>75393.149999999994</v>
      </c>
      <c r="M9" s="107"/>
    </row>
    <row r="10" spans="1:15" ht="14.15" customHeight="1">
      <c r="A10" s="759" t="s">
        <v>633</v>
      </c>
      <c r="B10" s="15">
        <v>2667</v>
      </c>
      <c r="C10" s="111">
        <v>81092.09</v>
      </c>
      <c r="D10" s="111"/>
      <c r="E10" s="15">
        <v>2194</v>
      </c>
      <c r="F10" s="111">
        <v>62230.15</v>
      </c>
      <c r="H10" s="15">
        <v>2666</v>
      </c>
      <c r="I10" s="111">
        <v>76358.090000000011</v>
      </c>
      <c r="K10" s="111">
        <v>2057</v>
      </c>
      <c r="L10" s="111">
        <v>60378.909999999996</v>
      </c>
      <c r="M10" s="107"/>
    </row>
    <row r="11" spans="1:15" ht="14.15" customHeight="1">
      <c r="A11" s="759" t="s">
        <v>625</v>
      </c>
      <c r="B11" s="111">
        <v>4125</v>
      </c>
      <c r="C11" s="111">
        <v>92703.73</v>
      </c>
      <c r="D11" s="111"/>
      <c r="E11" s="111">
        <v>3260</v>
      </c>
      <c r="F11" s="111">
        <v>73213.77</v>
      </c>
      <c r="H11" s="111">
        <v>3637</v>
      </c>
      <c r="I11" s="111">
        <v>85280.59</v>
      </c>
      <c r="K11" s="111">
        <v>2725</v>
      </c>
      <c r="L11" s="111">
        <v>58310.71</v>
      </c>
      <c r="M11" s="107"/>
    </row>
    <row r="12" spans="1:15" ht="14.15" customHeight="1">
      <c r="A12" s="759" t="s">
        <v>622</v>
      </c>
      <c r="B12" s="111">
        <v>3361</v>
      </c>
      <c r="C12" s="111">
        <v>83134.070000000007</v>
      </c>
      <c r="D12" s="111"/>
      <c r="E12" s="111">
        <v>2469</v>
      </c>
      <c r="F12" s="111">
        <v>56612.87</v>
      </c>
      <c r="H12" s="111">
        <v>2862</v>
      </c>
      <c r="I12" s="111">
        <v>76428.210000000006</v>
      </c>
      <c r="K12" s="111">
        <v>2117</v>
      </c>
      <c r="L12" s="111">
        <v>50218.03</v>
      </c>
      <c r="M12" s="107"/>
    </row>
    <row r="13" spans="1:15" ht="14.15" customHeight="1">
      <c r="A13" s="759" t="s">
        <v>675</v>
      </c>
      <c r="B13" s="111">
        <v>3049</v>
      </c>
      <c r="C13" s="111">
        <v>65984.47</v>
      </c>
      <c r="D13" s="111"/>
      <c r="E13" s="111">
        <v>2527</v>
      </c>
      <c r="F13" s="111">
        <v>53769.68</v>
      </c>
      <c r="H13" s="111">
        <v>2477</v>
      </c>
      <c r="I13" s="111">
        <v>51003.83</v>
      </c>
      <c r="K13" s="111">
        <v>2208</v>
      </c>
      <c r="L13" s="111">
        <v>48205.74</v>
      </c>
      <c r="M13" s="107"/>
    </row>
    <row r="14" spans="1:15" ht="14.15" customHeight="1">
      <c r="A14" s="369" t="s">
        <v>632</v>
      </c>
      <c r="B14" s="111">
        <v>2198</v>
      </c>
      <c r="C14" s="111">
        <v>60345.96</v>
      </c>
      <c r="D14" s="111"/>
      <c r="E14" s="111">
        <v>1971</v>
      </c>
      <c r="F14" s="111">
        <v>53863.61</v>
      </c>
      <c r="H14" s="111">
        <v>1841</v>
      </c>
      <c r="I14" s="111">
        <v>48734.49</v>
      </c>
      <c r="K14" s="111">
        <v>1682</v>
      </c>
      <c r="L14" s="111">
        <v>42587.53</v>
      </c>
      <c r="M14" s="107"/>
    </row>
    <row r="15" spans="1:15" ht="14.15" customHeight="1">
      <c r="A15" s="759" t="s">
        <v>631</v>
      </c>
      <c r="B15" s="111">
        <v>2591</v>
      </c>
      <c r="C15" s="111">
        <v>63442.44</v>
      </c>
      <c r="D15" s="111"/>
      <c r="E15" s="111">
        <v>2074</v>
      </c>
      <c r="F15" s="111">
        <v>49021.760000000002</v>
      </c>
      <c r="H15" s="111">
        <v>2342</v>
      </c>
      <c r="I15" s="111">
        <v>53713.9</v>
      </c>
      <c r="K15" s="111">
        <v>1849</v>
      </c>
      <c r="L15" s="111">
        <v>42343.27</v>
      </c>
      <c r="M15" s="107"/>
    </row>
    <row r="16" spans="1:15" ht="14.15" customHeight="1">
      <c r="A16" s="759" t="s">
        <v>629</v>
      </c>
      <c r="B16" s="111">
        <v>2392</v>
      </c>
      <c r="C16" s="111">
        <v>50355.51</v>
      </c>
      <c r="D16" s="111"/>
      <c r="E16" s="111">
        <v>1963</v>
      </c>
      <c r="F16" s="111">
        <v>43041.58</v>
      </c>
      <c r="H16" s="111">
        <v>2221</v>
      </c>
      <c r="I16" s="111">
        <v>51228.5</v>
      </c>
      <c r="K16" s="111">
        <v>1789</v>
      </c>
      <c r="L16" s="111">
        <v>40031.67</v>
      </c>
      <c r="M16" s="107"/>
    </row>
    <row r="17" spans="1:13" ht="14.15" customHeight="1">
      <c r="A17" s="369" t="s">
        <v>628</v>
      </c>
      <c r="B17" s="111">
        <v>1586</v>
      </c>
      <c r="C17" s="111">
        <v>52515.030000000006</v>
      </c>
      <c r="D17" s="111"/>
      <c r="E17" s="111">
        <v>1334</v>
      </c>
      <c r="F17" s="111">
        <v>45103.350000000006</v>
      </c>
      <c r="H17" s="111">
        <v>1292</v>
      </c>
      <c r="I17" s="111">
        <v>41900.310000000005</v>
      </c>
      <c r="K17" s="111">
        <v>1100</v>
      </c>
      <c r="L17" s="111">
        <v>39745.390000000007</v>
      </c>
      <c r="M17" s="107"/>
    </row>
    <row r="18" spans="1:13" ht="14.15" customHeight="1">
      <c r="A18" s="369" t="s">
        <v>623</v>
      </c>
      <c r="B18" s="111">
        <v>2551</v>
      </c>
      <c r="C18" s="111">
        <v>59776.17</v>
      </c>
      <c r="D18" s="111"/>
      <c r="E18" s="111">
        <v>1931</v>
      </c>
      <c r="F18" s="111">
        <v>40458.980000000003</v>
      </c>
      <c r="H18" s="111">
        <v>2272</v>
      </c>
      <c r="I18" s="111">
        <v>53881.23</v>
      </c>
      <c r="K18" s="111">
        <v>1711</v>
      </c>
      <c r="L18" s="111">
        <v>38274.68</v>
      </c>
      <c r="M18" s="107"/>
    </row>
    <row r="19" spans="1:13" ht="14.15" customHeight="1">
      <c r="A19" s="369" t="s">
        <v>619</v>
      </c>
      <c r="B19" s="111">
        <v>2385</v>
      </c>
      <c r="C19" s="111">
        <v>47376.68</v>
      </c>
      <c r="D19" s="111"/>
      <c r="E19" s="111">
        <v>1928</v>
      </c>
      <c r="F19" s="111">
        <v>38982.79</v>
      </c>
      <c r="H19" s="111">
        <v>2047</v>
      </c>
      <c r="I19" s="111">
        <v>42576.42</v>
      </c>
      <c r="K19" s="111">
        <v>1752</v>
      </c>
      <c r="L19" s="111">
        <v>37366.800000000003</v>
      </c>
      <c r="M19" s="107"/>
    </row>
    <row r="20" spans="1:13" ht="14.15" customHeight="1">
      <c r="A20" s="369" t="s">
        <v>626</v>
      </c>
      <c r="B20" s="111">
        <v>3094</v>
      </c>
      <c r="C20" s="111">
        <v>63368.07</v>
      </c>
      <c r="D20" s="111"/>
      <c r="E20" s="111">
        <v>2339</v>
      </c>
      <c r="F20" s="111">
        <v>44696.44</v>
      </c>
      <c r="H20" s="111">
        <v>2675</v>
      </c>
      <c r="I20" s="111">
        <v>52821.64</v>
      </c>
      <c r="K20" s="111">
        <v>1782</v>
      </c>
      <c r="L20" s="111">
        <v>33992.19</v>
      </c>
      <c r="M20" s="107"/>
    </row>
    <row r="21" spans="1:13" ht="14" customHeight="1">
      <c r="A21" s="110" t="s">
        <v>630</v>
      </c>
      <c r="B21" s="111">
        <v>1804</v>
      </c>
      <c r="C21" s="111">
        <v>40715.35</v>
      </c>
      <c r="D21" s="111"/>
      <c r="E21" s="111">
        <v>1489</v>
      </c>
      <c r="F21" s="111">
        <v>32770.019999999997</v>
      </c>
      <c r="H21" s="111">
        <v>1718</v>
      </c>
      <c r="I21" s="111">
        <v>38062.43</v>
      </c>
      <c r="K21" s="111">
        <v>1289</v>
      </c>
      <c r="L21" s="111">
        <v>29114.22</v>
      </c>
      <c r="M21" s="107"/>
    </row>
    <row r="22" spans="1:13" ht="14.15" customHeight="1">
      <c r="A22" s="759" t="s">
        <v>624</v>
      </c>
      <c r="B22" s="111">
        <v>1760</v>
      </c>
      <c r="C22" s="111">
        <v>45925</v>
      </c>
      <c r="D22" s="111"/>
      <c r="E22" s="111">
        <v>1395</v>
      </c>
      <c r="F22" s="111">
        <v>32444.66</v>
      </c>
      <c r="H22" s="111">
        <v>1323</v>
      </c>
      <c r="I22" s="111">
        <v>32017.52</v>
      </c>
      <c r="K22" s="111">
        <v>1198</v>
      </c>
      <c r="L22" s="111">
        <v>25696.87</v>
      </c>
      <c r="M22" s="107"/>
    </row>
    <row r="23" spans="1:13" ht="14.15" customHeight="1">
      <c r="A23" s="369" t="s">
        <v>1347</v>
      </c>
      <c r="B23" s="111">
        <v>1751</v>
      </c>
      <c r="C23" s="111">
        <v>37142.35</v>
      </c>
      <c r="D23" s="111"/>
      <c r="E23" s="111">
        <v>1320</v>
      </c>
      <c r="F23" s="111">
        <v>26706.69</v>
      </c>
      <c r="H23" s="111">
        <v>1402</v>
      </c>
      <c r="I23" s="111">
        <v>28691.1</v>
      </c>
      <c r="K23" s="111">
        <v>1074</v>
      </c>
      <c r="L23" s="111">
        <v>20085.509999999998</v>
      </c>
      <c r="M23" s="107"/>
    </row>
    <row r="24" spans="1:13" ht="14.15" customHeight="1">
      <c r="A24" s="759" t="s">
        <v>620</v>
      </c>
      <c r="B24" s="111">
        <v>709</v>
      </c>
      <c r="C24" s="111">
        <v>14091.07</v>
      </c>
      <c r="D24" s="111"/>
      <c r="E24" s="111">
        <v>690</v>
      </c>
      <c r="F24" s="111">
        <v>13071.22</v>
      </c>
      <c r="H24" s="111">
        <v>691</v>
      </c>
      <c r="I24" s="111">
        <v>15438</v>
      </c>
      <c r="K24" s="111">
        <v>596</v>
      </c>
      <c r="L24" s="111">
        <v>10422.77</v>
      </c>
      <c r="M24" s="107"/>
    </row>
    <row r="25" spans="1:13" ht="14.15" customHeight="1">
      <c r="A25" s="369" t="s">
        <v>767</v>
      </c>
      <c r="B25" s="111">
        <v>21</v>
      </c>
      <c r="C25" s="111">
        <v>295</v>
      </c>
      <c r="D25" s="114"/>
      <c r="E25" s="111">
        <v>2</v>
      </c>
      <c r="F25" s="111">
        <v>105</v>
      </c>
      <c r="H25" s="111">
        <v>4</v>
      </c>
      <c r="I25" s="111">
        <v>131</v>
      </c>
      <c r="K25" s="111">
        <v>7</v>
      </c>
      <c r="L25" s="111">
        <v>236</v>
      </c>
      <c r="M25" s="107"/>
    </row>
    <row r="26" spans="1:13" ht="14.15" customHeight="1">
      <c r="A26" s="759" t="s">
        <v>765</v>
      </c>
      <c r="B26" s="111">
        <v>11</v>
      </c>
      <c r="C26" s="111">
        <v>422</v>
      </c>
      <c r="D26" s="114"/>
      <c r="E26" s="111">
        <v>11</v>
      </c>
      <c r="F26" s="111">
        <v>1206</v>
      </c>
      <c r="H26" s="111">
        <v>9</v>
      </c>
      <c r="I26" s="111">
        <v>593</v>
      </c>
      <c r="K26" s="111">
        <v>6</v>
      </c>
      <c r="L26" s="111">
        <v>137</v>
      </c>
      <c r="M26" s="107"/>
    </row>
    <row r="27" spans="1:13" ht="14.15" customHeight="1">
      <c r="A27" s="759" t="s">
        <v>769</v>
      </c>
      <c r="B27" s="111">
        <v>12</v>
      </c>
      <c r="C27" s="111">
        <v>126</v>
      </c>
      <c r="D27" s="114"/>
      <c r="E27" s="111">
        <v>0</v>
      </c>
      <c r="F27" s="111">
        <v>0</v>
      </c>
      <c r="H27" s="111">
        <v>1</v>
      </c>
      <c r="I27" s="111">
        <v>1</v>
      </c>
      <c r="K27" s="111">
        <v>3</v>
      </c>
      <c r="L27" s="111">
        <v>76</v>
      </c>
      <c r="M27" s="107"/>
    </row>
    <row r="28" spans="1:13" ht="14.15" customHeight="1">
      <c r="A28" s="369" t="s">
        <v>771</v>
      </c>
      <c r="B28" s="111">
        <v>24</v>
      </c>
      <c r="C28" s="111">
        <v>384</v>
      </c>
      <c r="D28" s="114"/>
      <c r="E28" s="111">
        <v>3</v>
      </c>
      <c r="F28" s="111">
        <v>55</v>
      </c>
      <c r="H28" s="111">
        <v>3</v>
      </c>
      <c r="I28" s="111">
        <v>61</v>
      </c>
      <c r="K28" s="111">
        <v>5</v>
      </c>
      <c r="L28" s="111">
        <v>71</v>
      </c>
      <c r="M28" s="107"/>
    </row>
    <row r="29" spans="1:13" ht="14.15" customHeight="1">
      <c r="A29" s="759" t="s">
        <v>766</v>
      </c>
      <c r="B29" s="111">
        <v>12</v>
      </c>
      <c r="C29" s="111">
        <v>167</v>
      </c>
      <c r="D29" s="114"/>
      <c r="E29" s="111">
        <v>1</v>
      </c>
      <c r="F29" s="111">
        <v>50</v>
      </c>
      <c r="H29" s="111">
        <v>1</v>
      </c>
      <c r="I29" s="111">
        <v>1</v>
      </c>
      <c r="K29" s="111">
        <v>2</v>
      </c>
      <c r="L29" s="111">
        <v>26</v>
      </c>
      <c r="M29" s="107"/>
    </row>
    <row r="30" spans="1:13" ht="14.15" customHeight="1">
      <c r="A30" s="369" t="s">
        <v>772</v>
      </c>
      <c r="B30" s="111">
        <v>11</v>
      </c>
      <c r="C30" s="111">
        <v>111</v>
      </c>
      <c r="D30" s="114"/>
      <c r="E30" s="111">
        <v>0</v>
      </c>
      <c r="F30" s="111">
        <v>0</v>
      </c>
      <c r="H30" s="111">
        <v>1</v>
      </c>
      <c r="I30" s="111">
        <v>1</v>
      </c>
      <c r="K30" s="111">
        <v>1</v>
      </c>
      <c r="L30" s="111">
        <v>1</v>
      </c>
      <c r="M30" s="107"/>
    </row>
    <row r="31" spans="1:13" ht="14.15" customHeight="1">
      <c r="A31" s="369" t="s">
        <v>1349</v>
      </c>
      <c r="B31" s="111">
        <v>0</v>
      </c>
      <c r="C31" s="111">
        <v>0</v>
      </c>
      <c r="D31" s="114"/>
      <c r="E31" s="111">
        <v>0</v>
      </c>
      <c r="F31" s="111">
        <v>0</v>
      </c>
      <c r="H31" s="111">
        <v>0</v>
      </c>
      <c r="I31" s="111">
        <v>0</v>
      </c>
      <c r="K31" s="111">
        <v>0</v>
      </c>
      <c r="L31" s="111">
        <v>0</v>
      </c>
      <c r="M31" s="107"/>
    </row>
    <row r="32" spans="1:13" ht="14.15" customHeight="1">
      <c r="A32" s="369" t="s">
        <v>1350</v>
      </c>
      <c r="B32" s="111">
        <v>2</v>
      </c>
      <c r="C32" s="111">
        <v>50</v>
      </c>
      <c r="D32" s="116"/>
      <c r="E32" s="111">
        <v>0</v>
      </c>
      <c r="F32" s="111">
        <v>0</v>
      </c>
      <c r="G32" s="113"/>
      <c r="H32" s="111">
        <v>0</v>
      </c>
      <c r="I32" s="111">
        <v>0</v>
      </c>
      <c r="J32" s="113"/>
      <c r="K32" s="111">
        <v>0</v>
      </c>
      <c r="L32" s="111">
        <v>0</v>
      </c>
      <c r="M32" s="107"/>
    </row>
    <row r="33" spans="1:14" ht="14.15" customHeight="1">
      <c r="A33" s="369" t="s">
        <v>1351</v>
      </c>
      <c r="B33" s="111">
        <v>0</v>
      </c>
      <c r="C33" s="111">
        <v>0</v>
      </c>
      <c r="D33" s="116"/>
      <c r="E33" s="111">
        <v>0</v>
      </c>
      <c r="F33" s="111">
        <v>0</v>
      </c>
      <c r="G33" s="113"/>
      <c r="H33" s="111">
        <v>0</v>
      </c>
      <c r="I33" s="111">
        <v>0</v>
      </c>
      <c r="J33" s="113"/>
      <c r="K33" s="111">
        <v>0</v>
      </c>
      <c r="L33" s="111">
        <v>0</v>
      </c>
      <c r="M33" s="107"/>
    </row>
    <row r="34" spans="1:14" ht="14.15" customHeight="1">
      <c r="A34" s="369" t="s">
        <v>1352</v>
      </c>
      <c r="B34" s="111">
        <v>1</v>
      </c>
      <c r="C34" s="111">
        <v>10</v>
      </c>
      <c r="D34" s="116"/>
      <c r="E34" s="111">
        <v>0</v>
      </c>
      <c r="F34" s="111">
        <v>0</v>
      </c>
      <c r="G34" s="113"/>
      <c r="H34" s="111">
        <v>0</v>
      </c>
      <c r="I34" s="111">
        <v>0</v>
      </c>
      <c r="J34" s="113"/>
      <c r="K34" s="111">
        <v>0</v>
      </c>
      <c r="L34" s="111">
        <v>0</v>
      </c>
      <c r="M34" s="107"/>
    </row>
    <row r="35" spans="1:14" ht="14.15" customHeight="1">
      <c r="A35" s="369" t="s">
        <v>1353</v>
      </c>
      <c r="B35" s="111">
        <v>1</v>
      </c>
      <c r="C35" s="111">
        <v>25</v>
      </c>
      <c r="D35" s="116"/>
      <c r="E35" s="111">
        <v>0</v>
      </c>
      <c r="F35" s="111">
        <v>0</v>
      </c>
      <c r="G35" s="113"/>
      <c r="H35" s="111">
        <v>0</v>
      </c>
      <c r="I35" s="111">
        <v>0</v>
      </c>
      <c r="J35" s="113"/>
      <c r="K35" s="111">
        <v>0</v>
      </c>
      <c r="L35" s="111">
        <v>0</v>
      </c>
      <c r="M35" s="107"/>
    </row>
    <row r="36" spans="1:14" ht="14.15" customHeight="1">
      <c r="A36" s="369" t="s">
        <v>768</v>
      </c>
      <c r="B36" s="111">
        <v>7</v>
      </c>
      <c r="C36" s="111">
        <v>20</v>
      </c>
      <c r="D36" s="116"/>
      <c r="E36" s="111">
        <v>0</v>
      </c>
      <c r="F36" s="111">
        <v>0</v>
      </c>
      <c r="G36" s="113"/>
      <c r="H36" s="111">
        <v>1</v>
      </c>
      <c r="I36" s="111">
        <v>1</v>
      </c>
      <c r="J36" s="113"/>
      <c r="K36" s="111">
        <v>0</v>
      </c>
      <c r="L36" s="111">
        <v>0</v>
      </c>
      <c r="M36" s="107"/>
    </row>
    <row r="37" spans="1:14" ht="14.15" customHeight="1">
      <c r="A37" s="369" t="s">
        <v>1354</v>
      </c>
      <c r="B37" s="111">
        <v>1</v>
      </c>
      <c r="C37" s="111">
        <v>10</v>
      </c>
      <c r="D37" s="116"/>
      <c r="E37" s="111">
        <v>0</v>
      </c>
      <c r="F37" s="111">
        <v>0</v>
      </c>
      <c r="G37" s="113"/>
      <c r="H37" s="111">
        <v>0</v>
      </c>
      <c r="I37" s="111">
        <v>0</v>
      </c>
      <c r="J37" s="113"/>
      <c r="K37" s="111">
        <v>0</v>
      </c>
      <c r="L37" s="111">
        <v>0</v>
      </c>
      <c r="M37" s="107"/>
    </row>
    <row r="38" spans="1:14" ht="14.15" customHeight="1">
      <c r="A38" s="369" t="s">
        <v>1355</v>
      </c>
      <c r="B38" s="111">
        <v>1</v>
      </c>
      <c r="C38" s="111">
        <v>10</v>
      </c>
      <c r="D38" s="116"/>
      <c r="E38" s="111">
        <v>0</v>
      </c>
      <c r="F38" s="111">
        <v>0</v>
      </c>
      <c r="G38" s="113"/>
      <c r="H38" s="111">
        <v>0</v>
      </c>
      <c r="I38" s="111">
        <v>0</v>
      </c>
      <c r="J38" s="113"/>
      <c r="K38" s="111">
        <v>0</v>
      </c>
      <c r="L38" s="111">
        <v>0</v>
      </c>
      <c r="M38" s="107"/>
    </row>
    <row r="39" spans="1:14" ht="14.15" customHeight="1">
      <c r="A39" s="369" t="s">
        <v>1356</v>
      </c>
      <c r="B39" s="111">
        <v>1</v>
      </c>
      <c r="C39" s="111">
        <v>25</v>
      </c>
      <c r="D39" s="116"/>
      <c r="E39" s="111">
        <v>0</v>
      </c>
      <c r="F39" s="111">
        <v>0</v>
      </c>
      <c r="G39" s="113"/>
      <c r="H39" s="111">
        <v>0</v>
      </c>
      <c r="I39" s="111">
        <v>0</v>
      </c>
      <c r="J39" s="113"/>
      <c r="K39" s="111">
        <v>0</v>
      </c>
      <c r="L39" s="111">
        <v>0</v>
      </c>
      <c r="M39" s="107"/>
    </row>
    <row r="40" spans="1:14" ht="14.15" customHeight="1">
      <c r="A40" s="369" t="s">
        <v>770</v>
      </c>
      <c r="B40" s="111">
        <v>3</v>
      </c>
      <c r="C40" s="111">
        <v>4</v>
      </c>
      <c r="D40" s="116"/>
      <c r="E40" s="111">
        <v>0</v>
      </c>
      <c r="F40" s="111">
        <v>0</v>
      </c>
      <c r="G40" s="113"/>
      <c r="H40" s="111">
        <v>1</v>
      </c>
      <c r="I40" s="111">
        <v>1</v>
      </c>
      <c r="J40" s="113"/>
      <c r="K40" s="111">
        <v>0</v>
      </c>
      <c r="L40" s="111">
        <v>0</v>
      </c>
      <c r="M40" s="107"/>
    </row>
    <row r="41" spans="1:14" ht="14.15" customHeight="1">
      <c r="A41" s="369" t="s">
        <v>1357</v>
      </c>
      <c r="B41" s="111">
        <v>1</v>
      </c>
      <c r="C41" s="111">
        <v>10</v>
      </c>
      <c r="D41" s="116"/>
      <c r="E41" s="111">
        <v>0</v>
      </c>
      <c r="F41" s="111">
        <v>0</v>
      </c>
      <c r="G41" s="113"/>
      <c r="H41" s="111">
        <v>0</v>
      </c>
      <c r="I41" s="111">
        <v>0</v>
      </c>
      <c r="J41" s="113"/>
      <c r="K41" s="111">
        <v>0</v>
      </c>
      <c r="L41" s="111">
        <v>0</v>
      </c>
      <c r="M41" s="107"/>
    </row>
    <row r="42" spans="1:14" ht="6" customHeight="1">
      <c r="A42" s="369"/>
      <c r="B42" s="111"/>
      <c r="C42" s="113"/>
      <c r="D42" s="116"/>
      <c r="E42" s="111"/>
      <c r="F42" s="113"/>
      <c r="G42" s="113"/>
      <c r="H42" s="111"/>
      <c r="I42" s="113"/>
      <c r="J42" s="113"/>
      <c r="K42" s="111"/>
      <c r="L42" s="113"/>
      <c r="M42" s="107"/>
    </row>
    <row r="43" spans="1:14" ht="14.5" customHeight="1">
      <c r="A43" s="370" t="s">
        <v>13</v>
      </c>
      <c r="B43" s="117">
        <f>SUM(B6:B41)</f>
        <v>51470</v>
      </c>
      <c r="C43" s="117">
        <f t="shared" ref="C43:L43" si="0">SUM(C6:C41)</f>
        <v>1878514.5900000003</v>
      </c>
      <c r="D43" s="117"/>
      <c r="E43" s="117">
        <f t="shared" si="0"/>
        <v>41155</v>
      </c>
      <c r="F43" s="1504">
        <f t="shared" si="0"/>
        <v>1515943.33</v>
      </c>
      <c r="G43" s="117"/>
      <c r="H43" s="117">
        <f t="shared" ref="H43:I43" si="1">SUM(H6:H41)</f>
        <v>44041</v>
      </c>
      <c r="I43" s="1504">
        <f t="shared" si="1"/>
        <v>1843295.92</v>
      </c>
      <c r="J43" s="117"/>
      <c r="K43" s="117">
        <f t="shared" si="0"/>
        <v>35112</v>
      </c>
      <c r="L43" s="1504">
        <f t="shared" si="0"/>
        <v>1393944.89</v>
      </c>
      <c r="M43" s="107"/>
    </row>
    <row r="44" spans="1:14" ht="9" customHeight="1">
      <c r="A44" s="115"/>
      <c r="B44" s="118"/>
      <c r="C44" s="119"/>
      <c r="D44" s="120"/>
      <c r="E44" s="118"/>
      <c r="F44" s="121"/>
      <c r="G44" s="121"/>
      <c r="H44" s="118"/>
      <c r="I44" s="118"/>
      <c r="J44" s="121"/>
      <c r="K44" s="118"/>
      <c r="L44" s="118"/>
      <c r="M44" s="107"/>
    </row>
    <row r="45" spans="1:14" s="1115" customFormat="1">
      <c r="A45" s="1122" t="s">
        <v>1</v>
      </c>
      <c r="B45" s="1123"/>
      <c r="C45" s="1124"/>
      <c r="D45" s="1124"/>
      <c r="E45" s="1123"/>
      <c r="F45" s="1125"/>
      <c r="G45" s="1125"/>
      <c r="H45" s="1123"/>
      <c r="I45" s="1125"/>
      <c r="J45" s="1125"/>
      <c r="K45" s="1123"/>
      <c r="L45" s="1125"/>
      <c r="M45" s="1122"/>
      <c r="N45" s="1122"/>
    </row>
    <row r="46" spans="1:14" s="1115" customFormat="1" ht="13">
      <c r="A46" s="1618" t="s">
        <v>1341</v>
      </c>
      <c r="B46" s="1618"/>
      <c r="C46" s="1618"/>
      <c r="D46" s="1618"/>
      <c r="E46" s="1618"/>
      <c r="F46" s="1618"/>
      <c r="G46" s="1618"/>
      <c r="H46" s="1618"/>
      <c r="I46" s="1618"/>
      <c r="J46" s="1618"/>
      <c r="K46" s="1618"/>
      <c r="L46" s="1618"/>
      <c r="M46" s="1619"/>
      <c r="N46" s="1619"/>
    </row>
    <row r="47" spans="1:14" s="1115" customFormat="1" ht="26" customHeight="1">
      <c r="A47" s="1618" t="s">
        <v>1342</v>
      </c>
      <c r="B47" s="1618"/>
      <c r="C47" s="1618"/>
      <c r="D47" s="1618"/>
      <c r="E47" s="1618"/>
      <c r="F47" s="1618"/>
      <c r="G47" s="1618"/>
      <c r="H47" s="1618"/>
      <c r="I47" s="1618"/>
      <c r="J47" s="1618"/>
      <c r="K47" s="1618"/>
      <c r="L47" s="1618"/>
      <c r="M47" s="1619"/>
      <c r="N47" s="1619"/>
    </row>
    <row r="48" spans="1:14" s="1115" customFormat="1" ht="27.5" customHeight="1">
      <c r="A48" s="1618" t="s">
        <v>1343</v>
      </c>
      <c r="B48" s="1618"/>
      <c r="C48" s="1618"/>
      <c r="D48" s="1618"/>
      <c r="E48" s="1618"/>
      <c r="F48" s="1618"/>
      <c r="G48" s="1618"/>
      <c r="H48" s="1618"/>
      <c r="I48" s="1618"/>
      <c r="J48" s="1618"/>
      <c r="K48" s="1618"/>
      <c r="L48" s="1618"/>
      <c r="M48" s="1619"/>
      <c r="N48" s="1619"/>
    </row>
    <row r="49" spans="1:15" s="1115" customFormat="1" ht="13">
      <c r="A49" s="1620" t="s">
        <v>1344</v>
      </c>
      <c r="B49" s="1620"/>
      <c r="C49" s="1620"/>
      <c r="D49" s="1620"/>
      <c r="E49" s="1620"/>
      <c r="F49" s="1620"/>
      <c r="G49" s="1620"/>
      <c r="H49" s="1620"/>
      <c r="I49" s="1620"/>
      <c r="J49" s="1620"/>
      <c r="K49" s="1620"/>
      <c r="L49" s="1620"/>
      <c r="M49" s="1619"/>
      <c r="N49" s="1619"/>
    </row>
    <row r="50" spans="1:15" s="1115" customFormat="1" ht="27.5" customHeight="1">
      <c r="A50" s="1621" t="s">
        <v>1345</v>
      </c>
      <c r="B50" s="1618"/>
      <c r="C50" s="1618"/>
      <c r="D50" s="1618"/>
      <c r="E50" s="1618"/>
      <c r="F50" s="1618"/>
      <c r="G50" s="1618"/>
      <c r="H50" s="1618"/>
      <c r="I50" s="1618"/>
      <c r="J50" s="1618"/>
      <c r="K50" s="1618"/>
      <c r="L50" s="1618"/>
      <c r="M50" s="1619"/>
      <c r="N50" s="1619"/>
    </row>
    <row r="51" spans="1:15" s="1115" customFormat="1" ht="28.5" customHeight="1">
      <c r="A51" s="1618" t="s">
        <v>1346</v>
      </c>
      <c r="B51" s="1618"/>
      <c r="C51" s="1618"/>
      <c r="D51" s="1618"/>
      <c r="E51" s="1618"/>
      <c r="F51" s="1618"/>
      <c r="G51" s="1618"/>
      <c r="H51" s="1618"/>
      <c r="I51" s="1618"/>
      <c r="J51" s="1618"/>
      <c r="K51" s="1618"/>
      <c r="L51" s="1618"/>
      <c r="M51" s="1619"/>
      <c r="N51" s="1619"/>
    </row>
    <row r="52" spans="1:15" s="1115" customFormat="1" ht="13">
      <c r="A52" s="1618"/>
      <c r="B52" s="1618"/>
      <c r="C52" s="1618"/>
      <c r="D52" s="1618"/>
      <c r="E52" s="1618"/>
      <c r="F52" s="1618"/>
      <c r="G52" s="1618"/>
      <c r="H52" s="1618"/>
      <c r="I52" s="1618"/>
      <c r="J52" s="1618"/>
      <c r="K52" s="1618"/>
      <c r="L52" s="1618"/>
      <c r="M52" s="1619"/>
      <c r="N52" s="1619"/>
    </row>
    <row r="53" spans="1:15" s="667" customFormat="1" ht="12.75" customHeight="1">
      <c r="A53" s="745" t="s">
        <v>934</v>
      </c>
      <c r="B53" s="668"/>
      <c r="C53" s="668"/>
      <c r="D53" s="668"/>
      <c r="E53" s="669"/>
      <c r="O53" s="112"/>
    </row>
    <row r="54" spans="1:15" ht="13">
      <c r="O54" s="667"/>
    </row>
  </sheetData>
  <customSheetViews>
    <customSheetView guid="{E6BBE5A7-0B25-4EE8-BA45-5EA5DBAF3AD4}" showPageBreaks="1" printArea="1">
      <selection activeCell="I9" sqref="I9"/>
      <pageMargins left="0.5" right="0.5" top="0.5" bottom="1" header="0.5" footer="0.5"/>
      <printOptions horizontalCentered="1"/>
      <pageSetup scale="63" firstPageNumber="23" orientation="landscape" useFirstPageNumber="1" r:id="rId1"/>
      <headerFooter alignWithMargins="0"/>
    </customSheetView>
  </customSheetViews>
  <mergeCells count="7">
    <mergeCell ref="A52:N52"/>
    <mergeCell ref="A51:N51"/>
    <mergeCell ref="A48:N48"/>
    <mergeCell ref="A47:N47"/>
    <mergeCell ref="A46:N46"/>
    <mergeCell ref="A49:N49"/>
    <mergeCell ref="A50:N50"/>
  </mergeCells>
  <conditionalFormatting sqref="M6:M31">
    <cfRule type="cellIs" dxfId="2" priority="2" stopIfTrue="1" operator="equal">
      <formula>0</formula>
    </cfRule>
  </conditionalFormatting>
  <hyperlinks>
    <hyperlink ref="O1" location="TOC!A1" display="Back" xr:uid="{00000000-0004-0000-0D00-000000000000}"/>
  </hyperlinks>
  <pageMargins left="0.6" right="0.25" top="0.25" bottom="0.1" header="0.25" footer="0"/>
  <pageSetup scale="77" firstPageNumber="23" orientation="landscape" r:id="rId2"/>
  <headerFooter scaleWithDoc="0">
    <oddHeader>&amp;R&amp;P</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46"/>
  <sheetViews>
    <sheetView zoomScaleNormal="100" workbookViewId="0"/>
  </sheetViews>
  <sheetFormatPr defaultColWidth="11.453125" defaultRowHeight="15.5"/>
  <cols>
    <col min="1" max="1" width="18.7265625" style="56" customWidth="1"/>
    <col min="2" max="3" width="3.7265625" style="56" customWidth="1"/>
    <col min="4" max="4" width="18.7265625" style="56" customWidth="1"/>
    <col min="5" max="12" width="10.7265625" style="56" customWidth="1"/>
    <col min="13" max="16384" width="11.453125" style="56"/>
  </cols>
  <sheetData>
    <row r="1" spans="1:13" ht="18">
      <c r="A1" s="337" t="s">
        <v>264</v>
      </c>
      <c r="M1" s="811" t="s">
        <v>954</v>
      </c>
    </row>
    <row r="2" spans="1:13">
      <c r="A2" s="57" t="s">
        <v>265</v>
      </c>
    </row>
    <row r="3" spans="1:13" ht="16" thickBot="1"/>
    <row r="4" spans="1:13" ht="16" thickTop="1">
      <c r="A4" s="58" t="s">
        <v>26</v>
      </c>
      <c r="B4" s="58"/>
      <c r="C4" s="58"/>
      <c r="D4" s="58" t="s">
        <v>16</v>
      </c>
    </row>
    <row r="5" spans="1:13" hidden="1">
      <c r="A5" s="59">
        <v>2010</v>
      </c>
      <c r="B5" s="59"/>
      <c r="C5" s="59"/>
      <c r="D5" s="193">
        <v>806472760</v>
      </c>
      <c r="E5" s="60"/>
    </row>
    <row r="6" spans="1:13" hidden="1">
      <c r="A6" s="59">
        <v>2011</v>
      </c>
      <c r="B6" s="59"/>
      <c r="C6" s="59"/>
      <c r="D6" s="61">
        <v>822258802.83999991</v>
      </c>
      <c r="E6" s="60"/>
    </row>
    <row r="7" spans="1:13" hidden="1">
      <c r="A7" s="59">
        <v>2012</v>
      </c>
      <c r="B7" s="59"/>
      <c r="C7" s="59"/>
      <c r="D7" s="61">
        <v>859922839.54999995</v>
      </c>
      <c r="E7" s="60"/>
    </row>
    <row r="8" spans="1:13" hidden="1">
      <c r="A8" s="59">
        <v>2013</v>
      </c>
      <c r="B8" s="59"/>
      <c r="C8" s="59"/>
      <c r="D8" s="61">
        <v>796728154.4000001</v>
      </c>
      <c r="E8" s="60"/>
      <c r="F8" s="61"/>
    </row>
    <row r="9" spans="1:13">
      <c r="A9" s="59">
        <v>2014</v>
      </c>
      <c r="B9" s="59"/>
      <c r="C9" s="59"/>
      <c r="D9" s="193">
        <v>757490742.09000015</v>
      </c>
      <c r="E9" s="60"/>
    </row>
    <row r="10" spans="1:13">
      <c r="A10" s="59">
        <v>2015</v>
      </c>
      <c r="D10" s="61">
        <v>831906887.15999985</v>
      </c>
      <c r="E10" s="60"/>
    </row>
    <row r="11" spans="1:13">
      <c r="A11" s="59">
        <v>2016</v>
      </c>
      <c r="D11" s="61">
        <v>764948013.7700001</v>
      </c>
      <c r="E11" s="60"/>
    </row>
    <row r="12" spans="1:13">
      <c r="A12" s="59">
        <v>2017</v>
      </c>
      <c r="D12" s="61">
        <v>826960822.31000006</v>
      </c>
      <c r="E12" s="60"/>
    </row>
    <row r="13" spans="1:13">
      <c r="A13" s="59">
        <v>2018</v>
      </c>
      <c r="D13" s="61">
        <v>861897138.17999983</v>
      </c>
      <c r="E13" s="346">
        <f>D13/D12-1</f>
        <v>4.2246639656289942E-2</v>
      </c>
    </row>
    <row r="14" spans="1:13">
      <c r="A14" s="59">
        <v>2019</v>
      </c>
      <c r="D14" s="61">
        <v>943390660.94999993</v>
      </c>
      <c r="E14" s="371"/>
    </row>
    <row r="15" spans="1:13">
      <c r="A15" s="59">
        <v>2020</v>
      </c>
      <c r="D15" s="332">
        <f>1456048948.77-254758722.16-189640608.54</f>
        <v>1011649618.0699999</v>
      </c>
      <c r="E15" s="492"/>
    </row>
    <row r="16" spans="1:13">
      <c r="A16" s="59">
        <v>2021</v>
      </c>
      <c r="D16" s="332">
        <v>1515692110.6500001</v>
      </c>
      <c r="E16" s="492"/>
    </row>
    <row r="17" spans="1:5">
      <c r="A17" s="59">
        <v>2022</v>
      </c>
      <c r="D17" s="332">
        <v>1978697205.29</v>
      </c>
      <c r="E17" s="331"/>
    </row>
    <row r="18" spans="1:5">
      <c r="A18" s="59">
        <v>2023</v>
      </c>
      <c r="D18" s="332">
        <v>2031120170.5999999</v>
      </c>
      <c r="E18" s="331"/>
    </row>
    <row r="19" spans="1:5">
      <c r="A19" s="59">
        <v>2024</v>
      </c>
      <c r="D19" s="332">
        <v>1907065381.2499995</v>
      </c>
      <c r="E19" s="331"/>
    </row>
    <row r="20" spans="1:5">
      <c r="D20" s="454"/>
      <c r="E20" s="331"/>
    </row>
    <row r="21" spans="1:5" s="1126" customFormat="1" ht="10" customHeight="1">
      <c r="A21" s="1127" t="s">
        <v>1</v>
      </c>
      <c r="B21" s="1127"/>
      <c r="C21" s="1127"/>
      <c r="D21" s="1127"/>
    </row>
    <row r="22" spans="1:5" s="1126" customFormat="1" ht="10" customHeight="1">
      <c r="A22" s="1127" t="s">
        <v>266</v>
      </c>
      <c r="B22" s="1127"/>
      <c r="C22" s="1127"/>
      <c r="D22" s="1127"/>
    </row>
    <row r="23" spans="1:5" s="1126" customFormat="1" ht="47" customHeight="1">
      <c r="A23" s="1622" t="s">
        <v>1208</v>
      </c>
      <c r="B23" s="1623"/>
      <c r="C23" s="1623"/>
      <c r="D23" s="1623"/>
    </row>
    <row r="24" spans="1:5" s="667" customFormat="1" ht="12.75" customHeight="1">
      <c r="A24" s="745" t="s">
        <v>927</v>
      </c>
      <c r="B24" s="668"/>
      <c r="C24" s="668"/>
      <c r="D24" s="668"/>
      <c r="E24" s="669"/>
    </row>
    <row r="45" spans="1:4">
      <c r="A45" s="59"/>
      <c r="B45" s="59"/>
      <c r="C45" s="59"/>
      <c r="D45" s="62"/>
    </row>
    <row r="46" spans="1:4">
      <c r="A46" s="59"/>
      <c r="B46" s="59"/>
      <c r="C46" s="59"/>
      <c r="D46" s="62"/>
    </row>
  </sheetData>
  <customSheetViews>
    <customSheetView guid="{E6BBE5A7-0B25-4EE8-BA45-5EA5DBAF3AD4}" showPageBreaks="1" printArea="1">
      <pageMargins left="0.75" right="0.75" top="1" bottom="1" header="0.5" footer="0.5"/>
      <printOptions horizontalCentered="1"/>
      <pageSetup scale="70" orientation="landscape" r:id="rId1"/>
      <headerFooter alignWithMargins="0"/>
    </customSheetView>
  </customSheetViews>
  <mergeCells count="1">
    <mergeCell ref="A23:D23"/>
  </mergeCells>
  <hyperlinks>
    <hyperlink ref="M1" location="TOC!A1" display="Back" xr:uid="{00000000-0004-0000-0E00-000000000000}"/>
  </hyperlinks>
  <pageMargins left="0.6" right="0.25" top="0.5" bottom="0.5" header="0.25" footer="0.5"/>
  <pageSetup orientation="landscape" r:id="rId2"/>
  <headerFooter scaleWithDoc="0">
    <oddHeader>&amp;R&amp;P</oddHeader>
  </headerFooter>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pageSetUpPr fitToPage="1"/>
  </sheetPr>
  <dimension ref="A1:L26"/>
  <sheetViews>
    <sheetView zoomScaleNormal="100" workbookViewId="0"/>
  </sheetViews>
  <sheetFormatPr defaultColWidth="9.1796875" defaultRowHeight="12.5"/>
  <cols>
    <col min="1" max="1" width="23.6328125" style="20" customWidth="1"/>
    <col min="2" max="2" width="17.6328125" style="20" customWidth="1"/>
    <col min="3" max="3" width="8.6328125" style="20" customWidth="1"/>
    <col min="4" max="4" width="2.7265625" style="20" customWidth="1"/>
    <col min="5" max="5" width="15.6328125" style="20" customWidth="1"/>
    <col min="6" max="6" width="8.6328125" style="20" customWidth="1"/>
    <col min="7" max="7" width="2.7265625" style="20" customWidth="1"/>
    <col min="8" max="8" width="14.6328125" style="20" customWidth="1"/>
    <col min="9" max="9" width="8.6328125" style="20" customWidth="1"/>
    <col min="10" max="10" width="6.6328125" style="20" customWidth="1"/>
    <col min="11" max="11" width="9.1796875" style="20"/>
    <col min="12" max="12" width="12.453125" style="20" bestFit="1" customWidth="1"/>
    <col min="13" max="16384" width="9.1796875" style="20"/>
  </cols>
  <sheetData>
    <row r="1" spans="1:12" ht="18">
      <c r="A1" s="338" t="s">
        <v>27</v>
      </c>
      <c r="B1" s="18"/>
      <c r="C1" s="19"/>
      <c r="D1" s="19"/>
      <c r="E1" s="18"/>
      <c r="F1" s="19"/>
      <c r="G1" s="19"/>
      <c r="H1" s="18"/>
      <c r="I1" s="19"/>
      <c r="J1" s="19"/>
      <c r="K1" s="811" t="s">
        <v>954</v>
      </c>
    </row>
    <row r="2" spans="1:12" ht="15.5">
      <c r="A2" s="17" t="s">
        <v>1251</v>
      </c>
      <c r="B2" s="18"/>
      <c r="C2" s="19"/>
      <c r="D2" s="19"/>
      <c r="E2" s="18"/>
      <c r="F2" s="19"/>
      <c r="G2" s="19"/>
      <c r="H2" s="18"/>
      <c r="I2" s="19"/>
      <c r="J2" s="19"/>
    </row>
    <row r="3" spans="1:12">
      <c r="A3" s="1328" t="s">
        <v>1287</v>
      </c>
      <c r="B3" s="21"/>
      <c r="C3" s="22"/>
      <c r="D3" s="22"/>
      <c r="E3" s="21"/>
      <c r="F3" s="22"/>
      <c r="G3" s="22"/>
      <c r="H3" s="21"/>
      <c r="I3" s="22"/>
      <c r="J3" s="22"/>
    </row>
    <row r="4" spans="1:12" ht="6" customHeight="1" thickBot="1">
      <c r="A4" s="528"/>
      <c r="B4" s="21"/>
      <c r="C4" s="22"/>
      <c r="D4" s="22"/>
      <c r="E4" s="21"/>
      <c r="F4" s="22"/>
      <c r="G4" s="22"/>
      <c r="H4" s="21"/>
      <c r="I4" s="22"/>
      <c r="J4" s="22"/>
    </row>
    <row r="5" spans="1:12" ht="28" customHeight="1">
      <c r="A5" s="942" t="s">
        <v>1001</v>
      </c>
      <c r="B5" s="943" t="s">
        <v>1252</v>
      </c>
      <c r="C5" s="944" t="s">
        <v>1002</v>
      </c>
      <c r="D5" s="1329"/>
      <c r="E5" s="946" t="s">
        <v>1253</v>
      </c>
      <c r="F5" s="944" t="s">
        <v>1002</v>
      </c>
      <c r="G5" s="944"/>
      <c r="H5" s="945" t="s">
        <v>1254</v>
      </c>
      <c r="I5" s="944" t="s">
        <v>1002</v>
      </c>
      <c r="J5" s="1128"/>
    </row>
    <row r="6" spans="1:12" ht="21" customHeight="1">
      <c r="A6" s="1505" t="s">
        <v>29</v>
      </c>
      <c r="B6" s="219">
        <v>45846</v>
      </c>
      <c r="C6" s="1423">
        <f t="shared" ref="C6:C14" si="0">B6/$B$15</f>
        <v>0.602745128973732</v>
      </c>
      <c r="D6" s="1423"/>
      <c r="E6" s="1506">
        <v>0</v>
      </c>
      <c r="F6" s="1423">
        <f t="shared" ref="F6:F14" si="1">E6/$E$15</f>
        <v>0</v>
      </c>
      <c r="G6" s="1507"/>
      <c r="H6" s="1506">
        <v>89477349.5</v>
      </c>
      <c r="I6" s="1423">
        <f>H6/$H$15</f>
        <v>4.6510056210865264E-2</v>
      </c>
      <c r="J6" s="527"/>
      <c r="K6" s="13"/>
      <c r="L6" s="144"/>
    </row>
    <row r="7" spans="1:12">
      <c r="A7" s="1505" t="s">
        <v>30</v>
      </c>
      <c r="B7" s="219">
        <v>15492</v>
      </c>
      <c r="C7" s="1423">
        <f t="shared" si="0"/>
        <v>0.20367594856827326</v>
      </c>
      <c r="D7" s="1423"/>
      <c r="E7" s="1508">
        <v>104146601.27</v>
      </c>
      <c r="F7" s="1423">
        <f t="shared" si="1"/>
        <v>3.4163810449528145E-3</v>
      </c>
      <c r="G7" s="1507"/>
      <c r="H7" s="1508">
        <v>6274294.4800000004</v>
      </c>
      <c r="I7" s="1423">
        <f t="shared" ref="I7:I14" si="2">H7/$H$15</f>
        <v>3.2613593337196653E-3</v>
      </c>
      <c r="J7" s="527"/>
      <c r="K7" s="13"/>
      <c r="L7" s="144"/>
    </row>
    <row r="8" spans="1:12">
      <c r="A8" s="1505" t="s">
        <v>31</v>
      </c>
      <c r="B8" s="219">
        <v>3137</v>
      </c>
      <c r="C8" s="1423">
        <f t="shared" si="0"/>
        <v>4.124267045305146E-2</v>
      </c>
      <c r="D8" s="1423"/>
      <c r="E8" s="1508">
        <v>112936529.67</v>
      </c>
      <c r="F8" s="1423">
        <f t="shared" si="1"/>
        <v>3.704722137279009E-3</v>
      </c>
      <c r="G8" s="1507"/>
      <c r="H8" s="1508">
        <v>6798912.2400000002</v>
      </c>
      <c r="I8" s="1423">
        <f t="shared" si="2"/>
        <v>3.5340540619739733E-3</v>
      </c>
      <c r="J8" s="527"/>
      <c r="K8" s="13"/>
      <c r="L8" s="144"/>
    </row>
    <row r="9" spans="1:12">
      <c r="A9" s="1505" t="s">
        <v>32</v>
      </c>
      <c r="B9" s="219">
        <v>2910</v>
      </c>
      <c r="C9" s="1423">
        <f t="shared" si="0"/>
        <v>3.8258262995976969E-2</v>
      </c>
      <c r="D9" s="1423"/>
      <c r="E9" s="1508">
        <v>208367638.33000001</v>
      </c>
      <c r="F9" s="1423">
        <f t="shared" si="1"/>
        <v>6.835203850067949E-3</v>
      </c>
      <c r="G9" s="1507"/>
      <c r="H9" s="1508">
        <v>12502053</v>
      </c>
      <c r="I9" s="1423">
        <f t="shared" si="2"/>
        <v>6.4985294158854878E-3</v>
      </c>
      <c r="J9" s="527"/>
      <c r="K9" s="13"/>
      <c r="L9" s="144"/>
    </row>
    <row r="10" spans="1:12">
      <c r="A10" s="1505" t="s">
        <v>33</v>
      </c>
      <c r="B10" s="219">
        <v>4809</v>
      </c>
      <c r="C10" s="1423">
        <f t="shared" si="0"/>
        <v>6.3224737713970178E-2</v>
      </c>
      <c r="D10" s="1423"/>
      <c r="E10" s="1508">
        <v>1109875524.3399999</v>
      </c>
      <c r="F10" s="1423">
        <f t="shared" si="1"/>
        <v>3.6407887126168548E-2</v>
      </c>
      <c r="G10" s="1507"/>
      <c r="H10" s="1508">
        <v>66592622</v>
      </c>
      <c r="I10" s="1423">
        <f t="shared" si="2"/>
        <v>3.4614643926716926E-2</v>
      </c>
      <c r="J10" s="527"/>
      <c r="K10" s="13"/>
      <c r="L10" s="144"/>
    </row>
    <row r="11" spans="1:12">
      <c r="A11" s="1505" t="s">
        <v>34</v>
      </c>
      <c r="B11" s="219">
        <v>1301</v>
      </c>
      <c r="C11" s="1423">
        <f t="shared" si="0"/>
        <v>1.7104467408167023E-2</v>
      </c>
      <c r="D11" s="1423"/>
      <c r="E11" s="1508">
        <v>918978784.99000001</v>
      </c>
      <c r="F11" s="1423">
        <f t="shared" si="1"/>
        <v>3.0145791254524386E-2</v>
      </c>
      <c r="G11" s="1507"/>
      <c r="H11" s="1508">
        <v>55164934</v>
      </c>
      <c r="I11" s="1423">
        <f t="shared" si="2"/>
        <v>2.867456619519862E-2</v>
      </c>
      <c r="J11" s="527"/>
      <c r="K11" s="13"/>
      <c r="L11" s="144"/>
    </row>
    <row r="12" spans="1:12">
      <c r="A12" s="1505" t="s">
        <v>35</v>
      </c>
      <c r="B12" s="219">
        <v>923</v>
      </c>
      <c r="C12" s="1423">
        <f t="shared" si="0"/>
        <v>1.2134837369514343E-2</v>
      </c>
      <c r="D12" s="1423"/>
      <c r="E12" s="1508">
        <v>1312709083.6800001</v>
      </c>
      <c r="F12" s="1423">
        <f t="shared" si="1"/>
        <v>4.3061553390447288E-2</v>
      </c>
      <c r="G12" s="1507"/>
      <c r="H12" s="1508">
        <v>78762554</v>
      </c>
      <c r="I12" s="1423">
        <f t="shared" si="2"/>
        <v>4.0940537849205184E-2</v>
      </c>
      <c r="J12" s="527"/>
      <c r="K12" s="13"/>
      <c r="L12" s="144"/>
    </row>
    <row r="13" spans="1:12">
      <c r="A13" s="1505" t="s">
        <v>36</v>
      </c>
      <c r="B13" s="219">
        <v>1210</v>
      </c>
      <c r="C13" s="1423">
        <f t="shared" si="0"/>
        <v>1.590807499145434E-2</v>
      </c>
      <c r="D13" s="1423"/>
      <c r="E13" s="1508">
        <v>5269752217.3199997</v>
      </c>
      <c r="F13" s="1423">
        <f t="shared" si="1"/>
        <v>0.17286672217152912</v>
      </c>
      <c r="G13" s="1507"/>
      <c r="H13" s="1508">
        <v>316357730</v>
      </c>
      <c r="I13" s="1423">
        <f t="shared" si="2"/>
        <v>0.164441793227701</v>
      </c>
      <c r="J13" s="527"/>
      <c r="K13" s="13"/>
      <c r="L13" s="144"/>
    </row>
    <row r="14" spans="1:12" ht="21" customHeight="1">
      <c r="A14" s="1509" t="s">
        <v>37</v>
      </c>
      <c r="B14" s="919">
        <v>434</v>
      </c>
      <c r="C14" s="1510">
        <f t="shared" si="0"/>
        <v>5.7058715258604823E-3</v>
      </c>
      <c r="D14" s="1510"/>
      <c r="E14" s="1511">
        <v>21447714098.32</v>
      </c>
      <c r="F14" s="1510">
        <f t="shared" si="1"/>
        <v>0.70356173902503094</v>
      </c>
      <c r="G14" s="1512"/>
      <c r="H14" s="1511">
        <v>1291897574</v>
      </c>
      <c r="I14" s="1510">
        <f t="shared" si="2"/>
        <v>0.67152445977873387</v>
      </c>
      <c r="J14" s="948"/>
      <c r="K14" s="13"/>
      <c r="L14" s="144"/>
    </row>
    <row r="15" spans="1:12" ht="14" customHeight="1">
      <c r="A15" s="921" t="s">
        <v>38</v>
      </c>
      <c r="B15" s="1513">
        <f>SUM(B6:B14)</f>
        <v>76062</v>
      </c>
      <c r="C15" s="1514">
        <f>SUM(C6:C14)</f>
        <v>1.0000000000000002</v>
      </c>
      <c r="D15" s="1514"/>
      <c r="E15" s="1515">
        <f>SUM(E6:E14)</f>
        <v>30484480477.919998</v>
      </c>
      <c r="F15" s="1514">
        <f>SUM(F6:F14)</f>
        <v>1</v>
      </c>
      <c r="G15" s="1514"/>
      <c r="H15" s="1515">
        <f>SUM(H6:H14)</f>
        <v>1923828023.22</v>
      </c>
      <c r="I15" s="1514">
        <f>SUM(I6:I14)</f>
        <v>1</v>
      </c>
      <c r="J15" s="1129"/>
    </row>
    <row r="16" spans="1:12" ht="21" customHeight="1">
      <c r="A16" s="914" t="s">
        <v>39</v>
      </c>
      <c r="B16" s="1213"/>
      <c r="C16" s="1516"/>
      <c r="D16" s="1517"/>
      <c r="E16" s="1213">
        <v>-63586193.579998001</v>
      </c>
      <c r="F16" s="1518">
        <f>E16/E17</f>
        <v>-2.0902144751454846E-3</v>
      </c>
      <c r="G16" s="1516"/>
      <c r="H16" s="1213">
        <v>2081324.93999982</v>
      </c>
      <c r="I16" s="1518">
        <f>H16/H17</f>
        <v>1.0806972519180631E-3</v>
      </c>
      <c r="J16" s="950"/>
    </row>
    <row r="17" spans="1:12" ht="14.5" customHeight="1">
      <c r="A17" s="1519" t="s">
        <v>40</v>
      </c>
      <c r="B17" s="1520"/>
      <c r="C17" s="1521"/>
      <c r="D17" s="1521"/>
      <c r="E17" s="1522">
        <f>SUM(E15,E16)</f>
        <v>30420894284.34</v>
      </c>
      <c r="F17" s="1523">
        <f>E17/E17</f>
        <v>1</v>
      </c>
      <c r="G17" s="1521"/>
      <c r="H17" s="1522">
        <f>SUM(H15,H16)</f>
        <v>1925909348.1599998</v>
      </c>
      <c r="I17" s="1523">
        <f>H17/H17</f>
        <v>1</v>
      </c>
      <c r="J17" s="1130"/>
      <c r="K17" s="1322"/>
      <c r="L17" s="1323"/>
    </row>
    <row r="18" spans="1:12" ht="6" customHeight="1">
      <c r="A18" s="202"/>
      <c r="B18" s="24"/>
      <c r="C18" s="25"/>
      <c r="D18" s="25"/>
      <c r="E18" s="26"/>
      <c r="F18" s="25"/>
      <c r="G18" s="25"/>
      <c r="H18" s="26"/>
      <c r="I18" s="25"/>
      <c r="J18" s="25"/>
    </row>
    <row r="19" spans="1:12" s="1132" customFormat="1" ht="13.15" customHeight="1">
      <c r="A19" s="1337" t="s">
        <v>1</v>
      </c>
      <c r="B19" s="1338"/>
      <c r="C19" s="1339"/>
      <c r="D19" s="1339"/>
      <c r="E19" s="1340"/>
      <c r="F19" s="1339"/>
      <c r="G19" s="1339"/>
      <c r="H19" s="1340"/>
      <c r="I19" s="1339"/>
      <c r="J19" s="1131"/>
    </row>
    <row r="20" spans="1:12" s="1132" customFormat="1" ht="26" customHeight="1">
      <c r="A20" s="1624" t="s">
        <v>1288</v>
      </c>
      <c r="B20" s="1624"/>
      <c r="C20" s="1624"/>
      <c r="D20" s="1624"/>
      <c r="E20" s="1624"/>
      <c r="F20" s="1624"/>
      <c r="G20" s="1624"/>
      <c r="H20" s="1624"/>
      <c r="I20" s="1624"/>
      <c r="J20" s="53"/>
    </row>
    <row r="21" spans="1:12" s="1132" customFormat="1" ht="13" customHeight="1">
      <c r="A21" s="1625" t="s">
        <v>743</v>
      </c>
      <c r="B21" s="1626"/>
      <c r="C21" s="1626"/>
      <c r="D21" s="1626"/>
      <c r="E21" s="1626"/>
      <c r="F21" s="1626"/>
      <c r="G21" s="1626"/>
      <c r="H21" s="1626"/>
      <c r="I21" s="1626"/>
      <c r="J21" s="53"/>
    </row>
    <row r="22" spans="1:12" s="1132" customFormat="1" ht="13" customHeight="1">
      <c r="A22" s="1330" t="s">
        <v>744</v>
      </c>
      <c r="B22" s="1331"/>
      <c r="C22" s="1331"/>
      <c r="D22" s="1331"/>
      <c r="E22" s="1331"/>
      <c r="F22" s="1331"/>
      <c r="G22" s="1331"/>
      <c r="H22" s="1331"/>
      <c r="I22" s="1331"/>
      <c r="J22" s="1133"/>
    </row>
    <row r="23" spans="1:12" s="1132" customFormat="1" ht="13" customHeight="1">
      <c r="A23" s="1331" t="s">
        <v>1255</v>
      </c>
      <c r="B23" s="1331"/>
      <c r="C23" s="1331"/>
      <c r="D23" s="1331"/>
      <c r="E23" s="1331"/>
      <c r="F23" s="1331"/>
      <c r="G23" s="1331"/>
      <c r="H23" s="1331"/>
      <c r="I23" s="1331"/>
      <c r="J23" s="1133"/>
    </row>
    <row r="24" spans="1:12" s="1132" customFormat="1" ht="26" customHeight="1">
      <c r="A24" s="1627" t="s">
        <v>1256</v>
      </c>
      <c r="B24" s="1626"/>
      <c r="C24" s="1626"/>
      <c r="D24" s="1626"/>
      <c r="E24" s="1626"/>
      <c r="F24" s="1626"/>
      <c r="G24" s="1626"/>
      <c r="H24" s="1626"/>
      <c r="I24" s="1626"/>
      <c r="J24" s="53"/>
    </row>
    <row r="25" spans="1:12" s="1132" customFormat="1" ht="13" customHeight="1">
      <c r="A25" s="1332"/>
      <c r="B25" s="1333" t="str">
        <f>"Number of pass-through entity returns in Taxable Year "&amp;N2&amp;" =  "</f>
        <v xml:space="preserve">Number of pass-through entity returns in Taxable Year  =  </v>
      </c>
      <c r="C25" s="1334">
        <v>281765</v>
      </c>
      <c r="D25" s="1335"/>
      <c r="E25" s="1336"/>
      <c r="F25" s="1335"/>
      <c r="G25" s="1335"/>
      <c r="H25" s="1336"/>
      <c r="I25" s="1335"/>
      <c r="J25" s="1133"/>
    </row>
    <row r="26" spans="1:12" s="667" customFormat="1" ht="12.75" customHeight="1">
      <c r="A26" s="745" t="s">
        <v>932</v>
      </c>
      <c r="B26" s="668"/>
      <c r="C26" s="668"/>
      <c r="D26" s="669"/>
    </row>
  </sheetData>
  <customSheetViews>
    <customSheetView guid="{E6BBE5A7-0B25-4EE8-BA45-5EA5DBAF3AD4}" showPageBreaks="1" printArea="1">
      <selection activeCell="A33" sqref="A33"/>
      <pageMargins left="0.5" right="0.5" top="1" bottom="1" header="0.5" footer="0.5"/>
      <printOptions horizontalCentered="1"/>
      <pageSetup scale="94" firstPageNumber="25" orientation="landscape" useFirstPageNumber="1" r:id="rId1"/>
      <headerFooter alignWithMargins="0"/>
    </customSheetView>
  </customSheetViews>
  <mergeCells count="3">
    <mergeCell ref="A20:I20"/>
    <mergeCell ref="A21:I21"/>
    <mergeCell ref="A24:I24"/>
  </mergeCells>
  <phoneticPr fontId="14" type="noConversion"/>
  <hyperlinks>
    <hyperlink ref="K1" location="TOC!A1" display="Back" xr:uid="{00000000-0004-0000-0F00-000000000000}"/>
  </hyperlinks>
  <pageMargins left="0.5" right="0.25" top="0.5" bottom="0.5" header="0.25" footer="0.25"/>
  <pageSetup firstPageNumber="25" orientation="landscape" r:id="rId2"/>
  <headerFooter scaleWithDoc="0">
    <oddHeader>&amp;R&amp;P</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493C1-CB51-43C4-B32C-42BC03EE0970}">
  <sheetPr>
    <pageSetUpPr fitToPage="1"/>
  </sheetPr>
  <dimension ref="A1:U25"/>
  <sheetViews>
    <sheetView zoomScaleNormal="100" workbookViewId="0"/>
  </sheetViews>
  <sheetFormatPr defaultColWidth="9.1796875" defaultRowHeight="12.5"/>
  <cols>
    <col min="1" max="1" width="23.6328125" style="20" customWidth="1"/>
    <col min="2" max="2" width="17.6328125" style="20" customWidth="1"/>
    <col min="3" max="3" width="8.6328125" style="20" customWidth="1"/>
    <col min="4" max="4" width="2.7265625" style="20" customWidth="1"/>
    <col min="5" max="5" width="15.6328125" style="20" customWidth="1"/>
    <col min="6" max="6" width="8.6328125" style="20" customWidth="1"/>
    <col min="7" max="7" width="2.7265625" style="20" customWidth="1"/>
    <col min="8" max="8" width="14.6328125" style="20" customWidth="1"/>
    <col min="9" max="9" width="8.6328125" style="20" customWidth="1"/>
    <col min="10" max="10" width="6.6328125" style="20" customWidth="1"/>
    <col min="11" max="11" width="9.1796875" style="20"/>
    <col min="12" max="12" width="12.453125" style="20" bestFit="1" customWidth="1"/>
    <col min="13" max="16384" width="9.1796875" style="20"/>
  </cols>
  <sheetData>
    <row r="1" spans="1:12" ht="18">
      <c r="A1" s="338" t="s">
        <v>1285</v>
      </c>
      <c r="B1" s="18"/>
      <c r="C1" s="19"/>
      <c r="D1" s="19"/>
      <c r="E1" s="18"/>
      <c r="F1" s="19"/>
      <c r="G1" s="19"/>
      <c r="H1" s="18"/>
      <c r="I1" s="19"/>
      <c r="J1" s="19"/>
      <c r="K1" s="811" t="s">
        <v>954</v>
      </c>
    </row>
    <row r="2" spans="1:12" ht="15.5">
      <c r="A2" s="17" t="s">
        <v>1286</v>
      </c>
      <c r="B2" s="18"/>
      <c r="C2" s="19"/>
      <c r="D2" s="19"/>
      <c r="E2" s="18"/>
      <c r="F2" s="19"/>
      <c r="G2" s="19"/>
      <c r="H2" s="18"/>
      <c r="I2" s="19"/>
      <c r="J2" s="19"/>
    </row>
    <row r="3" spans="1:12">
      <c r="A3" s="1328" t="s">
        <v>1379</v>
      </c>
      <c r="B3" s="21"/>
      <c r="C3" s="22"/>
      <c r="D3" s="22"/>
      <c r="E3" s="21"/>
      <c r="F3" s="22"/>
      <c r="G3" s="22"/>
      <c r="H3" s="21"/>
      <c r="I3" s="22"/>
      <c r="J3" s="22"/>
    </row>
    <row r="4" spans="1:12" ht="6" customHeight="1" thickBot="1">
      <c r="A4" s="528"/>
      <c r="B4" s="21"/>
      <c r="C4" s="22"/>
      <c r="D4" s="22"/>
      <c r="E4" s="21"/>
      <c r="F4" s="22"/>
      <c r="G4" s="22"/>
      <c r="H4" s="21"/>
      <c r="I4" s="22"/>
      <c r="J4" s="22"/>
    </row>
    <row r="5" spans="1:12" ht="28" customHeight="1">
      <c r="A5" s="942" t="s">
        <v>1001</v>
      </c>
      <c r="B5" s="943" t="s">
        <v>1380</v>
      </c>
      <c r="C5" s="944" t="s">
        <v>1002</v>
      </c>
      <c r="D5" s="1329"/>
      <c r="E5" s="946" t="s">
        <v>1253</v>
      </c>
      <c r="F5" s="944" t="s">
        <v>1002</v>
      </c>
      <c r="G5" s="944"/>
      <c r="H5" s="945" t="s">
        <v>1381</v>
      </c>
      <c r="I5" s="944" t="s">
        <v>1002</v>
      </c>
      <c r="J5" s="1128"/>
    </row>
    <row r="6" spans="1:12" ht="21" customHeight="1">
      <c r="A6" s="191" t="s">
        <v>29</v>
      </c>
      <c r="B6" s="219">
        <v>1521</v>
      </c>
      <c r="C6" s="1423">
        <f t="shared" ref="C6:C14" si="0">B6/$B$15</f>
        <v>5.0876371420925874E-2</v>
      </c>
      <c r="D6" s="1423"/>
      <c r="E6" s="1506">
        <v>0</v>
      </c>
      <c r="F6" s="1423">
        <f t="shared" ref="F6:F14" si="1">E6/$E$15</f>
        <v>0</v>
      </c>
      <c r="G6" s="1507"/>
      <c r="H6" s="1506">
        <v>0</v>
      </c>
      <c r="I6" s="1423">
        <f>H6/$H$15</f>
        <v>0</v>
      </c>
      <c r="J6" s="527"/>
      <c r="K6" s="13"/>
      <c r="L6" s="144"/>
    </row>
    <row r="7" spans="1:12">
      <c r="A7" s="529" t="s">
        <v>30</v>
      </c>
      <c r="B7" s="219">
        <v>3456</v>
      </c>
      <c r="C7" s="1423">
        <f t="shared" si="0"/>
        <v>0.11560074926411561</v>
      </c>
      <c r="D7" s="1423"/>
      <c r="E7" s="1508">
        <v>40385973</v>
      </c>
      <c r="F7" s="1423">
        <f t="shared" si="1"/>
        <v>1.4847962135814453E-3</v>
      </c>
      <c r="G7" s="1507"/>
      <c r="H7" s="1508">
        <v>2323190.48</v>
      </c>
      <c r="I7" s="1423">
        <f t="shared" ref="I7:I14" si="2">H7/$H$15</f>
        <v>1.485432701276945E-3</v>
      </c>
      <c r="J7" s="527"/>
      <c r="K7" s="13"/>
      <c r="L7" s="144"/>
    </row>
    <row r="8" spans="1:12">
      <c r="A8" s="529" t="s">
        <v>31</v>
      </c>
      <c r="B8" s="219">
        <v>2842</v>
      </c>
      <c r="C8" s="1423">
        <f t="shared" si="0"/>
        <v>9.5062884666845066E-2</v>
      </c>
      <c r="D8" s="1423"/>
      <c r="E8" s="1508">
        <v>105655184</v>
      </c>
      <c r="F8" s="1423">
        <f t="shared" si="1"/>
        <v>3.8844283174371188E-3</v>
      </c>
      <c r="G8" s="1507"/>
      <c r="H8" s="1508">
        <v>6075183.9100000001</v>
      </c>
      <c r="I8" s="1423">
        <f t="shared" si="2"/>
        <v>3.8844326041597476E-3</v>
      </c>
      <c r="J8" s="527"/>
      <c r="K8" s="13"/>
      <c r="L8" s="144"/>
    </row>
    <row r="9" spans="1:12">
      <c r="A9" s="529" t="s">
        <v>32</v>
      </c>
      <c r="B9" s="219">
        <v>4365</v>
      </c>
      <c r="C9" s="1423">
        <f t="shared" si="0"/>
        <v>0.14600615466952099</v>
      </c>
      <c r="D9" s="1423"/>
      <c r="E9" s="1508">
        <v>320089758</v>
      </c>
      <c r="F9" s="1423">
        <f t="shared" si="1"/>
        <v>1.1768146843573662E-2</v>
      </c>
      <c r="G9" s="1507"/>
      <c r="H9" s="1508">
        <v>18405175.449999999</v>
      </c>
      <c r="I9" s="1423">
        <f t="shared" si="2"/>
        <v>1.1768148036733352E-2</v>
      </c>
      <c r="J9" s="527"/>
      <c r="K9" s="13"/>
      <c r="L9" s="144"/>
    </row>
    <row r="10" spans="1:12">
      <c r="A10" s="529" t="s">
        <v>33</v>
      </c>
      <c r="B10" s="219">
        <v>10933</v>
      </c>
      <c r="C10" s="1423">
        <f t="shared" si="0"/>
        <v>0.3657010971367407</v>
      </c>
      <c r="D10" s="1423"/>
      <c r="E10" s="1508">
        <v>2601215289</v>
      </c>
      <c r="F10" s="1423">
        <f t="shared" si="1"/>
        <v>9.563406115824831E-2</v>
      </c>
      <c r="G10" s="1507"/>
      <c r="H10" s="1508">
        <v>149569937.13999999</v>
      </c>
      <c r="I10" s="1423">
        <f t="shared" si="2"/>
        <v>9.5634033312538821E-2</v>
      </c>
      <c r="J10" s="527"/>
      <c r="K10" s="13"/>
      <c r="L10" s="144"/>
    </row>
    <row r="11" spans="1:12">
      <c r="A11" s="529" t="s">
        <v>34</v>
      </c>
      <c r="B11" s="219">
        <v>2977</v>
      </c>
      <c r="C11" s="1423">
        <f t="shared" si="0"/>
        <v>9.9578538934974578E-2</v>
      </c>
      <c r="D11" s="1423"/>
      <c r="E11" s="1508">
        <v>2089095656</v>
      </c>
      <c r="F11" s="1423">
        <f t="shared" si="1"/>
        <v>7.6805907829390313E-2</v>
      </c>
      <c r="G11" s="1507"/>
      <c r="H11" s="1508">
        <v>120123004.81999999</v>
      </c>
      <c r="I11" s="1423">
        <f t="shared" si="2"/>
        <v>7.6805858611850061E-2</v>
      </c>
      <c r="J11" s="527"/>
      <c r="K11" s="13"/>
      <c r="L11" s="144"/>
    </row>
    <row r="12" spans="1:12">
      <c r="A12" s="529" t="s">
        <v>35</v>
      </c>
      <c r="B12" s="219">
        <v>1784</v>
      </c>
      <c r="C12" s="1423">
        <f t="shared" si="0"/>
        <v>5.9673534921059673E-2</v>
      </c>
      <c r="D12" s="1423"/>
      <c r="E12" s="1508">
        <v>2500579724</v>
      </c>
      <c r="F12" s="1423">
        <f t="shared" si="1"/>
        <v>9.193417986868202E-2</v>
      </c>
      <c r="G12" s="1507"/>
      <c r="H12" s="1508">
        <v>143783321.81</v>
      </c>
      <c r="I12" s="1423">
        <f t="shared" si="2"/>
        <v>9.1934109559023591E-2</v>
      </c>
      <c r="J12" s="527"/>
      <c r="K12" s="13"/>
      <c r="L12" s="144"/>
    </row>
    <row r="13" spans="1:12">
      <c r="A13" s="529" t="s">
        <v>36</v>
      </c>
      <c r="B13" s="219">
        <v>1645</v>
      </c>
      <c r="C13" s="1423">
        <f t="shared" si="0"/>
        <v>5.5024083489430026E-2</v>
      </c>
      <c r="D13" s="1423"/>
      <c r="E13" s="1508">
        <v>6785901973</v>
      </c>
      <c r="F13" s="1423">
        <f t="shared" si="1"/>
        <v>0.24948468012013131</v>
      </c>
      <c r="G13" s="1507"/>
      <c r="H13" s="1508">
        <v>390189353.23000002</v>
      </c>
      <c r="I13" s="1423">
        <f t="shared" si="2"/>
        <v>0.2494845041625442</v>
      </c>
      <c r="J13" s="527"/>
      <c r="K13" s="13"/>
      <c r="L13" s="144"/>
    </row>
    <row r="14" spans="1:12" ht="21" customHeight="1">
      <c r="A14" s="947" t="s">
        <v>37</v>
      </c>
      <c r="B14" s="919">
        <v>373</v>
      </c>
      <c r="C14" s="1510">
        <f t="shared" si="0"/>
        <v>1.2476585496387476E-2</v>
      </c>
      <c r="D14" s="1510"/>
      <c r="E14" s="1511">
        <v>12756750466</v>
      </c>
      <c r="F14" s="1510">
        <f t="shared" si="1"/>
        <v>0.46900379964895583</v>
      </c>
      <c r="G14" s="1512"/>
      <c r="H14" s="1511">
        <v>733513151.58000004</v>
      </c>
      <c r="I14" s="1510">
        <f t="shared" si="2"/>
        <v>0.46900348101187328</v>
      </c>
      <c r="J14" s="948"/>
      <c r="K14" s="13"/>
      <c r="L14" s="144"/>
    </row>
    <row r="15" spans="1:12" ht="14" customHeight="1">
      <c r="A15" s="951" t="s">
        <v>38</v>
      </c>
      <c r="B15" s="1513">
        <f>SUM(B6:B14)</f>
        <v>29896</v>
      </c>
      <c r="C15" s="1514">
        <f>SUM(C6:C14)</f>
        <v>1</v>
      </c>
      <c r="D15" s="1514"/>
      <c r="E15" s="1515">
        <f>SUM(E6:E14)</f>
        <v>27199674023</v>
      </c>
      <c r="F15" s="1514">
        <f>SUM(F6:F14)</f>
        <v>1</v>
      </c>
      <c r="G15" s="1514"/>
      <c r="H15" s="1515">
        <f>SUM(H6:H14)</f>
        <v>1563982318.4200001</v>
      </c>
      <c r="I15" s="1514">
        <f>SUM(I6:I14)</f>
        <v>1</v>
      </c>
      <c r="J15" s="1129"/>
    </row>
    <row r="16" spans="1:12" ht="21" customHeight="1">
      <c r="A16" s="949" t="s">
        <v>39</v>
      </c>
      <c r="B16" s="1213"/>
      <c r="C16" s="1516"/>
      <c r="D16" s="1517"/>
      <c r="E16" s="1213"/>
      <c r="F16" s="1518">
        <f>E16/E17</f>
        <v>0</v>
      </c>
      <c r="G16" s="1516"/>
      <c r="H16" s="1213"/>
      <c r="I16" s="1518">
        <f>H16/H17</f>
        <v>0</v>
      </c>
      <c r="J16" s="950"/>
    </row>
    <row r="17" spans="1:21" ht="14.5" customHeight="1">
      <c r="A17" s="23" t="s">
        <v>40</v>
      </c>
      <c r="B17" s="1520"/>
      <c r="C17" s="1521"/>
      <c r="D17" s="1521"/>
      <c r="E17" s="1522">
        <f>SUM(E15,E16)</f>
        <v>27199674023</v>
      </c>
      <c r="F17" s="1523">
        <f>E17/E17</f>
        <v>1</v>
      </c>
      <c r="G17" s="1521"/>
      <c r="H17" s="1522">
        <f>SUM(H15,H16)</f>
        <v>1563982318.4200001</v>
      </c>
      <c r="I17" s="1523">
        <f>H17/H17</f>
        <v>1</v>
      </c>
      <c r="J17" s="1130"/>
      <c r="K17" s="1322"/>
      <c r="L17" s="1323"/>
    </row>
    <row r="18" spans="1:21" ht="6" customHeight="1">
      <c r="A18" s="202"/>
      <c r="B18" s="24"/>
      <c r="C18" s="25"/>
      <c r="D18" s="25"/>
      <c r="E18" s="26"/>
      <c r="F18" s="25"/>
      <c r="G18" s="25"/>
      <c r="H18" s="26"/>
      <c r="I18" s="25"/>
      <c r="J18" s="25"/>
    </row>
    <row r="19" spans="1:21" s="1132" customFormat="1" ht="13.15" customHeight="1">
      <c r="A19" s="1337" t="s">
        <v>1</v>
      </c>
      <c r="B19" s="1338"/>
      <c r="C19" s="1339"/>
      <c r="D19" s="1339"/>
      <c r="E19" s="1340"/>
      <c r="F19" s="1339"/>
      <c r="G19" s="1339"/>
      <c r="H19" s="1340"/>
      <c r="I19" s="1339"/>
      <c r="J19" s="1131"/>
    </row>
    <row r="20" spans="1:21" s="1443" customFormat="1" ht="13" customHeight="1">
      <c r="A20" s="1331" t="s">
        <v>1322</v>
      </c>
      <c r="B20" s="1444"/>
      <c r="C20" s="1444"/>
      <c r="D20" s="1444"/>
      <c r="E20" s="1444"/>
      <c r="F20" s="1444"/>
      <c r="G20" s="1444"/>
      <c r="H20" s="1444"/>
      <c r="I20" s="1444"/>
      <c r="J20" s="1445"/>
    </row>
    <row r="21" spans="1:21" s="1443" customFormat="1" ht="13">
      <c r="A21" s="1500" t="s">
        <v>1325</v>
      </c>
      <c r="B21" s="1464"/>
      <c r="C21" s="1464"/>
      <c r="D21" s="1464"/>
      <c r="E21" s="1464"/>
      <c r="F21" s="1464"/>
      <c r="G21" s="1464"/>
      <c r="H21" s="1464"/>
      <c r="I21" s="1464"/>
      <c r="J21" s="1442"/>
    </row>
    <row r="22" spans="1:21" s="1443" customFormat="1" ht="13" customHeight="1">
      <c r="A22" s="1330" t="s">
        <v>1323</v>
      </c>
      <c r="B22" s="1463"/>
      <c r="C22" s="1463"/>
      <c r="D22" s="1463"/>
      <c r="E22" s="1463"/>
      <c r="F22" s="1463"/>
      <c r="G22" s="1463"/>
      <c r="H22" s="1463"/>
      <c r="I22" s="1463"/>
      <c r="J22" s="1442"/>
    </row>
    <row r="23" spans="1:21" s="1443" customFormat="1" ht="13" customHeight="1">
      <c r="A23" s="1330" t="s">
        <v>1324</v>
      </c>
      <c r="C23" s="1444"/>
      <c r="D23" s="1444"/>
      <c r="E23" s="1444"/>
      <c r="F23" s="1444"/>
      <c r="G23" s="1444"/>
      <c r="H23" s="1444"/>
      <c r="I23" s="1444"/>
      <c r="J23" s="1445"/>
    </row>
    <row r="24" spans="1:21" s="534" customFormat="1" ht="13" customHeight="1">
      <c r="A24" s="1332"/>
      <c r="B24" s="1333"/>
      <c r="C24" s="1446"/>
      <c r="D24" s="1335"/>
      <c r="E24" s="1336"/>
      <c r="F24" s="1335"/>
      <c r="G24" s="1335"/>
      <c r="H24" s="1336"/>
      <c r="I24" s="1335"/>
      <c r="K24" s="1447"/>
      <c r="M24"/>
      <c r="N24"/>
      <c r="O24"/>
      <c r="P24"/>
      <c r="Q24"/>
      <c r="R24"/>
      <c r="S24"/>
      <c r="T24"/>
      <c r="U24"/>
    </row>
    <row r="25" spans="1:21" s="667" customFormat="1" ht="12.75" customHeight="1">
      <c r="A25" s="745" t="s">
        <v>1382</v>
      </c>
      <c r="B25" s="668"/>
      <c r="C25" s="668"/>
      <c r="D25" s="669"/>
    </row>
  </sheetData>
  <hyperlinks>
    <hyperlink ref="K1" location="TOC!A1" display="Back" xr:uid="{FF142B04-EF47-4F9B-B5C2-823C64D7B5AD}"/>
  </hyperlinks>
  <pageMargins left="0.5" right="0.25" top="0.5" bottom="0.5" header="0.25" footer="0.25"/>
  <pageSetup firstPageNumber="25" orientation="landscape" r:id="rId1"/>
  <headerFooter scaleWithDoc="0">
    <oddHeader>&amp;R&amp;P</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6">
    <pageSetUpPr fitToPage="1"/>
  </sheetPr>
  <dimension ref="A1:I66"/>
  <sheetViews>
    <sheetView zoomScale="90" zoomScaleNormal="90" workbookViewId="0"/>
  </sheetViews>
  <sheetFormatPr defaultRowHeight="12.5"/>
  <cols>
    <col min="1" max="1" width="25.7265625" style="53" customWidth="1"/>
    <col min="2" max="2" width="64.7265625" style="53" customWidth="1"/>
    <col min="3" max="3" width="25.6328125" style="53" customWidth="1"/>
    <col min="4" max="4" width="33.54296875" style="53" bestFit="1" customWidth="1"/>
    <col min="5" max="5" width="11.6328125" style="71" customWidth="1"/>
    <col min="6" max="6" width="14.36328125" style="1449" customWidth="1"/>
    <col min="7" max="7" width="1.6328125" customWidth="1"/>
    <col min="8" max="8" width="5.1796875" bestFit="1" customWidth="1"/>
  </cols>
  <sheetData>
    <row r="1" spans="1:8" ht="17.149999999999999" customHeight="1">
      <c r="A1" s="336" t="s">
        <v>41</v>
      </c>
      <c r="H1" s="811" t="s">
        <v>954</v>
      </c>
    </row>
    <row r="2" spans="1:8" ht="15" customHeight="1">
      <c r="A2" s="54" t="s">
        <v>1173</v>
      </c>
    </row>
    <row r="3" spans="1:8" ht="12.75" customHeight="1">
      <c r="A3" s="1326" t="s">
        <v>1308</v>
      </c>
    </row>
    <row r="4" spans="1:8" ht="6" customHeight="1" thickBot="1">
      <c r="A4" s="55"/>
      <c r="B4" s="55"/>
      <c r="C4" s="55"/>
      <c r="D4" s="55"/>
      <c r="E4" s="1450"/>
      <c r="F4" s="1451"/>
    </row>
    <row r="5" spans="1:8" ht="26.15" customHeight="1" thickTop="1">
      <c r="A5" s="757" t="s">
        <v>224</v>
      </c>
      <c r="B5" s="757" t="s">
        <v>182</v>
      </c>
      <c r="C5" s="757" t="s">
        <v>183</v>
      </c>
      <c r="D5" s="757" t="s">
        <v>225</v>
      </c>
      <c r="E5" s="1452" t="s">
        <v>226</v>
      </c>
      <c r="F5" s="1452" t="s">
        <v>16</v>
      </c>
    </row>
    <row r="6" spans="1:8" ht="21" customHeight="1">
      <c r="A6" s="1448" t="s">
        <v>184</v>
      </c>
      <c r="B6" s="1240" t="s">
        <v>717</v>
      </c>
      <c r="C6" s="1241" t="s">
        <v>185</v>
      </c>
      <c r="D6" s="1240" t="s">
        <v>1275</v>
      </c>
      <c r="E6" s="1242">
        <v>3923</v>
      </c>
      <c r="F6" s="1524">
        <v>15230963.25</v>
      </c>
    </row>
    <row r="7" spans="1:8">
      <c r="A7" s="170" t="s">
        <v>186</v>
      </c>
      <c r="B7" s="1240" t="s">
        <v>1281</v>
      </c>
      <c r="C7" s="1241" t="s">
        <v>187</v>
      </c>
      <c r="D7" s="1240" t="s">
        <v>1276</v>
      </c>
      <c r="E7" s="1242">
        <v>27</v>
      </c>
      <c r="F7" s="1242">
        <v>54218</v>
      </c>
    </row>
    <row r="8" spans="1:8">
      <c r="A8" s="170" t="s">
        <v>188</v>
      </c>
      <c r="B8" s="1240" t="s">
        <v>1172</v>
      </c>
      <c r="C8" s="1241" t="s">
        <v>189</v>
      </c>
      <c r="D8" s="1240" t="s">
        <v>1276</v>
      </c>
      <c r="E8" s="1453">
        <v>134</v>
      </c>
      <c r="F8" s="1454">
        <v>1123337.3500000001</v>
      </c>
    </row>
    <row r="9" spans="1:8" ht="27" customHeight="1">
      <c r="A9" s="1310" t="s">
        <v>190</v>
      </c>
      <c r="B9" s="1311" t="s">
        <v>191</v>
      </c>
      <c r="C9" s="1312" t="s">
        <v>192</v>
      </c>
      <c r="D9" s="1311" t="s">
        <v>1276</v>
      </c>
      <c r="E9" s="1313">
        <v>79</v>
      </c>
      <c r="F9" s="1313">
        <v>74716</v>
      </c>
    </row>
    <row r="10" spans="1:8" ht="21" customHeight="1">
      <c r="A10" s="170" t="s">
        <v>193</v>
      </c>
      <c r="B10" s="1240" t="s">
        <v>281</v>
      </c>
      <c r="C10" s="1241" t="s">
        <v>194</v>
      </c>
      <c r="D10" s="1240" t="s">
        <v>1298</v>
      </c>
      <c r="E10" s="1242">
        <v>10</v>
      </c>
      <c r="F10" s="1242">
        <v>1762369</v>
      </c>
    </row>
    <row r="11" spans="1:8" ht="12.75" customHeight="1">
      <c r="A11" s="6" t="s">
        <v>195</v>
      </c>
      <c r="B11" s="462" t="s">
        <v>1304</v>
      </c>
      <c r="C11" s="1241" t="s">
        <v>196</v>
      </c>
      <c r="D11" s="1240" t="s">
        <v>1276</v>
      </c>
      <c r="E11" s="1242">
        <v>12</v>
      </c>
      <c r="F11" s="1242">
        <v>5487343</v>
      </c>
    </row>
    <row r="12" spans="1:8" ht="12.75" customHeight="1">
      <c r="A12" s="6" t="s">
        <v>197</v>
      </c>
      <c r="B12" s="462" t="s">
        <v>228</v>
      </c>
      <c r="C12" s="1241" t="s">
        <v>198</v>
      </c>
      <c r="D12" s="1327" t="s">
        <v>1278</v>
      </c>
      <c r="E12" s="1242">
        <v>519</v>
      </c>
      <c r="F12" s="1242">
        <v>84086875.75</v>
      </c>
    </row>
    <row r="13" spans="1:8" ht="12.75" customHeight="1">
      <c r="A13" s="6" t="s">
        <v>199</v>
      </c>
      <c r="B13" s="462" t="s">
        <v>1169</v>
      </c>
      <c r="C13" s="1241" t="s">
        <v>200</v>
      </c>
      <c r="D13" s="1240" t="s">
        <v>1276</v>
      </c>
      <c r="E13" s="1453">
        <v>217</v>
      </c>
      <c r="F13" s="1454">
        <v>729152.05</v>
      </c>
    </row>
    <row r="14" spans="1:8">
      <c r="A14" s="1318" t="s">
        <v>1244</v>
      </c>
      <c r="B14" s="1319" t="s">
        <v>1245</v>
      </c>
      <c r="C14" s="1320" t="s">
        <v>1246</v>
      </c>
      <c r="D14" s="1319" t="s">
        <v>1279</v>
      </c>
      <c r="E14" s="1321">
        <v>642</v>
      </c>
      <c r="F14" s="1321">
        <v>15580375.010000005</v>
      </c>
    </row>
    <row r="15" spans="1:8" ht="21" customHeight="1">
      <c r="A15" s="6" t="s">
        <v>1247</v>
      </c>
      <c r="B15" s="462" t="s">
        <v>1248</v>
      </c>
      <c r="C15" s="814" t="s">
        <v>204</v>
      </c>
      <c r="D15" s="462" t="s">
        <v>1279</v>
      </c>
      <c r="E15" s="815">
        <v>14</v>
      </c>
      <c r="F15" s="815">
        <v>7134416</v>
      </c>
    </row>
    <row r="16" spans="1:8" ht="12.75" customHeight="1">
      <c r="A16" s="6" t="s">
        <v>202</v>
      </c>
      <c r="B16" s="462" t="s">
        <v>203</v>
      </c>
      <c r="C16" s="1241" t="s">
        <v>204</v>
      </c>
      <c r="D16" s="1240" t="s">
        <v>1277</v>
      </c>
      <c r="E16" s="1242">
        <v>301</v>
      </c>
      <c r="F16" s="1242">
        <v>545983.36</v>
      </c>
    </row>
    <row r="17" spans="1:6" ht="12.75" customHeight="1">
      <c r="A17" s="6" t="s">
        <v>205</v>
      </c>
      <c r="B17" s="462" t="s">
        <v>206</v>
      </c>
      <c r="C17" s="1241" t="s">
        <v>207</v>
      </c>
      <c r="D17" s="1240" t="s">
        <v>1277</v>
      </c>
      <c r="E17" s="1453">
        <v>318</v>
      </c>
      <c r="F17" s="1454">
        <v>3989006.72</v>
      </c>
    </row>
    <row r="18" spans="1:6" ht="12.75" customHeight="1">
      <c r="A18" s="6" t="s">
        <v>208</v>
      </c>
      <c r="B18" s="462" t="s">
        <v>1269</v>
      </c>
      <c r="C18" s="1241" t="s">
        <v>207</v>
      </c>
      <c r="D18" s="1240" t="s">
        <v>1277</v>
      </c>
      <c r="E18" s="1242">
        <v>25</v>
      </c>
      <c r="F18" s="1242">
        <v>81791</v>
      </c>
    </row>
    <row r="19" spans="1:6">
      <c r="A19" s="1318" t="s">
        <v>201</v>
      </c>
      <c r="B19" s="1319" t="s">
        <v>1270</v>
      </c>
      <c r="C19" s="1316" t="s">
        <v>207</v>
      </c>
      <c r="D19" s="1315" t="s">
        <v>1276</v>
      </c>
      <c r="E19" s="1317">
        <v>47</v>
      </c>
      <c r="F19" s="1317">
        <v>1457773.4000000006</v>
      </c>
    </row>
    <row r="20" spans="1:6" ht="21" customHeight="1">
      <c r="A20" s="6" t="s">
        <v>212</v>
      </c>
      <c r="B20" s="462" t="s">
        <v>1303</v>
      </c>
      <c r="C20" s="1241" t="s">
        <v>211</v>
      </c>
      <c r="D20" s="1240" t="s">
        <v>1277</v>
      </c>
      <c r="E20" s="1242" t="s">
        <v>1212</v>
      </c>
      <c r="F20" s="1242">
        <v>50</v>
      </c>
    </row>
    <row r="21" spans="1:6" ht="12.75" customHeight="1">
      <c r="A21" s="170" t="s">
        <v>213</v>
      </c>
      <c r="B21" s="462" t="s">
        <v>214</v>
      </c>
      <c r="C21" s="1241" t="s">
        <v>211</v>
      </c>
      <c r="D21" s="1240" t="s">
        <v>1276</v>
      </c>
      <c r="E21" s="1454">
        <v>148</v>
      </c>
      <c r="F21" s="1454">
        <v>654893</v>
      </c>
    </row>
    <row r="22" spans="1:6" ht="12.75" customHeight="1">
      <c r="A22" s="170" t="s">
        <v>209</v>
      </c>
      <c r="B22" s="462" t="s">
        <v>210</v>
      </c>
      <c r="C22" s="1241" t="s">
        <v>211</v>
      </c>
      <c r="D22" s="1240" t="s">
        <v>1276</v>
      </c>
      <c r="E22" s="1242">
        <v>4929</v>
      </c>
      <c r="F22" s="1242">
        <v>74438643.109999985</v>
      </c>
    </row>
    <row r="23" spans="1:6">
      <c r="A23" s="1314" t="s">
        <v>215</v>
      </c>
      <c r="B23" s="1315" t="s">
        <v>216</v>
      </c>
      <c r="C23" s="1316" t="s">
        <v>217</v>
      </c>
      <c r="D23" s="1315" t="s">
        <v>1277</v>
      </c>
      <c r="E23" s="1317">
        <v>506171</v>
      </c>
      <c r="F23" s="1317">
        <v>207460522.21999994</v>
      </c>
    </row>
    <row r="24" spans="1:6" ht="21" customHeight="1">
      <c r="A24" s="170" t="s">
        <v>218</v>
      </c>
      <c r="B24" s="1240" t="s">
        <v>1170</v>
      </c>
      <c r="C24" s="1241" t="s">
        <v>217</v>
      </c>
      <c r="D24" s="1240" t="s">
        <v>1277</v>
      </c>
      <c r="E24" s="1242">
        <v>113</v>
      </c>
      <c r="F24" s="1242">
        <v>415788.18</v>
      </c>
    </row>
    <row r="25" spans="1:6" ht="12.75" customHeight="1">
      <c r="A25" s="170" t="s">
        <v>219</v>
      </c>
      <c r="B25" s="1461" t="s">
        <v>1302</v>
      </c>
      <c r="C25" s="1241" t="s">
        <v>220</v>
      </c>
      <c r="D25" s="1240" t="s">
        <v>1277</v>
      </c>
      <c r="E25" s="1453">
        <v>6</v>
      </c>
      <c r="F25" s="1454">
        <v>12678</v>
      </c>
    </row>
    <row r="26" spans="1:6" ht="12.75" customHeight="1">
      <c r="A26" s="170" t="s">
        <v>221</v>
      </c>
      <c r="B26" s="1240" t="s">
        <v>222</v>
      </c>
      <c r="C26" s="1241" t="s">
        <v>223</v>
      </c>
      <c r="D26" s="1240" t="s">
        <v>1277</v>
      </c>
      <c r="E26" s="1453">
        <v>6</v>
      </c>
      <c r="F26" s="1242">
        <v>2155</v>
      </c>
    </row>
    <row r="27" spans="1:6" ht="12.75" customHeight="1">
      <c r="A27" s="170" t="s">
        <v>673</v>
      </c>
      <c r="B27" s="1240" t="s">
        <v>674</v>
      </c>
      <c r="C27" s="1241" t="s">
        <v>672</v>
      </c>
      <c r="D27" s="1240" t="s">
        <v>1277</v>
      </c>
      <c r="E27" s="1242">
        <v>61</v>
      </c>
      <c r="F27" s="1242">
        <v>183367</v>
      </c>
    </row>
    <row r="28" spans="1:6">
      <c r="A28" s="1314" t="s">
        <v>670</v>
      </c>
      <c r="B28" s="1315" t="s">
        <v>671</v>
      </c>
      <c r="C28" s="1316" t="s">
        <v>672</v>
      </c>
      <c r="D28" s="1315" t="s">
        <v>1276</v>
      </c>
      <c r="E28" s="1317">
        <v>15</v>
      </c>
      <c r="F28" s="1317">
        <v>11241.74</v>
      </c>
    </row>
    <row r="29" spans="1:6" ht="21" customHeight="1">
      <c r="A29" s="170" t="s">
        <v>679</v>
      </c>
      <c r="B29" s="1240" t="s">
        <v>680</v>
      </c>
      <c r="C29" s="1241" t="s">
        <v>733</v>
      </c>
      <c r="D29" s="1240" t="s">
        <v>1297</v>
      </c>
      <c r="E29" s="1453" t="s">
        <v>1212</v>
      </c>
      <c r="F29" s="1454">
        <v>15000000</v>
      </c>
    </row>
    <row r="30" spans="1:6" ht="12.75" customHeight="1">
      <c r="A30" s="170" t="s">
        <v>676</v>
      </c>
      <c r="B30" s="1240" t="s">
        <v>677</v>
      </c>
      <c r="C30" s="1241" t="s">
        <v>678</v>
      </c>
      <c r="D30" s="1240" t="s">
        <v>1276</v>
      </c>
      <c r="E30" s="1242">
        <v>48</v>
      </c>
      <c r="F30" s="1242">
        <v>244874.02</v>
      </c>
    </row>
    <row r="31" spans="1:6" ht="12.75" customHeight="1">
      <c r="A31" s="170" t="s">
        <v>681</v>
      </c>
      <c r="B31" s="1240" t="s">
        <v>682</v>
      </c>
      <c r="C31" s="1241" t="s">
        <v>678</v>
      </c>
      <c r="D31" s="1240" t="s">
        <v>1276</v>
      </c>
      <c r="E31" s="1453">
        <v>5</v>
      </c>
      <c r="F31" s="1242">
        <v>139723.5</v>
      </c>
    </row>
    <row r="32" spans="1:6" ht="12.75" customHeight="1">
      <c r="A32" s="170" t="s">
        <v>683</v>
      </c>
      <c r="B32" s="1240" t="s">
        <v>1171</v>
      </c>
      <c r="C32" s="1241" t="s">
        <v>678</v>
      </c>
      <c r="D32" s="1240" t="s">
        <v>1276</v>
      </c>
      <c r="E32" s="1242">
        <v>270</v>
      </c>
      <c r="F32" s="1242">
        <v>3426728</v>
      </c>
    </row>
    <row r="33" spans="1:9">
      <c r="A33" s="1318" t="s">
        <v>684</v>
      </c>
      <c r="B33" s="1319" t="s">
        <v>685</v>
      </c>
      <c r="C33" s="1320" t="s">
        <v>678</v>
      </c>
      <c r="D33" s="1319" t="s">
        <v>1276</v>
      </c>
      <c r="E33" s="1321">
        <v>6</v>
      </c>
      <c r="F33" s="1321">
        <v>96664</v>
      </c>
    </row>
    <row r="34" spans="1:9" ht="21" customHeight="1">
      <c r="A34" s="6" t="s">
        <v>686</v>
      </c>
      <c r="B34" s="462" t="s">
        <v>687</v>
      </c>
      <c r="C34" s="814" t="s">
        <v>678</v>
      </c>
      <c r="D34" s="462" t="s">
        <v>1276</v>
      </c>
      <c r="E34" s="1455">
        <v>41</v>
      </c>
      <c r="F34" s="1456">
        <v>2388698</v>
      </c>
    </row>
    <row r="35" spans="1:9" ht="12.75" customHeight="1">
      <c r="A35" s="6" t="s">
        <v>718</v>
      </c>
      <c r="B35" s="462" t="s">
        <v>719</v>
      </c>
      <c r="C35" s="814" t="s">
        <v>720</v>
      </c>
      <c r="D35" s="462" t="s">
        <v>1299</v>
      </c>
      <c r="E35" s="815">
        <v>1662</v>
      </c>
      <c r="F35" s="815">
        <v>19354932.629999995</v>
      </c>
    </row>
    <row r="36" spans="1:9">
      <c r="A36" s="170" t="s">
        <v>762</v>
      </c>
      <c r="B36" s="1240" t="s">
        <v>763</v>
      </c>
      <c r="C36" s="1241" t="s">
        <v>1271</v>
      </c>
      <c r="D36" s="1240" t="s">
        <v>1275</v>
      </c>
      <c r="E36" s="1453">
        <v>71</v>
      </c>
      <c r="F36" s="1242">
        <v>14642055.5</v>
      </c>
    </row>
    <row r="37" spans="1:9">
      <c r="A37" s="6" t="s">
        <v>764</v>
      </c>
      <c r="B37" s="462" t="s">
        <v>1272</v>
      </c>
      <c r="C37" s="814" t="s">
        <v>1271</v>
      </c>
      <c r="D37" s="462" t="s">
        <v>1277</v>
      </c>
      <c r="E37" s="815">
        <v>20</v>
      </c>
      <c r="F37" s="1456">
        <v>49309</v>
      </c>
    </row>
    <row r="38" spans="1:9">
      <c r="A38" s="1318" t="s">
        <v>855</v>
      </c>
      <c r="B38" s="1319" t="s">
        <v>856</v>
      </c>
      <c r="C38" s="1320" t="s">
        <v>1273</v>
      </c>
      <c r="D38" s="1319" t="s">
        <v>1276</v>
      </c>
      <c r="E38" s="1321">
        <v>4</v>
      </c>
      <c r="F38" s="1321">
        <v>129356</v>
      </c>
    </row>
    <row r="39" spans="1:9" ht="21" customHeight="1">
      <c r="A39" s="6" t="s">
        <v>1249</v>
      </c>
      <c r="B39" s="462" t="s">
        <v>1274</v>
      </c>
      <c r="C39" s="814" t="s">
        <v>1250</v>
      </c>
      <c r="D39" s="462" t="s">
        <v>1277</v>
      </c>
      <c r="E39" s="1455">
        <v>42679</v>
      </c>
      <c r="F39" s="1456">
        <v>1362847594</v>
      </c>
    </row>
    <row r="40" spans="1:9">
      <c r="A40" s="842" t="s">
        <v>1249</v>
      </c>
      <c r="B40" s="816" t="s">
        <v>1309</v>
      </c>
      <c r="C40" s="816" t="s">
        <v>1250</v>
      </c>
      <c r="D40" s="816" t="s">
        <v>1277</v>
      </c>
      <c r="E40" s="815">
        <v>171</v>
      </c>
      <c r="F40" s="1456">
        <v>5088973</v>
      </c>
    </row>
    <row r="41" spans="1:9">
      <c r="A41" s="842" t="s">
        <v>1326</v>
      </c>
      <c r="B41" s="816" t="s">
        <v>1301</v>
      </c>
      <c r="C41" s="816" t="s">
        <v>1328</v>
      </c>
      <c r="D41" s="816" t="s">
        <v>1277</v>
      </c>
      <c r="E41" s="815">
        <v>5</v>
      </c>
      <c r="F41" s="1456">
        <v>2575.73</v>
      </c>
    </row>
    <row r="42" spans="1:9" s="666" customFormat="1" ht="13">
      <c r="A42" s="842" t="s">
        <v>1327</v>
      </c>
      <c r="B42" s="816" t="s">
        <v>1300</v>
      </c>
      <c r="C42" s="816" t="s">
        <v>1329</v>
      </c>
      <c r="D42" s="816" t="s">
        <v>1277</v>
      </c>
      <c r="E42" s="815">
        <v>1120</v>
      </c>
      <c r="F42" s="1456">
        <v>296866.09000000008</v>
      </c>
      <c r="G42"/>
      <c r="I42"/>
    </row>
    <row r="43" spans="1:9" s="666" customFormat="1" ht="3" customHeight="1">
      <c r="A43" s="6"/>
      <c r="B43" s="812"/>
      <c r="C43" s="814"/>
      <c r="D43" s="462"/>
      <c r="E43" s="815"/>
      <c r="F43" s="815"/>
      <c r="G43"/>
      <c r="I43"/>
    </row>
    <row r="44" spans="1:9" ht="3" customHeight="1">
      <c r="A44" s="1318"/>
      <c r="B44" s="1319"/>
      <c r="C44" s="1320"/>
      <c r="D44" s="1319"/>
      <c r="E44" s="1321"/>
      <c r="F44" s="1321"/>
      <c r="I44" s="666"/>
    </row>
    <row r="45" spans="1:9" s="666" customFormat="1" ht="3" customHeight="1">
      <c r="A45" s="842"/>
      <c r="B45" s="816"/>
      <c r="C45" s="816"/>
      <c r="D45" s="816"/>
      <c r="E45" s="815"/>
      <c r="F45" s="1457"/>
      <c r="G45"/>
    </row>
    <row r="46" spans="1:9" s="666" customFormat="1" ht="3" customHeight="1">
      <c r="A46" s="842"/>
      <c r="B46" s="816"/>
      <c r="C46" s="816"/>
      <c r="D46" s="816"/>
      <c r="E46" s="815"/>
      <c r="F46" s="1457"/>
      <c r="G46"/>
      <c r="I46"/>
    </row>
    <row r="47" spans="1:9" s="1134" customFormat="1" ht="11" customHeight="1">
      <c r="A47" s="1134" t="s">
        <v>1</v>
      </c>
      <c r="E47" s="1251"/>
      <c r="F47" s="1136"/>
      <c r="I47" s="666"/>
    </row>
    <row r="48" spans="1:9" s="1134" customFormat="1" ht="12" customHeight="1">
      <c r="A48" s="1438" t="s">
        <v>1366</v>
      </c>
      <c r="E48" s="1136"/>
      <c r="F48" s="1136"/>
      <c r="I48" s="666"/>
    </row>
    <row r="49" spans="1:9" s="1138" customFormat="1" ht="12" customHeight="1">
      <c r="A49" s="1437" t="s">
        <v>1367</v>
      </c>
      <c r="B49" s="1137"/>
      <c r="C49" s="1137"/>
      <c r="D49" s="1137"/>
      <c r="E49" s="1458"/>
      <c r="F49" s="1458"/>
      <c r="G49" s="1134"/>
      <c r="I49" s="1134"/>
    </row>
    <row r="50" spans="1:9" s="1134" customFormat="1" ht="12" customHeight="1">
      <c r="A50" s="1438" t="s">
        <v>981</v>
      </c>
      <c r="E50" s="1136"/>
      <c r="F50" s="1136"/>
    </row>
    <row r="51" spans="1:9" s="1134" customFormat="1" ht="12" customHeight="1">
      <c r="A51" s="1438" t="s">
        <v>982</v>
      </c>
      <c r="E51" s="1136"/>
      <c r="F51" s="1136"/>
      <c r="I51" s="1138"/>
    </row>
    <row r="52" spans="1:9" s="1134" customFormat="1" ht="12" customHeight="1">
      <c r="A52" s="1438" t="s">
        <v>983</v>
      </c>
      <c r="E52" s="1136"/>
      <c r="F52" s="1136"/>
    </row>
    <row r="53" spans="1:9" s="1134" customFormat="1" ht="12" customHeight="1">
      <c r="A53" s="1438" t="s">
        <v>1282</v>
      </c>
      <c r="E53" s="1136"/>
      <c r="F53" s="1136"/>
    </row>
    <row r="54" spans="1:9" s="1134" customFormat="1" ht="12" customHeight="1">
      <c r="A54" s="1439" t="s">
        <v>1305</v>
      </c>
      <c r="B54" s="1135"/>
      <c r="C54" s="1135"/>
      <c r="D54" s="1135"/>
      <c r="E54" s="1459"/>
      <c r="F54" s="1459"/>
    </row>
    <row r="55" spans="1:9" s="1134" customFormat="1" ht="12" customHeight="1">
      <c r="A55" s="1438" t="s">
        <v>1306</v>
      </c>
      <c r="E55" s="1136"/>
      <c r="F55" s="1136"/>
    </row>
    <row r="56" spans="1:9" s="1134" customFormat="1" ht="12" customHeight="1">
      <c r="A56" s="1439" t="s">
        <v>1307</v>
      </c>
      <c r="B56" s="1135"/>
      <c r="C56" s="1135"/>
      <c r="D56" s="1135"/>
      <c r="E56" s="1459"/>
      <c r="F56" s="1459"/>
    </row>
    <row r="57" spans="1:9" ht="13">
      <c r="A57" s="745" t="s">
        <v>933</v>
      </c>
      <c r="B57" s="668"/>
      <c r="C57" s="668"/>
      <c r="D57" s="668"/>
      <c r="E57" s="1460"/>
      <c r="F57" s="1235"/>
      <c r="G57" s="667"/>
      <c r="I57" s="1134"/>
    </row>
    <row r="58" spans="1:9">
      <c r="E58" s="1046"/>
      <c r="F58" s="1046"/>
      <c r="I58" s="1134"/>
    </row>
    <row r="59" spans="1:9">
      <c r="A59" s="1628"/>
      <c r="B59" s="1629"/>
      <c r="C59" s="1629"/>
      <c r="D59" s="462"/>
      <c r="F59" s="71"/>
    </row>
    <row r="63" spans="1:9" ht="13">
      <c r="A63" s="1441"/>
    </row>
    <row r="64" spans="1:9" ht="13">
      <c r="A64" s="1441"/>
    </row>
    <row r="65" spans="1:1" ht="13">
      <c r="A65" s="1441"/>
    </row>
    <row r="66" spans="1:1" ht="13">
      <c r="A66" s="1441"/>
    </row>
  </sheetData>
  <customSheetViews>
    <customSheetView guid="{E6BBE5A7-0B25-4EE8-BA45-5EA5DBAF3AD4}" showPageBreaks="1" fitToPage="1" printArea="1">
      <pageMargins left="0.6" right="0.64" top="0.75" bottom="0.75" header="0.5" footer="0.5"/>
      <printOptions horizontalCentered="1" verticalCentered="1"/>
      <pageSetup scale="63" orientation="landscape" r:id="rId1"/>
      <headerFooter alignWithMargins="0"/>
    </customSheetView>
  </customSheetViews>
  <mergeCells count="1">
    <mergeCell ref="A59:C59"/>
  </mergeCells>
  <phoneticPr fontId="14" type="noConversion"/>
  <hyperlinks>
    <hyperlink ref="H1" location="TOC!A1" display="Back" xr:uid="{00000000-0004-0000-1000-000000000000}"/>
  </hyperlinks>
  <pageMargins left="0.4" right="0.2" top="0.3" bottom="0" header="0.2" footer="0"/>
  <pageSetup scale="76" orientation="landscape" r:id="rId2"/>
  <headerFooter scaleWithDoc="0">
    <oddHeader>&amp;R&amp;P</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codeName="Sheet18">
    <pageSetUpPr fitToPage="1"/>
  </sheetPr>
  <dimension ref="A1:X74"/>
  <sheetViews>
    <sheetView defaultGridColor="0" colorId="22" zoomScale="90" zoomScaleNormal="90" workbookViewId="0"/>
  </sheetViews>
  <sheetFormatPr defaultColWidth="15.1796875" defaultRowHeight="15.5"/>
  <cols>
    <col min="1" max="1" width="6.6328125" style="27" customWidth="1"/>
    <col min="2" max="2" width="15.36328125" style="27" bestFit="1" customWidth="1"/>
    <col min="3" max="3" width="14.08984375" style="27" bestFit="1" customWidth="1"/>
    <col min="4" max="4" width="12.6328125" style="27" customWidth="1"/>
    <col min="5" max="5" width="16.6328125" style="27" customWidth="1"/>
    <col min="6" max="6" width="15.1796875" style="27" customWidth="1"/>
    <col min="7" max="8" width="13.6328125" style="27" customWidth="1"/>
    <col min="9" max="9" width="12.6328125" style="27" customWidth="1"/>
    <col min="10" max="10" width="11.6328125" style="27" customWidth="1"/>
    <col min="11" max="12" width="12.6328125" style="27" customWidth="1"/>
    <col min="13" max="14" width="14.1796875" style="27" customWidth="1"/>
    <col min="15" max="15" width="17.7265625" style="27" customWidth="1"/>
    <col min="16" max="16" width="14.6328125" style="27" customWidth="1"/>
    <col min="17" max="17" width="8.6328125" style="27" customWidth="1"/>
    <col min="18" max="20" width="8.6328125" style="586" customWidth="1"/>
    <col min="21" max="21" width="8.6328125" style="587" customWidth="1"/>
    <col min="22" max="23" width="8.6328125" style="586" customWidth="1"/>
    <col min="24" max="24" width="8.6328125" style="587" customWidth="1"/>
    <col min="25" max="29" width="8.6328125" style="27" customWidth="1"/>
    <col min="30" max="16384" width="15.1796875" style="27"/>
  </cols>
  <sheetData>
    <row r="1" spans="1:24" ht="17.149999999999999" customHeight="1">
      <c r="A1" s="342" t="s">
        <v>173</v>
      </c>
      <c r="B1" s="773"/>
      <c r="C1" s="773"/>
      <c r="D1" s="773"/>
      <c r="E1" s="774"/>
      <c r="F1" s="774"/>
      <c r="Q1" s="811" t="s">
        <v>954</v>
      </c>
    </row>
    <row r="2" spans="1:24" ht="15" customHeight="1">
      <c r="A2" s="28" t="s">
        <v>42</v>
      </c>
      <c r="F2" s="774"/>
    </row>
    <row r="3" spans="1:24" ht="6" customHeight="1" thickBot="1">
      <c r="A3" s="200"/>
      <c r="B3" s="29"/>
      <c r="C3" s="29"/>
      <c r="D3" s="29"/>
      <c r="E3" s="29"/>
      <c r="F3" s="29"/>
      <c r="G3" s="29"/>
      <c r="H3" s="29"/>
      <c r="I3" s="29"/>
      <c r="J3" s="29"/>
      <c r="K3" s="29"/>
      <c r="L3" s="29"/>
      <c r="M3" s="29"/>
      <c r="N3" s="29"/>
      <c r="O3" s="29"/>
      <c r="P3" s="29"/>
      <c r="Q3" s="30"/>
    </row>
    <row r="4" spans="1:24" ht="15" customHeight="1">
      <c r="A4" s="34"/>
      <c r="B4" s="835" t="s">
        <v>43</v>
      </c>
      <c r="C4" s="835"/>
      <c r="D4" s="835"/>
      <c r="E4" s="836"/>
      <c r="F4" s="836"/>
      <c r="G4" s="836"/>
      <c r="H4" s="836"/>
      <c r="I4" s="836"/>
      <c r="J4" s="836"/>
      <c r="K4" s="836"/>
      <c r="L4" s="836"/>
      <c r="M4" s="34"/>
      <c r="N4" s="835" t="s">
        <v>44</v>
      </c>
      <c r="O4" s="835"/>
      <c r="P4" s="34"/>
      <c r="Q4" s="30"/>
    </row>
    <row r="5" spans="1:24" ht="40" customHeight="1" thickBot="1">
      <c r="A5" s="580" t="s">
        <v>898</v>
      </c>
      <c r="B5" s="580" t="s">
        <v>893</v>
      </c>
      <c r="C5" s="581" t="s">
        <v>970</v>
      </c>
      <c r="D5" s="829" t="s">
        <v>971</v>
      </c>
      <c r="E5" s="829" t="s">
        <v>972</v>
      </c>
      <c r="F5" s="829" t="s">
        <v>973</v>
      </c>
      <c r="G5" s="829" t="s">
        <v>974</v>
      </c>
      <c r="H5" s="580" t="s">
        <v>891</v>
      </c>
      <c r="I5" s="580" t="s">
        <v>892</v>
      </c>
      <c r="J5" s="580" t="s">
        <v>890</v>
      </c>
      <c r="K5" s="580" t="s">
        <v>889</v>
      </c>
      <c r="L5" s="837" t="s">
        <v>975</v>
      </c>
      <c r="M5" s="581" t="s">
        <v>894</v>
      </c>
      <c r="N5" s="829" t="s">
        <v>895</v>
      </c>
      <c r="O5" s="829" t="s">
        <v>896</v>
      </c>
      <c r="P5" s="829" t="s">
        <v>897</v>
      </c>
      <c r="Q5" s="30"/>
    </row>
    <row r="6" spans="1:24" hidden="1">
      <c r="A6" s="31">
        <v>2011</v>
      </c>
      <c r="B6" s="194">
        <v>3012379000</v>
      </c>
      <c r="C6" s="194"/>
      <c r="D6" s="194">
        <v>477329000</v>
      </c>
      <c r="E6" s="330" t="s">
        <v>45</v>
      </c>
      <c r="F6" s="330" t="s">
        <v>45</v>
      </c>
      <c r="G6" s="330" t="s">
        <v>45</v>
      </c>
      <c r="H6" s="330" t="s">
        <v>45</v>
      </c>
      <c r="I6" s="330" t="s">
        <v>45</v>
      </c>
      <c r="J6" s="203"/>
      <c r="K6" s="203"/>
      <c r="L6" s="203"/>
      <c r="M6" s="584">
        <f t="shared" ref="M6:M19" si="0">SUM(B6:L6)</f>
        <v>3489708000</v>
      </c>
      <c r="N6" s="584">
        <v>1010205000</v>
      </c>
      <c r="O6" s="1600">
        <v>204027000</v>
      </c>
      <c r="P6" s="584">
        <v>4762261000</v>
      </c>
      <c r="Q6" s="33"/>
      <c r="U6" s="588"/>
      <c r="X6" s="588"/>
    </row>
    <row r="7" spans="1:24" hidden="1">
      <c r="A7" s="31">
        <v>2012</v>
      </c>
      <c r="B7" s="820">
        <v>3121503000</v>
      </c>
      <c r="C7" s="820"/>
      <c r="D7" s="820">
        <v>503070000</v>
      </c>
      <c r="E7" s="822" t="s">
        <v>45</v>
      </c>
      <c r="F7" s="822" t="s">
        <v>45</v>
      </c>
      <c r="G7" s="822" t="s">
        <v>45</v>
      </c>
      <c r="H7" s="822" t="s">
        <v>45</v>
      </c>
      <c r="I7" s="822" t="s">
        <v>45</v>
      </c>
      <c r="J7" s="820"/>
      <c r="K7" s="820"/>
      <c r="L7" s="820"/>
      <c r="M7" s="827">
        <f t="shared" si="0"/>
        <v>3624573000</v>
      </c>
      <c r="N7" s="827">
        <v>1052522000</v>
      </c>
      <c r="O7" s="827">
        <v>214098000</v>
      </c>
      <c r="P7" s="827">
        <f t="shared" ref="P7:P15" si="1">SUM(M7:O7)</f>
        <v>4891193000</v>
      </c>
      <c r="Q7" s="33"/>
      <c r="R7" s="592"/>
      <c r="U7" s="588"/>
      <c r="X7" s="588"/>
    </row>
    <row r="8" spans="1:24" ht="21" hidden="1" customHeight="1">
      <c r="A8" s="31">
        <v>2013</v>
      </c>
      <c r="B8" s="827">
        <v>3219798000</v>
      </c>
      <c r="C8" s="827"/>
      <c r="D8" s="827">
        <v>521180000</v>
      </c>
      <c r="E8" s="822" t="s">
        <v>45</v>
      </c>
      <c r="F8" s="822" t="s">
        <v>45</v>
      </c>
      <c r="G8" s="822" t="s">
        <v>45</v>
      </c>
      <c r="H8" s="822" t="s">
        <v>45</v>
      </c>
      <c r="I8" s="822" t="s">
        <v>45</v>
      </c>
      <c r="J8" s="827"/>
      <c r="K8" s="827"/>
      <c r="L8" s="827"/>
      <c r="M8" s="827">
        <f t="shared" si="0"/>
        <v>3740978000</v>
      </c>
      <c r="N8" s="827">
        <v>1089743000</v>
      </c>
      <c r="O8" s="827">
        <v>221396000</v>
      </c>
      <c r="P8" s="827">
        <f t="shared" si="1"/>
        <v>5052117000</v>
      </c>
      <c r="Q8" s="33"/>
      <c r="R8" s="592"/>
      <c r="U8" s="588"/>
      <c r="X8" s="588"/>
    </row>
    <row r="9" spans="1:24" ht="24" hidden="1" customHeight="1">
      <c r="A9" s="31">
        <v>2014</v>
      </c>
      <c r="B9" s="827">
        <v>3066456000</v>
      </c>
      <c r="C9" s="827"/>
      <c r="D9" s="827">
        <v>492018000</v>
      </c>
      <c r="E9" s="822">
        <v>191217000</v>
      </c>
      <c r="F9" s="822">
        <v>41908000</v>
      </c>
      <c r="G9" s="822">
        <v>62864000</v>
      </c>
      <c r="H9" s="822">
        <v>203933000</v>
      </c>
      <c r="I9" s="822">
        <v>107424000</v>
      </c>
      <c r="J9" s="827"/>
      <c r="K9" s="827"/>
      <c r="L9" s="827"/>
      <c r="M9" s="827">
        <f t="shared" si="0"/>
        <v>4165820000</v>
      </c>
      <c r="N9" s="827">
        <v>1094794000</v>
      </c>
      <c r="O9" s="827">
        <v>334030000</v>
      </c>
      <c r="P9" s="827">
        <f t="shared" si="1"/>
        <v>5594644000</v>
      </c>
      <c r="Q9" s="33"/>
      <c r="R9" s="592"/>
      <c r="U9" s="588"/>
      <c r="X9" s="588"/>
    </row>
    <row r="10" spans="1:24" ht="24" customHeight="1">
      <c r="A10" s="31">
        <v>2015</v>
      </c>
      <c r="B10" s="1525">
        <v>3235444000</v>
      </c>
      <c r="C10" s="1525"/>
      <c r="D10" s="1525">
        <v>590709000</v>
      </c>
      <c r="E10" s="1525">
        <v>277880000</v>
      </c>
      <c r="F10" s="1525">
        <v>50520000</v>
      </c>
      <c r="G10" s="1525">
        <v>75746000</v>
      </c>
      <c r="H10" s="1525">
        <v>246324000</v>
      </c>
      <c r="I10" s="1525">
        <v>129918000</v>
      </c>
      <c r="J10" s="1525"/>
      <c r="K10" s="1525"/>
      <c r="L10" s="1525"/>
      <c r="M10" s="1525">
        <f t="shared" si="0"/>
        <v>4606541000</v>
      </c>
      <c r="N10" s="1525">
        <v>1143330000</v>
      </c>
      <c r="O10" s="1525">
        <v>352406000</v>
      </c>
      <c r="P10" s="1525">
        <f t="shared" si="1"/>
        <v>6102277000</v>
      </c>
      <c r="Q10" s="33"/>
      <c r="R10" s="592"/>
      <c r="U10" s="588"/>
      <c r="X10" s="588"/>
    </row>
    <row r="11" spans="1:24" ht="15" customHeight="1">
      <c r="A11" s="31">
        <v>2016</v>
      </c>
      <c r="B11" s="1526">
        <v>3295853000</v>
      </c>
      <c r="C11" s="1526"/>
      <c r="D11" s="1526">
        <v>599055000</v>
      </c>
      <c r="E11" s="1526">
        <v>276849000</v>
      </c>
      <c r="F11" s="1526">
        <v>49877000</v>
      </c>
      <c r="G11" s="1526">
        <v>74782000</v>
      </c>
      <c r="H11" s="1526">
        <v>237314000</v>
      </c>
      <c r="I11" s="1526">
        <v>126537000</v>
      </c>
      <c r="J11" s="1526"/>
      <c r="K11" s="1526"/>
      <c r="L11" s="1526"/>
      <c r="M11" s="1526">
        <f t="shared" si="0"/>
        <v>4660267000</v>
      </c>
      <c r="N11" s="1526">
        <v>1188704000</v>
      </c>
      <c r="O11" s="1526">
        <v>355547000</v>
      </c>
      <c r="P11" s="1526">
        <f t="shared" si="1"/>
        <v>6204518000</v>
      </c>
      <c r="Q11" s="33"/>
      <c r="R11" s="592"/>
      <c r="U11" s="588"/>
      <c r="X11" s="588"/>
    </row>
    <row r="12" spans="1:24" ht="15" customHeight="1">
      <c r="A12" s="31">
        <v>2017</v>
      </c>
      <c r="B12" s="1526">
        <v>3354561000</v>
      </c>
      <c r="C12" s="1526"/>
      <c r="D12" s="1526">
        <v>615572000</v>
      </c>
      <c r="E12" s="1526">
        <v>277061000</v>
      </c>
      <c r="F12" s="1526">
        <v>51043000</v>
      </c>
      <c r="G12" s="1526">
        <v>76683000</v>
      </c>
      <c r="H12" s="1526">
        <v>251601000</v>
      </c>
      <c r="I12" s="1526">
        <v>131472000</v>
      </c>
      <c r="J12" s="1526"/>
      <c r="K12" s="1526"/>
      <c r="L12" s="1526"/>
      <c r="M12" s="1526">
        <f t="shared" si="0"/>
        <v>4757993000</v>
      </c>
      <c r="N12" s="1526">
        <v>1213929000</v>
      </c>
      <c r="O12" s="1526">
        <v>365878000</v>
      </c>
      <c r="P12" s="1526">
        <f t="shared" si="1"/>
        <v>6337800000</v>
      </c>
      <c r="Q12" s="33"/>
      <c r="R12" s="595"/>
      <c r="U12" s="598"/>
      <c r="V12" s="594"/>
      <c r="W12" s="593"/>
    </row>
    <row r="13" spans="1:24" ht="15" customHeight="1">
      <c r="A13" s="31">
        <v>2018</v>
      </c>
      <c r="B13" s="1527">
        <v>3458249000</v>
      </c>
      <c r="C13" s="1527"/>
      <c r="D13" s="1527">
        <v>618387000</v>
      </c>
      <c r="E13" s="1526">
        <v>292518000</v>
      </c>
      <c r="F13" s="1526">
        <v>53159000</v>
      </c>
      <c r="G13" s="1526">
        <v>79742000</v>
      </c>
      <c r="H13" s="1526">
        <v>256443000</v>
      </c>
      <c r="I13" s="1526">
        <v>137059000</v>
      </c>
      <c r="J13" s="1527"/>
      <c r="K13" s="1527"/>
      <c r="L13" s="1527"/>
      <c r="M13" s="1526">
        <f t="shared" si="0"/>
        <v>4895557000</v>
      </c>
      <c r="N13" s="1526">
        <v>1243480000</v>
      </c>
      <c r="O13" s="1527">
        <v>376561000</v>
      </c>
      <c r="P13" s="1526">
        <f t="shared" si="1"/>
        <v>6515598000</v>
      </c>
      <c r="Q13" s="33"/>
      <c r="R13" s="599"/>
      <c r="U13" s="600"/>
      <c r="V13" s="591"/>
      <c r="W13" s="591"/>
      <c r="X13" s="590"/>
    </row>
    <row r="14" spans="1:24" ht="15" customHeight="1">
      <c r="A14" s="31">
        <v>2019</v>
      </c>
      <c r="B14" s="1527">
        <v>3580355000</v>
      </c>
      <c r="C14" s="1527"/>
      <c r="D14" s="1527">
        <v>649451000</v>
      </c>
      <c r="E14" s="1527">
        <v>301429000</v>
      </c>
      <c r="F14" s="1527">
        <v>54797000</v>
      </c>
      <c r="G14" s="1527">
        <v>82165000</v>
      </c>
      <c r="H14" s="1527">
        <v>263031000</v>
      </c>
      <c r="I14" s="1527">
        <v>139640000</v>
      </c>
      <c r="J14" s="1527">
        <v>20358000</v>
      </c>
      <c r="K14" s="1527"/>
      <c r="L14" s="1527"/>
      <c r="M14" s="1526">
        <f t="shared" si="0"/>
        <v>5091226000</v>
      </c>
      <c r="N14" s="1526">
        <v>1292804000</v>
      </c>
      <c r="O14" s="1527">
        <v>392605000</v>
      </c>
      <c r="P14" s="1526">
        <f t="shared" si="1"/>
        <v>6776635000</v>
      </c>
      <c r="Q14" s="33"/>
      <c r="R14" s="601"/>
      <c r="U14" s="602"/>
      <c r="X14" s="589"/>
    </row>
    <row r="15" spans="1:24" ht="15" customHeight="1">
      <c r="A15" s="31">
        <v>2020</v>
      </c>
      <c r="B15" s="1527">
        <v>3706817000</v>
      </c>
      <c r="C15" s="1527"/>
      <c r="D15" s="1527">
        <v>678024000</v>
      </c>
      <c r="E15" s="1527">
        <v>304875000</v>
      </c>
      <c r="F15" s="1527">
        <v>56216000</v>
      </c>
      <c r="G15" s="1527">
        <v>84325000</v>
      </c>
      <c r="H15" s="1527">
        <v>268748000</v>
      </c>
      <c r="I15" s="1527">
        <v>142864000</v>
      </c>
      <c r="J15" s="1527">
        <v>22731000</v>
      </c>
      <c r="K15" s="1527"/>
      <c r="L15" s="1527"/>
      <c r="M15" s="1526">
        <f t="shared" si="0"/>
        <v>5264600000</v>
      </c>
      <c r="N15" s="1526">
        <f>ROUND(1358988340.78,-3)</f>
        <v>1358988000</v>
      </c>
      <c r="O15" s="1527">
        <f>ROUND(406044118.99,-3)</f>
        <v>406044000</v>
      </c>
      <c r="P15" s="1526">
        <f t="shared" si="1"/>
        <v>7029632000</v>
      </c>
      <c r="R15" s="601"/>
      <c r="S15" s="595"/>
      <c r="T15" s="595"/>
      <c r="U15" s="602"/>
      <c r="X15" s="589"/>
    </row>
    <row r="16" spans="1:24" ht="15" customHeight="1">
      <c r="A16" s="31">
        <v>2021</v>
      </c>
      <c r="B16" s="1527">
        <v>4166182000</v>
      </c>
      <c r="C16" s="1527">
        <v>1264050000</v>
      </c>
      <c r="D16" s="1530">
        <v>0</v>
      </c>
      <c r="E16" s="1530">
        <v>0</v>
      </c>
      <c r="F16" s="1530">
        <v>0</v>
      </c>
      <c r="G16" s="1530">
        <v>0</v>
      </c>
      <c r="H16" s="1527">
        <v>286170000</v>
      </c>
      <c r="I16" s="1527">
        <v>168804000</v>
      </c>
      <c r="J16" s="1527">
        <v>22969000</v>
      </c>
      <c r="K16" s="1527">
        <v>89337000</v>
      </c>
      <c r="L16" s="1527">
        <v>2689000</v>
      </c>
      <c r="M16" s="1526">
        <f t="shared" si="0"/>
        <v>6000201000</v>
      </c>
      <c r="N16" s="1526">
        <f>ROUND(1477201024.21,-3)</f>
        <v>1477201000</v>
      </c>
      <c r="O16" s="1527">
        <f>ROUND(458362738.92,-3)</f>
        <v>458363000</v>
      </c>
      <c r="P16" s="1526">
        <f>SUM(M16:O16)</f>
        <v>7935765000</v>
      </c>
      <c r="R16" s="601"/>
      <c r="S16" s="595"/>
      <c r="T16" s="595"/>
      <c r="U16" s="602"/>
      <c r="X16" s="589"/>
    </row>
    <row r="17" spans="1:24" ht="15" customHeight="1">
      <c r="A17" s="31">
        <v>2022</v>
      </c>
      <c r="B17" s="1527">
        <v>4558082000</v>
      </c>
      <c r="C17" s="1527">
        <v>1368275000</v>
      </c>
      <c r="D17" s="1530">
        <v>0</v>
      </c>
      <c r="E17" s="1530">
        <v>0</v>
      </c>
      <c r="F17" s="1530">
        <v>0</v>
      </c>
      <c r="G17" s="1530">
        <v>0</v>
      </c>
      <c r="H17" s="1527">
        <v>321756000</v>
      </c>
      <c r="I17" s="1527">
        <v>179779000</v>
      </c>
      <c r="J17" s="1527">
        <v>27210000</v>
      </c>
      <c r="K17" s="1527">
        <v>152019000</v>
      </c>
      <c r="L17" s="1527">
        <v>17784000</v>
      </c>
      <c r="M17" s="1526">
        <f t="shared" si="0"/>
        <v>6624905000</v>
      </c>
      <c r="N17" s="1526">
        <v>1662897000</v>
      </c>
      <c r="O17" s="1527">
        <v>522472000</v>
      </c>
      <c r="P17" s="1526">
        <f>SUM(M17:O17)</f>
        <v>8810274000</v>
      </c>
      <c r="R17" s="601"/>
      <c r="S17" s="595"/>
      <c r="T17" s="595"/>
      <c r="U17" s="602"/>
      <c r="X17" s="589"/>
    </row>
    <row r="18" spans="1:24" ht="15" customHeight="1">
      <c r="A18" s="31">
        <v>2023</v>
      </c>
      <c r="B18" s="1527">
        <v>4734549000</v>
      </c>
      <c r="C18" s="1527">
        <v>1416622000</v>
      </c>
      <c r="D18" s="1530">
        <v>0</v>
      </c>
      <c r="E18" s="1530">
        <v>0</v>
      </c>
      <c r="F18" s="1530">
        <v>0</v>
      </c>
      <c r="G18" s="1530">
        <v>0</v>
      </c>
      <c r="H18" s="1527">
        <v>346490000</v>
      </c>
      <c r="I18" s="1527">
        <v>189311000</v>
      </c>
      <c r="J18" s="1527">
        <v>28784000</v>
      </c>
      <c r="K18" s="1527">
        <v>156994000</v>
      </c>
      <c r="L18" s="1527">
        <v>28442000</v>
      </c>
      <c r="M18" s="1526">
        <f t="shared" si="0"/>
        <v>6901192000</v>
      </c>
      <c r="N18" s="1526">
        <v>1770842000</v>
      </c>
      <c r="O18" s="1527">
        <v>557007000</v>
      </c>
      <c r="P18" s="1526">
        <f>SUM(M18:O18)</f>
        <v>9229041000</v>
      </c>
      <c r="R18" s="601"/>
      <c r="S18" s="595"/>
      <c r="T18" s="595"/>
      <c r="U18" s="602"/>
      <c r="X18" s="589"/>
    </row>
    <row r="19" spans="1:24" ht="15" customHeight="1">
      <c r="A19" s="31">
        <v>2024</v>
      </c>
      <c r="B19" s="1527">
        <v>4709661000</v>
      </c>
      <c r="C19" s="1527">
        <v>1377114000</v>
      </c>
      <c r="D19" s="1530">
        <v>0</v>
      </c>
      <c r="E19" s="1530">
        <v>0</v>
      </c>
      <c r="F19" s="1530">
        <v>0</v>
      </c>
      <c r="G19" s="1530">
        <v>0</v>
      </c>
      <c r="H19" s="1527">
        <v>349060000</v>
      </c>
      <c r="I19" s="1527">
        <v>194458000</v>
      </c>
      <c r="J19" s="1527">
        <v>29743000</v>
      </c>
      <c r="K19" s="1527">
        <v>163631000</v>
      </c>
      <c r="L19" s="1527">
        <v>34634000</v>
      </c>
      <c r="M19" s="1526">
        <f t="shared" si="0"/>
        <v>6858301000</v>
      </c>
      <c r="N19" s="1526">
        <v>1808583000</v>
      </c>
      <c r="O19" s="1527">
        <v>573835000</v>
      </c>
      <c r="P19" s="1526">
        <f>SUM(M19:O19)</f>
        <v>9240719000</v>
      </c>
      <c r="R19" s="601"/>
      <c r="S19" s="595"/>
      <c r="T19" s="595"/>
      <c r="U19" s="602"/>
      <c r="X19" s="589"/>
    </row>
    <row r="20" spans="1:24" ht="6" customHeight="1">
      <c r="A20" s="1238"/>
      <c r="B20" s="1528"/>
      <c r="C20" s="1528"/>
      <c r="D20" s="1531"/>
      <c r="E20" s="1531"/>
      <c r="F20" s="1531"/>
      <c r="G20" s="1531"/>
      <c r="H20" s="1528"/>
      <c r="I20" s="1528"/>
      <c r="J20" s="1528"/>
      <c r="K20" s="1528"/>
      <c r="L20" s="1528"/>
      <c r="M20" s="1528"/>
      <c r="N20" s="1528"/>
      <c r="O20" s="1528"/>
      <c r="P20" s="1529"/>
      <c r="R20" s="595"/>
      <c r="S20" s="595"/>
      <c r="T20" s="595"/>
      <c r="U20" s="598"/>
      <c r="V20" s="595"/>
      <c r="W20" s="595"/>
      <c r="X20" s="598"/>
    </row>
    <row r="21" spans="1:24" s="1141" customFormat="1" ht="11" customHeight="1">
      <c r="A21" s="1152" t="s">
        <v>1</v>
      </c>
      <c r="B21" s="1139"/>
      <c r="C21" s="1139"/>
      <c r="D21" s="1139"/>
      <c r="E21" s="1139"/>
      <c r="F21" s="1139"/>
      <c r="G21" s="1139"/>
      <c r="H21" s="1139"/>
      <c r="I21" s="1140"/>
      <c r="J21" s="1140"/>
      <c r="K21" s="1140"/>
      <c r="L21" s="1140"/>
      <c r="M21" s="1139"/>
      <c r="N21" s="1139"/>
      <c r="O21" s="1139"/>
      <c r="P21" s="1139"/>
      <c r="R21" s="1142"/>
      <c r="S21" s="1142"/>
      <c r="T21" s="1142"/>
      <c r="U21" s="1143"/>
      <c r="V21" s="1142"/>
      <c r="W21" s="1142"/>
      <c r="X21" s="1143"/>
    </row>
    <row r="22" spans="1:24" s="1141" customFormat="1" ht="11" customHeight="1">
      <c r="A22" s="1153" t="s">
        <v>937</v>
      </c>
      <c r="R22" s="1142"/>
      <c r="S22" s="1142"/>
      <c r="T22" s="1142"/>
      <c r="U22" s="1143"/>
      <c r="V22" s="1142"/>
      <c r="W22" s="1142"/>
      <c r="X22" s="1143"/>
    </row>
    <row r="23" spans="1:24" s="1141" customFormat="1" ht="11" customHeight="1">
      <c r="A23" s="1153" t="s">
        <v>938</v>
      </c>
      <c r="N23" s="1144"/>
      <c r="O23" s="1144"/>
      <c r="R23" s="1142"/>
      <c r="S23" s="1142"/>
      <c r="T23" s="1142"/>
      <c r="U23" s="1143"/>
      <c r="V23" s="1142"/>
      <c r="W23" s="1142"/>
      <c r="X23" s="1143"/>
    </row>
    <row r="24" spans="1:24" s="1141" customFormat="1" ht="11" customHeight="1">
      <c r="A24" s="1153" t="s">
        <v>939</v>
      </c>
      <c r="B24" s="1145"/>
      <c r="C24" s="1145"/>
      <c r="D24" s="1145"/>
      <c r="E24" s="1145"/>
      <c r="F24" s="1145"/>
      <c r="G24" s="1145"/>
      <c r="H24" s="1145"/>
      <c r="I24" s="1145"/>
      <c r="J24" s="1145"/>
      <c r="K24" s="1145"/>
      <c r="L24" s="1145"/>
      <c r="M24" s="1145"/>
      <c r="N24" s="1145"/>
      <c r="O24" s="1146"/>
      <c r="P24" s="1147"/>
      <c r="R24" s="1142"/>
      <c r="S24" s="1142"/>
      <c r="T24" s="1142"/>
      <c r="U24" s="1143"/>
      <c r="V24" s="1142"/>
      <c r="W24" s="1142"/>
      <c r="X24" s="1143"/>
    </row>
    <row r="25" spans="1:24" s="1141" customFormat="1" ht="11" customHeight="1">
      <c r="A25" s="1153" t="s">
        <v>961</v>
      </c>
      <c r="B25" s="1145"/>
      <c r="C25" s="1145"/>
      <c r="D25" s="1145"/>
      <c r="E25" s="1145"/>
      <c r="F25" s="1145"/>
      <c r="G25" s="1145"/>
      <c r="H25" s="1145"/>
      <c r="I25" s="1145"/>
      <c r="J25" s="1145"/>
      <c r="K25" s="1145"/>
      <c r="L25" s="1145"/>
      <c r="M25" s="1145"/>
      <c r="N25" s="1145"/>
      <c r="O25" s="1146"/>
      <c r="P25" s="1147"/>
      <c r="R25" s="1142"/>
      <c r="S25" s="1142"/>
      <c r="T25" s="1142"/>
      <c r="U25" s="1143"/>
      <c r="V25" s="1142"/>
      <c r="W25" s="1142"/>
      <c r="X25" s="1143"/>
    </row>
    <row r="26" spans="1:24" s="1141" customFormat="1" ht="11" customHeight="1">
      <c r="A26" s="1153" t="s">
        <v>962</v>
      </c>
      <c r="B26" s="1145"/>
      <c r="C26" s="1145"/>
      <c r="D26" s="1145"/>
      <c r="E26" s="1145"/>
      <c r="F26" s="1145"/>
      <c r="G26" s="1145"/>
      <c r="H26" s="1145"/>
      <c r="I26" s="1145"/>
      <c r="J26" s="1145"/>
      <c r="K26" s="1145"/>
      <c r="L26" s="1145"/>
      <c r="M26" s="1145"/>
      <c r="N26" s="1145"/>
      <c r="O26" s="1145"/>
      <c r="P26" s="1145"/>
      <c r="R26" s="1142"/>
      <c r="S26" s="1142"/>
      <c r="T26" s="1142"/>
      <c r="U26" s="1143"/>
      <c r="V26" s="1142"/>
      <c r="W26" s="1142"/>
      <c r="X26" s="1143"/>
    </row>
    <row r="27" spans="1:24" s="1141" customFormat="1" ht="11" customHeight="1">
      <c r="A27" s="1153" t="s">
        <v>1383</v>
      </c>
      <c r="B27" s="1145"/>
      <c r="C27" s="1145"/>
      <c r="D27" s="1145"/>
      <c r="E27" s="1145"/>
      <c r="F27" s="1145"/>
      <c r="G27" s="1145"/>
      <c r="H27" s="1145"/>
      <c r="I27" s="1145"/>
      <c r="J27" s="1145"/>
      <c r="K27" s="1145"/>
      <c r="L27" s="1145"/>
      <c r="M27" s="1145"/>
      <c r="N27" s="1145"/>
      <c r="O27" s="1145"/>
      <c r="P27" s="1145"/>
      <c r="R27" s="1142"/>
      <c r="S27" s="1142"/>
      <c r="T27" s="1142"/>
      <c r="U27" s="1143"/>
      <c r="V27" s="1142"/>
      <c r="W27" s="1142"/>
      <c r="X27" s="1143"/>
    </row>
    <row r="28" spans="1:24" s="1141" customFormat="1" ht="11" customHeight="1">
      <c r="A28" s="1153" t="s">
        <v>964</v>
      </c>
      <c r="B28" s="1148"/>
      <c r="C28" s="1148"/>
      <c r="D28" s="1148"/>
      <c r="E28" s="1148"/>
      <c r="F28" s="1148"/>
      <c r="G28" s="1148"/>
      <c r="H28" s="1148"/>
      <c r="I28" s="1148"/>
      <c r="J28" s="1148"/>
      <c r="K28" s="1148"/>
      <c r="L28" s="1148"/>
      <c r="M28" s="1148"/>
      <c r="N28" s="1148"/>
      <c r="O28" s="1148"/>
      <c r="P28" s="1148"/>
      <c r="R28" s="1142"/>
      <c r="S28" s="1142"/>
      <c r="T28" s="1142"/>
      <c r="U28" s="1143"/>
      <c r="V28" s="1142"/>
      <c r="W28" s="1142"/>
      <c r="X28" s="1143"/>
    </row>
    <row r="29" spans="1:24" s="1141" customFormat="1" ht="11" customHeight="1">
      <c r="A29" s="1153" t="s">
        <v>965</v>
      </c>
      <c r="B29" s="1145"/>
      <c r="C29" s="1145"/>
      <c r="D29" s="1145"/>
      <c r="E29" s="1145"/>
      <c r="F29" s="1145"/>
      <c r="G29" s="1145"/>
      <c r="H29" s="1145"/>
      <c r="I29" s="1145"/>
      <c r="J29" s="1145"/>
      <c r="K29" s="1145"/>
      <c r="L29" s="1145"/>
      <c r="M29" s="1145"/>
      <c r="N29" s="1145"/>
      <c r="O29" s="1145"/>
      <c r="P29" s="1145"/>
      <c r="R29" s="1142"/>
      <c r="S29" s="1142"/>
      <c r="T29" s="1142"/>
      <c r="U29" s="1143"/>
      <c r="V29" s="1142"/>
      <c r="W29" s="1142"/>
      <c r="X29" s="1143"/>
    </row>
    <row r="30" spans="1:24" s="1141" customFormat="1" ht="11" customHeight="1">
      <c r="A30" s="1153" t="s">
        <v>966</v>
      </c>
      <c r="B30" s="1145"/>
      <c r="C30" s="1145"/>
      <c r="D30" s="1145"/>
      <c r="E30" s="1145"/>
      <c r="F30" s="1145"/>
      <c r="G30" s="1145"/>
      <c r="H30" s="1145"/>
      <c r="I30" s="1145"/>
      <c r="J30" s="1145"/>
      <c r="K30" s="1145"/>
      <c r="L30" s="1145"/>
      <c r="M30" s="1145"/>
      <c r="N30" s="1145"/>
      <c r="O30" s="1145"/>
      <c r="P30" s="1145"/>
      <c r="R30" s="1142"/>
      <c r="S30" s="1142"/>
      <c r="T30" s="1142"/>
      <c r="U30" s="1143"/>
      <c r="V30" s="1142"/>
      <c r="W30" s="1142"/>
      <c r="X30" s="1143"/>
    </row>
    <row r="31" spans="1:24" s="1141" customFormat="1" ht="11" customHeight="1">
      <c r="A31" s="1152" t="s">
        <v>1180</v>
      </c>
      <c r="B31" s="1149"/>
      <c r="C31" s="1149"/>
      <c r="D31" s="1149"/>
      <c r="E31" s="1149"/>
      <c r="F31" s="1149"/>
      <c r="G31" s="1149"/>
      <c r="H31" s="1149"/>
      <c r="I31" s="1149"/>
      <c r="J31" s="1149"/>
      <c r="K31" s="1149"/>
      <c r="L31" s="1149"/>
      <c r="M31" s="1149"/>
      <c r="N31" s="1149"/>
      <c r="O31" s="1149"/>
      <c r="P31" s="1149"/>
      <c r="R31" s="1142"/>
      <c r="S31" s="1142"/>
      <c r="T31" s="1142"/>
      <c r="U31" s="1143"/>
      <c r="V31" s="1142"/>
      <c r="W31" s="1142"/>
      <c r="X31" s="1143"/>
    </row>
    <row r="32" spans="1:24" s="1141" customFormat="1" ht="11" customHeight="1">
      <c r="A32" s="1153" t="s">
        <v>1181</v>
      </c>
      <c r="B32" s="1150"/>
      <c r="C32" s="1150"/>
      <c r="D32" s="1150"/>
      <c r="E32" s="1150"/>
      <c r="F32" s="1150"/>
      <c r="G32" s="1150"/>
      <c r="H32" s="1150"/>
      <c r="I32" s="1150"/>
      <c r="J32" s="1150"/>
      <c r="K32" s="1150"/>
      <c r="L32" s="1150"/>
      <c r="M32" s="1150"/>
      <c r="N32" s="1150"/>
      <c r="O32" s="1150"/>
      <c r="P32" s="1150"/>
      <c r="R32" s="1142"/>
      <c r="S32" s="1142"/>
      <c r="T32" s="1142"/>
      <c r="U32" s="1143"/>
      <c r="V32" s="1142"/>
      <c r="W32" s="1142"/>
      <c r="X32" s="1143"/>
    </row>
    <row r="33" spans="1:24" s="1141" customFormat="1" ht="11" customHeight="1">
      <c r="A33" s="1153" t="s">
        <v>1384</v>
      </c>
      <c r="R33" s="1142"/>
      <c r="S33" s="1142"/>
      <c r="T33" s="1142"/>
      <c r="U33" s="1143"/>
      <c r="V33" s="1142"/>
      <c r="W33" s="1142"/>
      <c r="X33" s="1143"/>
    </row>
    <row r="34" spans="1:24" s="1141" customFormat="1" ht="11" customHeight="1">
      <c r="A34" s="1153" t="s">
        <v>1174</v>
      </c>
      <c r="R34" s="1142"/>
      <c r="S34" s="1142"/>
      <c r="T34" s="1142"/>
      <c r="U34" s="1143"/>
      <c r="V34" s="1142"/>
      <c r="W34" s="1142"/>
      <c r="X34" s="1143"/>
    </row>
    <row r="35" spans="1:24" s="1141" customFormat="1" ht="11" customHeight="1">
      <c r="A35" s="1080" t="s">
        <v>1385</v>
      </c>
      <c r="R35" s="1142"/>
      <c r="S35" s="1142"/>
      <c r="T35" s="1142"/>
      <c r="U35" s="1143"/>
      <c r="V35" s="1142"/>
      <c r="W35" s="1142"/>
      <c r="X35" s="1143"/>
    </row>
    <row r="36" spans="1:24" s="1141" customFormat="1" ht="11" customHeight="1">
      <c r="A36" s="1080" t="s">
        <v>1310</v>
      </c>
      <c r="R36" s="1142"/>
      <c r="S36" s="1142"/>
      <c r="T36" s="1142"/>
      <c r="U36" s="1143"/>
      <c r="V36" s="1142"/>
      <c r="W36" s="1142"/>
      <c r="X36" s="1143"/>
    </row>
    <row r="37" spans="1:24" s="1065" customFormat="1" ht="11" customHeight="1">
      <c r="A37" s="1151"/>
      <c r="B37" s="1063"/>
      <c r="C37" s="1063"/>
      <c r="D37" s="1063"/>
      <c r="E37" s="1063"/>
      <c r="F37" s="1064"/>
    </row>
    <row r="38" spans="1:24" s="1065" customFormat="1" ht="11" customHeight="1">
      <c r="A38" s="1151"/>
      <c r="B38" s="1063"/>
      <c r="C38" s="1063"/>
      <c r="D38" s="1063"/>
      <c r="E38" s="1063"/>
      <c r="F38" s="1064"/>
    </row>
    <row r="39" spans="1:24" s="1065" customFormat="1" ht="11" customHeight="1">
      <c r="A39" s="1151"/>
      <c r="B39" s="1063"/>
      <c r="C39" s="1063"/>
      <c r="D39" s="1063"/>
      <c r="E39" s="1063"/>
      <c r="F39" s="1064"/>
    </row>
    <row r="40" spans="1:24" s="667" customFormat="1" ht="12.75" customHeight="1">
      <c r="A40" s="745"/>
      <c r="B40" s="668"/>
      <c r="C40" s="668"/>
      <c r="D40" s="668"/>
      <c r="E40" s="668"/>
      <c r="F40" s="669"/>
      <c r="P40" s="898"/>
    </row>
    <row r="41" spans="1:24" s="667" customFormat="1" ht="12.75" customHeight="1">
      <c r="A41" s="745"/>
      <c r="B41" s="668"/>
      <c r="C41" s="668"/>
      <c r="D41" s="668"/>
      <c r="E41" s="668"/>
      <c r="F41" s="669"/>
    </row>
    <row r="42" spans="1:24" s="667" customFormat="1" ht="12.75" customHeight="1">
      <c r="A42" s="745"/>
      <c r="B42" s="668"/>
      <c r="C42" s="668"/>
      <c r="D42" s="668"/>
      <c r="E42" s="668"/>
      <c r="F42" s="669"/>
    </row>
    <row r="43" spans="1:24" s="667" customFormat="1" ht="12.75" customHeight="1">
      <c r="A43" s="745"/>
      <c r="B43" s="668"/>
      <c r="C43" s="668"/>
      <c r="D43" s="668"/>
      <c r="E43" s="668"/>
      <c r="F43" s="669"/>
    </row>
    <row r="53" spans="1:16">
      <c r="M53" s="27" t="s">
        <v>902</v>
      </c>
    </row>
    <row r="64" spans="1:16">
      <c r="A64" s="35"/>
      <c r="B64" s="35"/>
      <c r="C64" s="35"/>
      <c r="D64" s="35"/>
      <c r="E64" s="35"/>
      <c r="F64" s="35"/>
      <c r="G64" s="35"/>
      <c r="H64" s="35"/>
      <c r="I64" s="35"/>
      <c r="J64" s="35"/>
      <c r="K64" s="35"/>
      <c r="L64" s="35"/>
      <c r="M64" s="35"/>
      <c r="N64" s="35"/>
      <c r="O64" s="35"/>
      <c r="P64" s="35"/>
    </row>
    <row r="67" spans="1:23">
      <c r="A67" s="745" t="s">
        <v>927</v>
      </c>
    </row>
    <row r="68" spans="1:23">
      <c r="A68" s="745" t="s">
        <v>1280</v>
      </c>
    </row>
    <row r="74" spans="1:23" s="1263" customFormat="1" ht="11.5">
      <c r="R74" s="1264"/>
      <c r="S74" s="1264"/>
      <c r="T74" s="1264"/>
      <c r="V74" s="1264"/>
      <c r="W74" s="1264"/>
    </row>
  </sheetData>
  <customSheetViews>
    <customSheetView guid="{E6BBE5A7-0B25-4EE8-BA45-5EA5DBAF3AD4}" colorId="22" showPageBreaks="1" fitToPage="1" printArea="1">
      <selection activeCell="C18" sqref="C18"/>
      <rowBreaks count="1" manualBreakCount="1">
        <brk id="51" max="16383" man="1"/>
      </rowBreaks>
      <pageMargins left="0.5" right="0.5" top="1" bottom="1" header="0.5" footer="0.5"/>
      <printOptions horizontalCentered="1"/>
      <pageSetup scale="72" orientation="landscape" r:id="rId1"/>
      <headerFooter alignWithMargins="0"/>
    </customSheetView>
  </customSheetViews>
  <phoneticPr fontId="6" type="noConversion"/>
  <hyperlinks>
    <hyperlink ref="Q1" location="TOC!A1" display="Back" xr:uid="{00000000-0004-0000-1100-000000000000}"/>
  </hyperlinks>
  <pageMargins left="0.25" right="0.15" top="0.4" bottom="0.25" header="0.25" footer="0.25"/>
  <pageSetup scale="63" orientation="landscape" cellComments="asDisplayed" r:id="rId2"/>
  <headerFooter scaleWithDoc="0">
    <oddHeader>&amp;R&amp;P</oddHeader>
  </headerFooter>
  <rowBreaks count="1" manualBreakCount="1">
    <brk id="65" max="16383"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F51"/>
  <sheetViews>
    <sheetView zoomScaleNormal="100" workbookViewId="0"/>
  </sheetViews>
  <sheetFormatPr defaultColWidth="9.1796875" defaultRowHeight="11.5"/>
  <cols>
    <col min="1" max="1" width="5.7265625" style="126" customWidth="1"/>
    <col min="2" max="2" width="88.81640625" style="126" customWidth="1"/>
    <col min="3" max="3" width="12.54296875" style="126" customWidth="1"/>
    <col min="4" max="4" width="15.26953125" style="126" customWidth="1"/>
    <col min="5" max="5" width="5.26953125" style="126" customWidth="1"/>
    <col min="6" max="16384" width="9.1796875" style="126"/>
  </cols>
  <sheetData>
    <row r="1" spans="1:5" s="125" customFormat="1" ht="14" customHeight="1">
      <c r="A1" s="3" t="s">
        <v>659</v>
      </c>
    </row>
    <row r="2" spans="1:5" ht="5" customHeight="1"/>
    <row r="3" spans="1:5" ht="12.5" customHeight="1">
      <c r="A3" s="16" t="s">
        <v>660</v>
      </c>
    </row>
    <row r="4" spans="1:5" ht="12.5">
      <c r="B4" s="126" t="str">
        <f>RevExp!A1&amp;" and "&amp;RevExp!A31&amp;" ……………………………………...……………………....………………….……………………………………………………………………….…………………..……………………………..   "</f>
        <v xml:space="preserve">Net Revenue Collections¹ and Department of Taxation General Fund Expenditures ……………………………………...……………………....………………….……………………………………………………………………….…………………..……………………………..   </v>
      </c>
      <c r="E4" s="213">
        <v>3</v>
      </c>
    </row>
    <row r="5" spans="1:5" ht="12.5">
      <c r="B5" s="126" t="str">
        <f>ByAcct!A1&amp;" ……………………………………...……………………....………………….……………………………………………………………………….…………………..……………………………..   "</f>
        <v xml:space="preserve">Net Revenue Collections After Refunds by Tax Type ……………………………………...……………………....………………….……………………………………………………………………….…………………..……………………………..   </v>
      </c>
      <c r="E5" s="213">
        <v>4</v>
      </c>
    </row>
    <row r="6" spans="1:5" ht="5" customHeight="1"/>
    <row r="7" spans="1:5" ht="12.5" customHeight="1">
      <c r="A7" s="16" t="s">
        <v>3</v>
      </c>
    </row>
    <row r="8" spans="1:5" ht="12.5" customHeight="1">
      <c r="A8" s="126">
        <v>1.1000000000000001</v>
      </c>
      <c r="B8" s="126" t="str">
        <f>'1.1'!A2&amp;" ……………………………………...……………………....………………….……………………………………………………………………….…………………..……………………………..   "</f>
        <v xml:space="preserve">Individual Income Tax Liability ……………………………………...……………………....………………….……………………………………………………………………….…………………..……………………………..   </v>
      </c>
      <c r="E8" s="213">
        <v>5</v>
      </c>
    </row>
    <row r="9" spans="1:5" ht="12.5" customHeight="1">
      <c r="A9" s="126">
        <v>1.2</v>
      </c>
      <c r="B9" s="469" t="str">
        <f>'1.2'!A2&amp;" ……………………………………...……………………....………………….……………………………………………………………………….…………………..……………………………..   "</f>
        <v xml:space="preserve">Virginia Adjusted Gross Income, Exemptions, Itemized and Standard Deductions, Total Taxable Income, Total Tax Liability, and Average Tax Rates ……………………………………...……………………....………………….……………………………………………………………………….…………………..……………………………..   </v>
      </c>
      <c r="E9" s="213">
        <v>6</v>
      </c>
    </row>
    <row r="10" spans="1:5" ht="12.5" customHeight="1">
      <c r="A10" s="126">
        <v>1.3</v>
      </c>
      <c r="B10" s="126" t="str">
        <f>'1.3'!A2&amp;" ……………………………………...……………………....………………….……………………………………………………………………….…………………..……………………………..   "</f>
        <v xml:space="preserve">Number and Class of Returns by Virginia Adjusted Gross Income Class ……………………………………...……………………....………………….……………………………………………………………………….…………………..……………………………..   </v>
      </c>
      <c r="E10" s="213">
        <v>7</v>
      </c>
    </row>
    <row r="11" spans="1:5" ht="12.5" customHeight="1">
      <c r="A11" s="126">
        <v>1.4</v>
      </c>
      <c r="B11" s="126" t="str">
        <f>'1.4'!A2&amp;" ……………………………………...……………………....………………….……………………………………………………………………….…………………..……………………………..   "</f>
        <v xml:space="preserve">Number and Class of Exemptions by Virginia Adjusted Gross Income Class ……………………………………...……………………....………………….……………………………………………………………………….…………………..……………………………..   </v>
      </c>
      <c r="E11" s="213">
        <v>8</v>
      </c>
    </row>
    <row r="12" spans="1:5" ht="12.5" customHeight="1">
      <c r="A12" s="126">
        <v>1.5</v>
      </c>
      <c r="B12" s="126" t="str">
        <f>'1.5'!A2&amp;" ……………………………………...……………………....………………….……………………………………………………………………….…………………..……………………………..   "</f>
        <v xml:space="preserve">Virginia Adjusted Gross Income by Locality/Income Level ……………………………………...……………………....………………….……………………………………………………………………….…………………..……………………………..   </v>
      </c>
      <c r="E12" s="213">
        <v>9</v>
      </c>
    </row>
    <row r="13" spans="1:5" ht="12.5" customHeight="1">
      <c r="A13" s="126">
        <v>1.6</v>
      </c>
      <c r="B13" s="126" t="str">
        <f>'1.6'!A2&amp;" ……………………………………...……………………....………………….……………………………………………………………………….…………………..……………………………..   "</f>
        <v xml:space="preserve">Exemptions, Standard and Itemized Deductions, and Number of Returns by Filing Status/Locality ……………………………………...……………………....………………….……………………………………………………………………….…………………..……………………………..   </v>
      </c>
      <c r="E13" s="213">
        <v>13</v>
      </c>
    </row>
    <row r="14" spans="1:5" ht="12.5" customHeight="1">
      <c r="A14" s="127">
        <v>1.7</v>
      </c>
      <c r="B14" s="469" t="str">
        <f>'1.7'!A2&amp;" ……………………………………...……………………....………………….……………………………………………………………………….…………………..……………………………..   "</f>
        <v xml:space="preserve">Total Net Taxable Income, Amount Taxed at Each Tax Rate, Total Income Tax Liability by Locality ……………………………………...……………………....………………….……………………………………………………………………….…………………..……………………………..   </v>
      </c>
      <c r="E14" s="213">
        <v>17</v>
      </c>
    </row>
    <row r="15" spans="1:5" ht="12.5" customHeight="1">
      <c r="A15" s="127">
        <v>1.8</v>
      </c>
      <c r="B15" s="126" t="str">
        <f>'1.8-1.9'!A2&amp;" ……………………………………...……………………....………………….……………………………………………………………………….…………………..……………………………..   "</f>
        <v xml:space="preserve">Set-Off Debt Transferred to Agencies by Taxable Year ……………………………………...……………………....………………….……………………………………………………………………….…………………..……………………………..   </v>
      </c>
      <c r="E15" s="213">
        <v>21</v>
      </c>
    </row>
    <row r="16" spans="1:5" ht="12.5" customHeight="1">
      <c r="A16" s="128">
        <v>1.9</v>
      </c>
      <c r="B16" s="126" t="str">
        <f>'1.8-1.9'!A26&amp;" ……………………………………...……………………....………………….……………………………………………………………………….…………………..……………………………..   "</f>
        <v xml:space="preserve">Refund Match Totals ……………………………………...……………………....………………….……………………………………………………………………….…………………..……………………………..   </v>
      </c>
      <c r="E16" s="213">
        <v>21</v>
      </c>
    </row>
    <row r="17" spans="1:5" ht="12.5" customHeight="1">
      <c r="A17" s="127" t="s">
        <v>661</v>
      </c>
      <c r="B17" s="126" t="str">
        <f>'1.10'!A2&amp;" ……………………………………...……………………....………………….……………………………………………………………………….…………………..……………………………..   "</f>
        <v xml:space="preserve">Voluntary Contributions by Taxable Year ……………………………………...……………………....………………….……………………………………………………………………….…………………..……………………………..   </v>
      </c>
      <c r="E17" s="213">
        <v>22</v>
      </c>
    </row>
    <row r="18" spans="1:5" ht="5" customHeight="1"/>
    <row r="19" spans="1:5" ht="12.5" customHeight="1">
      <c r="A19" s="16" t="s">
        <v>1284</v>
      </c>
    </row>
    <row r="20" spans="1:5" ht="12.5" customHeight="1">
      <c r="A20" s="126">
        <v>2.1</v>
      </c>
      <c r="B20" s="126" t="str">
        <f>'2.1'!A2&amp;" ……………………………………...……………………....………………….……………………………………………………………………….…………………..……………………………..   "</f>
        <v xml:space="preserve">Corporate Income Tax Revenue ……………………………………...……………………....………………….……………………………………………………………………….…………………..……………………………..   </v>
      </c>
      <c r="E20" s="213">
        <v>23</v>
      </c>
    </row>
    <row r="21" spans="1:5" ht="12.5" customHeight="1">
      <c r="A21" s="126">
        <v>2.2000000000000002</v>
      </c>
      <c r="B21" s="126" t="str">
        <f>'2.2'!A2&amp;" ……………………………………...……………………....………………….……………………………………………………………………….…………………..……………………………..   "</f>
        <v xml:space="preserve">Corporate Income Tax:  Number of Returns, Taxable Income, and Tax Liability ……………………………………...……………………....………………….……………………………………………………………………….…………………..……………………………..   </v>
      </c>
      <c r="E21" s="213">
        <v>24</v>
      </c>
    </row>
    <row r="22" spans="1:5" ht="12.5" customHeight="1">
      <c r="A22" s="126">
        <v>2.2999999999999998</v>
      </c>
      <c r="B22" s="126" t="str">
        <f>'2.3'!A2&amp;" ……………………………………...……………………....………………….……………………………………………………………………….…………………..……………………………..   "</f>
        <v xml:space="preserve">Pass-Through Entity Tax:  Number of Returns, Taxable Income, and Tax Liability ……………………………………...……………………....………………….……………………………………………………………………….…………………..……………………………..   </v>
      </c>
      <c r="E22" s="798">
        <v>25</v>
      </c>
    </row>
    <row r="23" spans="1:5" ht="5" customHeight="1"/>
    <row r="24" spans="1:5" ht="12.5" customHeight="1">
      <c r="A24" s="16" t="s">
        <v>662</v>
      </c>
    </row>
    <row r="25" spans="1:5" ht="12.5" customHeight="1">
      <c r="A25" s="126">
        <v>3.1</v>
      </c>
      <c r="B25" s="126" t="str">
        <f>'3.1'!A2&amp;" ……………………………………...……………………....………………….……………………………………………………………………….…………………..……………………………..   "</f>
        <v xml:space="preserve">Tax Credits:  Individual and Corporate Income Tax, Insurance Premium License Tax, and Bank Franchise Tax ……………………………………...……………………....………………….……………………………………………………………………….…………………..……………………………..   </v>
      </c>
      <c r="E25" s="213">
        <v>26</v>
      </c>
    </row>
    <row r="26" spans="1:5" ht="5" customHeight="1"/>
    <row r="27" spans="1:5" ht="12.5" customHeight="1">
      <c r="A27" s="16" t="s">
        <v>2</v>
      </c>
    </row>
    <row r="28" spans="1:5" ht="12.5" customHeight="1">
      <c r="A28" s="126">
        <v>4.0999999999999996</v>
      </c>
      <c r="B28" s="126" t="str">
        <f>'4.1'!A2&amp;" ……………………………………...……………………....………………….……………………………………………………………………….…………………..……………………………..   "</f>
        <v xml:space="preserve">State and Local Retail Sales and Use Tax Net Revenue Collections ……………………………………...……………………....………………….……………………………………………………………………….…………………..……………………………..   </v>
      </c>
      <c r="E28" s="213">
        <v>27</v>
      </c>
    </row>
    <row r="29" spans="1:5" ht="12.5" customHeight="1">
      <c r="A29" s="127" t="s">
        <v>663</v>
      </c>
      <c r="B29" s="126" t="str">
        <f>'4.2'!A2&amp;" ……………………………………...……………………....………………….……………………………………………………………………….…………………..……………………………..   "</f>
        <v xml:space="preserve">Annual Taxable Sales by Industry for the Commonwealth of Virginia by Calendar Year * ……………………………………...……………………....………………….……………………………………………………………………….…………………..……………………………..   </v>
      </c>
      <c r="E29" s="213">
        <v>28</v>
      </c>
    </row>
    <row r="30" spans="1:5" ht="12.5" customHeight="1">
      <c r="A30" s="127" t="s">
        <v>664</v>
      </c>
      <c r="B30" s="1601" t="str">
        <f>'4.3'!A2&amp;" ……………………………………...……………………....………………….……………………………………………………………………….…………………..……………………………..   "</f>
        <v xml:space="preserve">Local Sales Tax Distribution - Fiscal Year 2024 ……………………………………...……………………....………………….……………………………………………………………………….…………………..……………………………..   </v>
      </c>
      <c r="E30" s="213">
        <v>29</v>
      </c>
    </row>
    <row r="31" spans="1:5" ht="5" customHeight="1"/>
    <row r="32" spans="1:5" ht="12.5" customHeight="1">
      <c r="A32" s="16" t="s">
        <v>665</v>
      </c>
    </row>
    <row r="33" spans="1:6" ht="12.5" customHeight="1">
      <c r="A33" s="126">
        <v>5.0999999999999996</v>
      </c>
      <c r="B33" s="469" t="str">
        <f>'5.1'!A2&amp;" ……………………………………...……………………....………………….……………………………………………………………………….…………………..……………………………..   "</f>
        <v xml:space="preserve">Other Taxes Net Revenue Collections - General Fund ……………………………………...……………………....………………….……………………………………………………………………….…………………..……………………………..   </v>
      </c>
      <c r="E33" s="213">
        <v>31</v>
      </c>
      <c r="F33" s="197"/>
    </row>
    <row r="34" spans="1:6" ht="12.5" customHeight="1">
      <c r="A34" s="126">
        <v>5.2</v>
      </c>
      <c r="B34" s="126" t="str">
        <f>'5.2'!A2&amp;" ……………………………………...……………………....………………….……………………………………………………………………….…………………..……………………………..   "</f>
        <v xml:space="preserve">Other Taxes Net Revenue Collections - Non-General Fund ……………………………………...……………………....………………….……………………………………………………………………….…………………..……………………………..   </v>
      </c>
      <c r="E34" s="213">
        <v>32</v>
      </c>
    </row>
    <row r="35" spans="1:6" ht="12.5" customHeight="1">
      <c r="A35" s="127" t="s">
        <v>666</v>
      </c>
      <c r="B35" s="126" t="str">
        <f>'5.3-5.4'!A2&amp;" ……………………………………...……………………....………………….……………………………………………………………………….…………………..……………………………..   "</f>
        <v xml:space="preserve">Bank Franchise Tax Assessment Tax Statement - Fiscal Year 2024 ……………………………………...……………………....………………….……………………………………………………………………….…………………..……………………………..   </v>
      </c>
      <c r="E35" s="213">
        <v>34</v>
      </c>
    </row>
    <row r="36" spans="1:6" ht="12.5" customHeight="1">
      <c r="A36" s="127" t="s">
        <v>667</v>
      </c>
      <c r="B36" s="126" t="str">
        <f>'5.3-5.4'!A32&amp;" ……………………………………...……………………....………………….……………………………………………………………………….…………………..……………………………..   "</f>
        <v xml:space="preserve">Bank Franchise Tax Net Revenue Collections ……………………………………...……………………....………………….……………………………………………………………………….…………………..……………………………..   </v>
      </c>
      <c r="E36" s="213">
        <v>34</v>
      </c>
    </row>
    <row r="37" spans="1:6" ht="12.5" customHeight="1">
      <c r="A37" s="127" t="s">
        <v>668</v>
      </c>
      <c r="B37" s="126" t="str">
        <f>'5.5'!A2&amp;" ……………………………………...……………………....………………….……………………………………………………………………….…………………..……………………………..   "</f>
        <v xml:space="preserve">Recordation Tax and Deeds of Conveyance Revenue Collections by Locality  ……………………………………...……………………....………………….……………………………………………………………………….…………………..……………………………..   </v>
      </c>
      <c r="E37" s="213">
        <v>35</v>
      </c>
    </row>
    <row r="38" spans="1:6" ht="12.5" customHeight="1">
      <c r="A38" s="127" t="s">
        <v>669</v>
      </c>
      <c r="B38" s="1601" t="str">
        <f>'5.6'!A2&amp;" ……………………………………...……………………....………………….……………………………………………………………………….…………………..……………………………..   "</f>
        <v xml:space="preserve">Communications Sales Tax Distributions, Fiscal Year 2024 ……………………………………...……………………....………………….……………………………………………………………………….…………………..……………………………..   </v>
      </c>
      <c r="E38" s="213">
        <v>39</v>
      </c>
    </row>
    <row r="39" spans="1:6" ht="12.5" customHeight="1">
      <c r="A39" s="127" t="s">
        <v>705</v>
      </c>
      <c r="B39" s="126" t="str">
        <f>'5.7'!A2&amp;" ……………………………………...……………………....………………….……………………………………………………………………….…………………..……………………………..   "</f>
        <v xml:space="preserve">Insurance Premiums License Tax: Number of Returns, Taxable Premium Income, and Tax Liability ……………………………………...……………………....………………….……………………………………………………………………….…………………..……………………………..   </v>
      </c>
      <c r="E39" s="213">
        <v>41</v>
      </c>
    </row>
    <row r="40" spans="1:6" ht="5" customHeight="1"/>
    <row r="41" spans="1:6" ht="12.5" customHeight="1">
      <c r="A41" s="16" t="s">
        <v>775</v>
      </c>
    </row>
    <row r="42" spans="1:6" ht="12.5" customHeight="1">
      <c r="A42" s="126">
        <v>6.1</v>
      </c>
      <c r="B42" s="126" t="str">
        <f>'6.1'!B2:H2&amp;" ……………………………………...……………………....………………….……………………………………………………………………….…………………..……………………………..   "</f>
        <v xml:space="preserve">Assessed Values, Levies Assessed, and Average Tax Rates ……………………………………...……………………....………………….……………………………………………………………………….…………………..……………………………..   </v>
      </c>
      <c r="E42" s="213">
        <v>42</v>
      </c>
    </row>
    <row r="43" spans="1:6" ht="12.5" customHeight="1">
      <c r="A43" s="126">
        <v>6.2</v>
      </c>
      <c r="B43" s="126" t="str">
        <f>'6.2'!A2&amp;" ……………………………………...……………………....………………….……………………………………………………………………….…………………..……………………………..   "</f>
        <v xml:space="preserve">Real Estate Fair Market Value (FMV), Fair Market Value (Taxable), and Local Levy by Locality - Tax Year 2023 ……………………………………...……………………....………………….……………………………………………………………………….…………………..……………………………..   </v>
      </c>
      <c r="E43" s="213">
        <v>43</v>
      </c>
    </row>
    <row r="44" spans="1:6" ht="12.5" customHeight="1">
      <c r="A44" s="126">
        <v>6.3</v>
      </c>
      <c r="B44" s="126" t="str">
        <f>'6.3'!A2&amp;" ……………………………………...……………………....………………….……………………………………………………………………….…………………..……………………………..   "</f>
        <v xml:space="preserve">Comparison of Tax Exempt Value to Total Fair Market Value (FMV) of Real Estate by Locality - Tax Year 2023 ……………………………………...……………………....………………….……………………………………………………………………….…………………..……………………………..   </v>
      </c>
      <c r="E44" s="213">
        <v>47</v>
      </c>
    </row>
    <row r="45" spans="1:6" ht="12.5" customHeight="1">
      <c r="A45" s="126">
        <v>6.4</v>
      </c>
      <c r="B45" s="126" t="str">
        <f>'6.4'!A2&amp;" ……………………………………...……………………....………………….……………………………………………………………………….…………………..……………………………..   "</f>
        <v xml:space="preserve">Tangible Personal Property, Machinery &amp; Tools, Merchants' Capital, and Public Service Corporations:  Assessed Values &amp; Levies by Locality - Tax Year 2023 ……………………………………...……………………....………………….……………………………………………………………………….…………………..……………………………..   </v>
      </c>
      <c r="C45" s="6"/>
      <c r="D45" s="6"/>
      <c r="E45" s="213">
        <v>51</v>
      </c>
    </row>
    <row r="46" spans="1:6" ht="5" customHeight="1"/>
    <row r="47" spans="1:6" ht="12.5" customHeight="1">
      <c r="A47" s="16" t="s">
        <v>688</v>
      </c>
    </row>
    <row r="48" spans="1:6" ht="12.5" customHeight="1">
      <c r="A48" s="126">
        <v>7.1</v>
      </c>
      <c r="B48" s="126" t="str">
        <f>'7.1'!A2&amp;" ……………………………………...……………………....………………….……………………………………………………………………….…………………..……………………………..   "</f>
        <v xml:space="preserve">Nonprofit Organization Tax Exemption Annual Report By Fiscal Year  ……………………………………...……………………....………………….……………………………………………………………………….…………………..……………………………..   </v>
      </c>
      <c r="E48" s="798">
        <v>55</v>
      </c>
    </row>
    <row r="49" spans="1:5" ht="5" customHeight="1"/>
    <row r="50" spans="1:5" ht="12.5" customHeight="1">
      <c r="A50" s="16" t="s">
        <v>980</v>
      </c>
      <c r="E50" s="213">
        <v>56</v>
      </c>
    </row>
    <row r="51" spans="1:5" ht="13">
      <c r="A51" s="16"/>
    </row>
  </sheetData>
  <customSheetViews>
    <customSheetView guid="{E6BBE5A7-0B25-4EE8-BA45-5EA5DBAF3AD4}" showPageBreaks="1" printArea="1">
      <selection activeCell="B33" sqref="B33"/>
      <pageMargins left="0.5" right="0.5" top="0.5" bottom="0.75" header="0.5" footer="0.5"/>
      <printOptions horizontalCentered="1"/>
      <pageSetup scale="91" orientation="landscape" r:id="rId1"/>
      <headerFooter alignWithMargins="0"/>
    </customSheetView>
  </customSheetViews>
  <hyperlinks>
    <hyperlink ref="E50" location="Directory!A1" display="Directory!A1" xr:uid="{00000000-0004-0000-0100-000000000000}"/>
    <hyperlink ref="E48" location="'7.1'!A1" display="'7.1'!A1" xr:uid="{00000000-0004-0000-0100-000001000000}"/>
    <hyperlink ref="E45" location="'6.4'!A1" display="'6.4'!A1" xr:uid="{00000000-0004-0000-0100-000002000000}"/>
    <hyperlink ref="E44" location="'6.3'!A1" display="'6.3'!A1" xr:uid="{00000000-0004-0000-0100-000003000000}"/>
    <hyperlink ref="E43" location="'6.2'!A1" display="'6.2'!A1" xr:uid="{00000000-0004-0000-0100-000004000000}"/>
    <hyperlink ref="E42" location="'6.1'!A1" display="'6.1'!A1" xr:uid="{00000000-0004-0000-0100-000005000000}"/>
    <hyperlink ref="E39" location="'5.7'!A1" display="'5.7'!A1" xr:uid="{00000000-0004-0000-0100-000006000000}"/>
    <hyperlink ref="E38" location="'5.6'!A1" display="'5.6'!A1" xr:uid="{00000000-0004-0000-0100-000007000000}"/>
    <hyperlink ref="E37" location="'5.5'!A1" display="'5.5'!A1" xr:uid="{00000000-0004-0000-0100-000008000000}"/>
    <hyperlink ref="E36" location="'5.3-5.4'!A1" display="'5.3-5.4'!A1" xr:uid="{00000000-0004-0000-0100-000009000000}"/>
    <hyperlink ref="E35" location="'5.3-5.4'!A1" display="'5.3-5.4'!A1" xr:uid="{00000000-0004-0000-0100-00000A000000}"/>
    <hyperlink ref="E34" location="'5.2'!A1" display="'5.2'!A1" xr:uid="{00000000-0004-0000-0100-00000B000000}"/>
    <hyperlink ref="E33" location="'5.1'!A1" display="'5.1'!A1" xr:uid="{00000000-0004-0000-0100-00000C000000}"/>
    <hyperlink ref="E30" location="'4.3'!A1" display="'4.3'!A1" xr:uid="{00000000-0004-0000-0100-00000D000000}"/>
    <hyperlink ref="E29" location="'4.2'!A1" display="'4.2'!A1" xr:uid="{00000000-0004-0000-0100-00000E000000}"/>
    <hyperlink ref="E28" location="'4.1'!A1" display="'4.1'!A1" xr:uid="{00000000-0004-0000-0100-00000F000000}"/>
    <hyperlink ref="E25" location="'3.1'!A1" display="'3.1'!A1" xr:uid="{00000000-0004-0000-0100-000010000000}"/>
    <hyperlink ref="E21" location="'2.2'!A1" display="'2.2'!A1" xr:uid="{00000000-0004-0000-0100-000011000000}"/>
    <hyperlink ref="E20" location="'2.1'!A1" display="'2.1'!A1" xr:uid="{00000000-0004-0000-0100-000012000000}"/>
    <hyperlink ref="E17" location="'1.10'!A1" display="'1.10'!A1" xr:uid="{00000000-0004-0000-0100-000013000000}"/>
    <hyperlink ref="E16" location="'1.8-1.9'!A1" display="'1.8-1.9'!A1" xr:uid="{00000000-0004-0000-0100-000014000000}"/>
    <hyperlink ref="E15" location="'1.8-1.9'!A1" display="'1.8-1.9'!A1" xr:uid="{00000000-0004-0000-0100-000015000000}"/>
    <hyperlink ref="E14" location="'1.7'!A1" display="'1.7'!A1" xr:uid="{00000000-0004-0000-0100-000016000000}"/>
    <hyperlink ref="E13" location="'1.6'!A1" display="'1.6'!A1" xr:uid="{00000000-0004-0000-0100-000017000000}"/>
    <hyperlink ref="E12" location="'1.5'!A1" display="'1.5'!A1" xr:uid="{00000000-0004-0000-0100-000018000000}"/>
    <hyperlink ref="E11" location="'1.4'!A1" display="'1.4'!A1" xr:uid="{00000000-0004-0000-0100-000019000000}"/>
    <hyperlink ref="E10" location="'1.3'!A1" display="'1.3'!A1" xr:uid="{00000000-0004-0000-0100-00001A000000}"/>
    <hyperlink ref="E9" location="'1.2'!A1" display="'1.2'!A1" xr:uid="{00000000-0004-0000-0100-00001B000000}"/>
    <hyperlink ref="E8" location="'1.1'!A1" display="'1.1'!A1" xr:uid="{00000000-0004-0000-0100-00001C000000}"/>
    <hyperlink ref="E5" location="ByAcct!A1" display="ByAcct!A1" xr:uid="{00000000-0004-0000-0100-00001D000000}"/>
    <hyperlink ref="E4" location="RevExp!A1" display="RevExp!A1" xr:uid="{00000000-0004-0000-0100-00001E000000}"/>
    <hyperlink ref="E22" location="'2.3'!A1" display="'2.3'!A1" xr:uid="{74684DF2-E42D-4EB6-B8B4-0BD0DBB58F6B}"/>
  </hyperlinks>
  <pageMargins left="0.6" right="0.25" top="0.4" bottom="0.25" header="0.25" footer="0"/>
  <pageSetup orientation="landscape" r:id="rId2"/>
  <headerFooter alignWithMargins="0"/>
  <ignoredErrors>
    <ignoredError sqref="A17 A35:A38 A29:A30"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abColor rgb="FFC00000"/>
    <pageSetUpPr fitToPage="1"/>
  </sheetPr>
  <dimension ref="A1:AA59"/>
  <sheetViews>
    <sheetView defaultGridColor="0" colorId="22" zoomScale="90" zoomScaleNormal="90" workbookViewId="0"/>
  </sheetViews>
  <sheetFormatPr defaultColWidth="15.1796875" defaultRowHeight="15.5"/>
  <cols>
    <col min="1" max="1" width="7.7265625" style="27" customWidth="1"/>
    <col min="2" max="2" width="15.54296875" style="27" bestFit="1" customWidth="1"/>
    <col min="3" max="3" width="14.1796875" style="27" customWidth="1"/>
    <col min="4" max="4" width="17.81640625" style="27" customWidth="1"/>
    <col min="5" max="5" width="16.1796875" style="27" customWidth="1"/>
    <col min="6" max="6" width="14.7265625" style="27" customWidth="1"/>
    <col min="7" max="8" width="13.1796875" style="27" bestFit="1" customWidth="1"/>
    <col min="9" max="10" width="11.54296875" style="27" bestFit="1" customWidth="1"/>
    <col min="11" max="11" width="14.453125" style="27" bestFit="1" customWidth="1"/>
    <col min="12" max="12" width="14.7265625" style="27" bestFit="1" customWidth="1"/>
    <col min="13" max="13" width="17.7265625" style="27" customWidth="1"/>
    <col min="14" max="14" width="14.453125" style="27" bestFit="1" customWidth="1"/>
    <col min="15" max="15" width="1.7265625" style="27" customWidth="1"/>
    <col min="16" max="16" width="4.453125" style="586" bestFit="1" customWidth="1"/>
    <col min="17" max="18" width="11.54296875" style="586" customWidth="1"/>
    <col min="19" max="19" width="7.7265625" style="587" customWidth="1"/>
    <col min="20" max="20" width="1.7265625" style="586" customWidth="1"/>
    <col min="21" max="21" width="17.81640625" style="586" bestFit="1" customWidth="1"/>
    <col min="22" max="22" width="7.7265625" style="587" customWidth="1"/>
    <col min="23" max="23" width="7.7265625" style="561" customWidth="1"/>
    <col min="24" max="16384" width="15.1796875" style="27"/>
  </cols>
  <sheetData>
    <row r="1" spans="1:27" ht="17.149999999999999" customHeight="1">
      <c r="A1" s="342" t="s">
        <v>173</v>
      </c>
      <c r="B1" s="773"/>
      <c r="C1" s="773"/>
      <c r="D1" s="774"/>
      <c r="E1" s="774"/>
    </row>
    <row r="2" spans="1:27" ht="15" customHeight="1">
      <c r="A2" s="28" t="s">
        <v>42</v>
      </c>
      <c r="E2" s="774"/>
    </row>
    <row r="3" spans="1:27" ht="6" customHeight="1" thickBot="1">
      <c r="A3" s="200"/>
      <c r="B3" s="29"/>
      <c r="C3" s="29"/>
      <c r="D3" s="29"/>
      <c r="E3" s="29"/>
      <c r="F3" s="29"/>
      <c r="G3" s="29"/>
      <c r="H3" s="29"/>
      <c r="I3" s="29"/>
      <c r="J3" s="29"/>
      <c r="K3" s="29"/>
      <c r="L3" s="29"/>
      <c r="M3" s="29"/>
      <c r="N3" s="29"/>
      <c r="O3" s="30"/>
    </row>
    <row r="4" spans="1:27" ht="15" customHeight="1">
      <c r="A4" s="34"/>
      <c r="B4" s="1630" t="s">
        <v>43</v>
      </c>
      <c r="C4" s="1630"/>
      <c r="D4" s="1631"/>
      <c r="E4" s="1631"/>
      <c r="F4" s="1631"/>
      <c r="G4" s="1631"/>
      <c r="H4" s="1631"/>
      <c r="I4" s="1631"/>
      <c r="J4" s="1631"/>
      <c r="K4" s="34"/>
      <c r="L4" s="1632" t="s">
        <v>44</v>
      </c>
      <c r="M4" s="1632"/>
      <c r="N4" s="34"/>
      <c r="O4" s="30"/>
    </row>
    <row r="5" spans="1:27" ht="39" customHeight="1" thickBot="1">
      <c r="A5" s="580" t="s">
        <v>898</v>
      </c>
      <c r="B5" s="580" t="s">
        <v>893</v>
      </c>
      <c r="C5" s="580" t="s">
        <v>949</v>
      </c>
      <c r="D5" s="580" t="s">
        <v>948</v>
      </c>
      <c r="E5" s="580" t="s">
        <v>950</v>
      </c>
      <c r="F5" s="580" t="s">
        <v>951</v>
      </c>
      <c r="G5" s="580" t="s">
        <v>891</v>
      </c>
      <c r="H5" s="580" t="s">
        <v>892</v>
      </c>
      <c r="I5" s="580" t="s">
        <v>890</v>
      </c>
      <c r="J5" s="580" t="s">
        <v>889</v>
      </c>
      <c r="K5" s="581" t="s">
        <v>894</v>
      </c>
      <c r="L5" s="580" t="s">
        <v>895</v>
      </c>
      <c r="M5" s="580" t="s">
        <v>896</v>
      </c>
      <c r="N5" s="580" t="s">
        <v>897</v>
      </c>
      <c r="O5" s="30"/>
      <c r="W5" s="585"/>
      <c r="X5" s="27" t="s">
        <v>4</v>
      </c>
      <c r="Y5" s="27" t="s">
        <v>899</v>
      </c>
      <c r="Z5" s="27" t="s">
        <v>900</v>
      </c>
      <c r="AA5" s="27" t="s">
        <v>901</v>
      </c>
    </row>
    <row r="6" spans="1:27" hidden="1">
      <c r="A6" s="31">
        <v>2011</v>
      </c>
      <c r="B6" s="194">
        <v>3012379000</v>
      </c>
      <c r="C6" s="194">
        <v>477329000</v>
      </c>
      <c r="D6" s="330" t="s">
        <v>45</v>
      </c>
      <c r="E6" s="330" t="s">
        <v>45</v>
      </c>
      <c r="F6" s="330" t="s">
        <v>45</v>
      </c>
      <c r="G6" s="330" t="s">
        <v>45</v>
      </c>
      <c r="H6" s="330" t="s">
        <v>45</v>
      </c>
      <c r="I6" s="203"/>
      <c r="J6" s="203"/>
      <c r="K6" s="577">
        <f t="shared" ref="K6:K16" si="0">SUM(B6:J6)</f>
        <v>3489708000</v>
      </c>
      <c r="L6" s="194">
        <v>1010205000</v>
      </c>
      <c r="M6" s="203">
        <v>204027000</v>
      </c>
      <c r="N6" s="584">
        <v>4762261000</v>
      </c>
      <c r="O6" s="33"/>
      <c r="S6" s="588"/>
      <c r="V6" s="588"/>
      <c r="W6" s="562"/>
      <c r="X6" s="192"/>
    </row>
    <row r="7" spans="1:27" ht="21" customHeight="1">
      <c r="A7" s="31">
        <v>2012</v>
      </c>
      <c r="B7" s="32">
        <v>3121503000</v>
      </c>
      <c r="C7" s="32">
        <v>503070000</v>
      </c>
      <c r="D7" s="330" t="s">
        <v>45</v>
      </c>
      <c r="E7" s="330" t="s">
        <v>45</v>
      </c>
      <c r="F7" s="330" t="s">
        <v>45</v>
      </c>
      <c r="G7" s="330" t="s">
        <v>45</v>
      </c>
      <c r="H7" s="330" t="s">
        <v>45</v>
      </c>
      <c r="I7" s="32"/>
      <c r="J7" s="32"/>
      <c r="K7" s="578">
        <f t="shared" si="0"/>
        <v>3624573000</v>
      </c>
      <c r="L7" s="32">
        <v>1052522000</v>
      </c>
      <c r="M7" s="32">
        <v>214098000</v>
      </c>
      <c r="N7" s="578">
        <f t="shared" ref="N7:N13" si="1">SUM(K7:M7)</f>
        <v>4891193000</v>
      </c>
      <c r="O7" s="33"/>
      <c r="P7" s="592"/>
      <c r="S7" s="588"/>
      <c r="V7" s="588"/>
      <c r="W7" s="562"/>
      <c r="X7" s="563">
        <f t="shared" ref="X7:X16" si="2">B7/B6-1</f>
        <v>3.6225189459891949E-2</v>
      </c>
      <c r="Y7" s="563">
        <f t="shared" ref="Y7:Z16" si="3">K7/K6-1</f>
        <v>3.8646499936384471E-2</v>
      </c>
      <c r="Z7" s="563">
        <f t="shared" si="3"/>
        <v>4.1889517474176019E-2</v>
      </c>
      <c r="AA7" s="563">
        <f t="shared" ref="AA7:AA15" si="4">N7/N6-1</f>
        <v>2.7073694616905675E-2</v>
      </c>
    </row>
    <row r="8" spans="1:27" ht="15" customHeight="1">
      <c r="A8" s="31">
        <v>2013</v>
      </c>
      <c r="B8" s="32">
        <v>3219798000</v>
      </c>
      <c r="C8" s="32">
        <v>521180000</v>
      </c>
      <c r="D8" s="330" t="s">
        <v>45</v>
      </c>
      <c r="E8" s="330" t="s">
        <v>45</v>
      </c>
      <c r="F8" s="330" t="s">
        <v>45</v>
      </c>
      <c r="G8" s="330" t="s">
        <v>45</v>
      </c>
      <c r="H8" s="330" t="s">
        <v>45</v>
      </c>
      <c r="I8" s="32"/>
      <c r="J8" s="32"/>
      <c r="K8" s="578">
        <f t="shared" si="0"/>
        <v>3740978000</v>
      </c>
      <c r="L8" s="32">
        <v>1089743000</v>
      </c>
      <c r="M8" s="32">
        <v>221396000</v>
      </c>
      <c r="N8" s="578">
        <f t="shared" si="1"/>
        <v>5052117000</v>
      </c>
      <c r="O8" s="33"/>
      <c r="P8" s="592"/>
      <c r="S8" s="588"/>
      <c r="V8" s="588"/>
      <c r="W8" s="562"/>
      <c r="X8" s="563">
        <f t="shared" si="2"/>
        <v>3.1489638164691858E-2</v>
      </c>
      <c r="Y8" s="563">
        <f t="shared" si="3"/>
        <v>3.2115507123183784E-2</v>
      </c>
      <c r="Z8" s="563">
        <f t="shared" si="3"/>
        <v>3.5363631354023983E-2</v>
      </c>
      <c r="AA8" s="563">
        <f t="shared" si="4"/>
        <v>3.2900766745454613E-2</v>
      </c>
    </row>
    <row r="9" spans="1:27" ht="15" customHeight="1">
      <c r="A9" s="31">
        <v>2014</v>
      </c>
      <c r="B9" s="32">
        <v>3066456000</v>
      </c>
      <c r="C9" s="579">
        <f>ROUND(492018037.25,-3)</f>
        <v>492018000</v>
      </c>
      <c r="D9" s="775">
        <f>ROUND(146680019.76+44537298.65,-3)</f>
        <v>191217000</v>
      </c>
      <c r="E9" s="775">
        <v>41908000</v>
      </c>
      <c r="F9" s="775">
        <v>62864000</v>
      </c>
      <c r="G9" s="775">
        <v>203933000</v>
      </c>
      <c r="H9" s="775">
        <v>107424000</v>
      </c>
      <c r="I9" s="32"/>
      <c r="J9" s="32"/>
      <c r="K9" s="578">
        <f t="shared" si="0"/>
        <v>4165820000</v>
      </c>
      <c r="L9" s="579">
        <v>1094794000</v>
      </c>
      <c r="M9" s="32">
        <v>334030000</v>
      </c>
      <c r="N9" s="578">
        <f t="shared" si="1"/>
        <v>5594644000</v>
      </c>
      <c r="O9" s="33"/>
      <c r="P9" s="592"/>
      <c r="S9" s="588"/>
      <c r="V9" s="588"/>
      <c r="W9" s="562"/>
      <c r="X9" s="563">
        <f t="shared" si="2"/>
        <v>-4.7624726768573655E-2</v>
      </c>
      <c r="Y9" s="563">
        <f t="shared" si="3"/>
        <v>0.11356442085465357</v>
      </c>
      <c r="Z9" s="563">
        <f t="shared" si="3"/>
        <v>4.6350378024910821E-3</v>
      </c>
      <c r="AA9" s="563">
        <f t="shared" si="4"/>
        <v>0.10738607201693862</v>
      </c>
    </row>
    <row r="10" spans="1:27" ht="15" customHeight="1">
      <c r="A10" s="31">
        <v>2015</v>
      </c>
      <c r="B10" s="579">
        <v>3235444000</v>
      </c>
      <c r="C10" s="579">
        <v>590709000</v>
      </c>
      <c r="D10" s="776">
        <f>ROUND(176785752.29+101094512.7,-3)</f>
        <v>277880000</v>
      </c>
      <c r="E10" s="776">
        <v>50520000</v>
      </c>
      <c r="F10" s="776">
        <v>75746000</v>
      </c>
      <c r="G10" s="776">
        <v>246324000</v>
      </c>
      <c r="H10" s="776">
        <v>129918000</v>
      </c>
      <c r="I10" s="32"/>
      <c r="J10" s="32"/>
      <c r="K10" s="578">
        <f t="shared" si="0"/>
        <v>4606541000</v>
      </c>
      <c r="L10" s="579">
        <v>1143330000</v>
      </c>
      <c r="M10" s="579">
        <v>352406000</v>
      </c>
      <c r="N10" s="578">
        <f t="shared" si="1"/>
        <v>6102277000</v>
      </c>
      <c r="O10" s="33"/>
      <c r="P10" s="592"/>
      <c r="S10" s="588"/>
      <c r="V10" s="588"/>
      <c r="W10" s="562"/>
      <c r="X10" s="563">
        <f t="shared" si="2"/>
        <v>5.5108568327737251E-2</v>
      </c>
      <c r="Y10" s="563">
        <f t="shared" si="3"/>
        <v>0.10579453745000977</v>
      </c>
      <c r="Z10" s="563">
        <f t="shared" si="3"/>
        <v>4.4333454512903714E-2</v>
      </c>
      <c r="AA10" s="563">
        <f t="shared" si="4"/>
        <v>9.0735532055301382E-2</v>
      </c>
    </row>
    <row r="11" spans="1:27" ht="15" customHeight="1">
      <c r="A11" s="31">
        <v>2016</v>
      </c>
      <c r="B11" s="579">
        <v>3295853000</v>
      </c>
      <c r="C11" s="579">
        <v>599055000</v>
      </c>
      <c r="D11" s="776">
        <f>ROUND(174535019.41+102314212,-3)</f>
        <v>276849000</v>
      </c>
      <c r="E11" s="776">
        <v>49877000</v>
      </c>
      <c r="F11" s="776">
        <v>74782000</v>
      </c>
      <c r="G11" s="776">
        <v>237314000</v>
      </c>
      <c r="H11" s="776">
        <v>126537000</v>
      </c>
      <c r="I11" s="32"/>
      <c r="J11" s="32"/>
      <c r="K11" s="578">
        <f t="shared" si="0"/>
        <v>4660267000</v>
      </c>
      <c r="L11" s="579">
        <v>1188704000</v>
      </c>
      <c r="M11" s="579">
        <v>355547000</v>
      </c>
      <c r="N11" s="578">
        <f t="shared" si="1"/>
        <v>6204518000</v>
      </c>
      <c r="O11" s="33"/>
      <c r="P11" s="592"/>
      <c r="S11" s="588"/>
      <c r="V11" s="588"/>
      <c r="W11" s="562"/>
      <c r="X11" s="563">
        <f t="shared" si="2"/>
        <v>1.8671007750404645E-2</v>
      </c>
      <c r="Y11" s="563">
        <f t="shared" si="3"/>
        <v>1.1662980965544412E-2</v>
      </c>
      <c r="Z11" s="563">
        <f t="shared" si="3"/>
        <v>3.9685829987842425E-2</v>
      </c>
      <c r="AA11" s="563">
        <f t="shared" si="4"/>
        <v>1.6754565549875977E-2</v>
      </c>
    </row>
    <row r="12" spans="1:27" ht="15" customHeight="1">
      <c r="A12" s="31">
        <v>2017</v>
      </c>
      <c r="B12" s="579">
        <f>ROUND(3357064365.72,-3)+3354561000*0</f>
        <v>3357064000</v>
      </c>
      <c r="C12" s="579">
        <f>ROUND(589823540.29+25748098.43,-3)</f>
        <v>615572000</v>
      </c>
      <c r="D12" s="776">
        <f>ROUND(178769862.17+98290993.56,-3)</f>
        <v>277061000</v>
      </c>
      <c r="E12" s="776">
        <v>51043000</v>
      </c>
      <c r="F12" s="776">
        <v>76683000</v>
      </c>
      <c r="G12" s="776">
        <v>251601000</v>
      </c>
      <c r="H12" s="776">
        <v>131472000</v>
      </c>
      <c r="I12" s="32"/>
      <c r="J12" s="32"/>
      <c r="K12" s="578">
        <f t="shared" si="0"/>
        <v>4760496000</v>
      </c>
      <c r="L12" s="579">
        <v>1213929000</v>
      </c>
      <c r="M12" s="579">
        <v>365878000</v>
      </c>
      <c r="N12" s="578">
        <f t="shared" si="1"/>
        <v>6340303000</v>
      </c>
      <c r="O12" s="33"/>
      <c r="P12" s="595"/>
      <c r="Q12" s="596" t="s">
        <v>908</v>
      </c>
      <c r="R12" s="597"/>
      <c r="S12" s="598"/>
      <c r="T12" s="594"/>
      <c r="U12" s="593"/>
      <c r="W12" s="562"/>
      <c r="X12" s="563">
        <f t="shared" si="2"/>
        <v>1.8572126851531312E-2</v>
      </c>
      <c r="Y12" s="563">
        <f t="shared" si="3"/>
        <v>2.1507136822847217E-2</v>
      </c>
      <c r="Z12" s="563">
        <f t="shared" si="3"/>
        <v>2.1220589818827795E-2</v>
      </c>
      <c r="AA12" s="563">
        <f t="shared" si="4"/>
        <v>2.1884858743257629E-2</v>
      </c>
    </row>
    <row r="13" spans="1:27" ht="15" customHeight="1">
      <c r="A13" s="31">
        <v>2018</v>
      </c>
      <c r="B13" s="576">
        <f>ROUND(3461771752.8,-3)+3458249000*0</f>
        <v>3461772000</v>
      </c>
      <c r="C13" s="576">
        <f>ROUND(592516174.16+25870695.34,-3)</f>
        <v>618387000</v>
      </c>
      <c r="D13" s="776">
        <f>ROUND(186058734.59+106459499.7,-3)</f>
        <v>292518000</v>
      </c>
      <c r="E13" s="776">
        <v>53159000</v>
      </c>
      <c r="F13" s="776">
        <v>79742000</v>
      </c>
      <c r="G13" s="776">
        <v>256443000</v>
      </c>
      <c r="H13" s="776">
        <v>137059000</v>
      </c>
      <c r="I13" s="148"/>
      <c r="J13" s="148"/>
      <c r="K13" s="578">
        <f t="shared" si="0"/>
        <v>4899080000</v>
      </c>
      <c r="L13" s="579">
        <v>1243480000</v>
      </c>
      <c r="M13" s="576">
        <v>376561000</v>
      </c>
      <c r="N13" s="578">
        <f t="shared" si="1"/>
        <v>6519121000</v>
      </c>
      <c r="O13" s="33"/>
      <c r="P13" s="599" t="s">
        <v>907</v>
      </c>
      <c r="Q13" s="599" t="s">
        <v>905</v>
      </c>
      <c r="R13" s="599" t="s">
        <v>906</v>
      </c>
      <c r="S13" s="600" t="s">
        <v>904</v>
      </c>
      <c r="T13" s="591"/>
      <c r="U13" s="591" t="s">
        <v>909</v>
      </c>
      <c r="V13" s="590" t="s">
        <v>904</v>
      </c>
      <c r="W13" s="562"/>
      <c r="X13" s="563">
        <f t="shared" si="2"/>
        <v>3.1190349662681527E-2</v>
      </c>
      <c r="Y13" s="563">
        <f t="shared" si="3"/>
        <v>2.9111252272872479E-2</v>
      </c>
      <c r="Z13" s="563">
        <f t="shared" si="3"/>
        <v>2.4343268840269827E-2</v>
      </c>
      <c r="AA13" s="563">
        <f t="shared" si="4"/>
        <v>2.8203383970766049E-2</v>
      </c>
    </row>
    <row r="14" spans="1:27" ht="15" customHeight="1">
      <c r="A14" s="31">
        <v>2019</v>
      </c>
      <c r="B14" s="576">
        <v>3580355000</v>
      </c>
      <c r="C14" s="576">
        <f>ROUND(622280986.85+27169809.32,-3)</f>
        <v>649451000</v>
      </c>
      <c r="D14" s="575">
        <f>ROUND(191758807.58+109669908.6,-3)</f>
        <v>301429000</v>
      </c>
      <c r="E14" s="575">
        <v>54797000</v>
      </c>
      <c r="F14" s="575">
        <v>82165000</v>
      </c>
      <c r="G14" s="575">
        <f>ROUND(263033838.77,-3)</f>
        <v>263034000</v>
      </c>
      <c r="H14" s="575">
        <f>ROUND(139641901.73,-3)</f>
        <v>139642000</v>
      </c>
      <c r="I14" s="576">
        <v>20358000</v>
      </c>
      <c r="J14" s="576"/>
      <c r="K14" s="578">
        <f t="shared" si="0"/>
        <v>5091231000</v>
      </c>
      <c r="L14" s="579">
        <v>1292804000</v>
      </c>
      <c r="M14" s="576">
        <v>392605000</v>
      </c>
      <c r="N14" s="578">
        <f>SUM(K14:M14)</f>
        <v>6776640000</v>
      </c>
      <c r="O14" s="33"/>
      <c r="P14" s="601">
        <v>2019</v>
      </c>
      <c r="Q14" s="595">
        <f>N14</f>
        <v>6776640000</v>
      </c>
      <c r="R14" s="595">
        <v>6764132129.4500237</v>
      </c>
      <c r="S14" s="602">
        <f>N14/R14-1</f>
        <v>1.8491463961087806E-3</v>
      </c>
      <c r="U14" s="586">
        <v>6409139000</v>
      </c>
      <c r="V14" s="589">
        <f>U14/R14-1</f>
        <v>-5.2481696492065355E-2</v>
      </c>
      <c r="W14" s="562"/>
      <c r="X14" s="563">
        <f t="shared" si="2"/>
        <v>3.4255000040441796E-2</v>
      </c>
      <c r="Y14" s="563">
        <f t="shared" si="3"/>
        <v>3.9221853899099379E-2</v>
      </c>
      <c r="Z14" s="563">
        <f t="shared" si="3"/>
        <v>3.9666098369093294E-2</v>
      </c>
      <c r="AA14" s="563">
        <f t="shared" si="4"/>
        <v>3.9502104654906667E-2</v>
      </c>
    </row>
    <row r="15" spans="1:27" ht="15" customHeight="1">
      <c r="A15" s="31">
        <v>2020</v>
      </c>
      <c r="B15" s="576">
        <f>ROUND(2683258.31+208033441.59+53040341.29+3169525635.96+-34441737.4+2478935.49+173593188.29+-5477492.26+540921001.82+-406044118.99+132233.73+2033538.76+338923.1,-3)</f>
        <v>3706817000</v>
      </c>
      <c r="C15" s="576">
        <f>ROUND(26831467.7+508394214.76+93910136.99+15332267.26+33555422.32,-3)</f>
        <v>678024000</v>
      </c>
      <c r="D15" s="575">
        <f>ROUND(188570036.5+108118849.5+14033366.21,-3)</f>
        <v>310722000</v>
      </c>
      <c r="E15" s="575">
        <f>ROUND(53877017.19,-3)</f>
        <v>53877000</v>
      </c>
      <c r="F15" s="575">
        <f>ROUND(80816271.36,-3)</f>
        <v>80816000</v>
      </c>
      <c r="G15" s="575">
        <f>ROUND(268751277.28,-3)</f>
        <v>268751000</v>
      </c>
      <c r="H15" s="575">
        <f>ROUND(142869323.15,-3)</f>
        <v>142869000</v>
      </c>
      <c r="I15" s="576">
        <f>ROUND(11366680.58+11364295.82,-3)</f>
        <v>22731000</v>
      </c>
      <c r="J15" s="576"/>
      <c r="K15" s="578">
        <f t="shared" si="0"/>
        <v>5264607000</v>
      </c>
      <c r="L15" s="579">
        <f>ROUND(1358988340.78,-3)</f>
        <v>1358988000</v>
      </c>
      <c r="M15" s="576">
        <f>ROUND(406044118.99,-3)</f>
        <v>406044000</v>
      </c>
      <c r="N15" s="578">
        <f>SUM(K15:M15)</f>
        <v>7029639000</v>
      </c>
      <c r="O15" s="33"/>
      <c r="P15" s="601">
        <v>2020</v>
      </c>
      <c r="Q15" s="595">
        <f t="shared" ref="Q15:Q16" si="5">N15</f>
        <v>7029639000</v>
      </c>
      <c r="R15" s="595">
        <v>6965941756.3400993</v>
      </c>
      <c r="S15" s="602">
        <f t="shared" ref="S15:S16" si="6">N15/R15-1</f>
        <v>9.1440965038109834E-3</v>
      </c>
      <c r="U15" s="586">
        <v>6921512000</v>
      </c>
      <c r="V15" s="589">
        <f>U15/R15-1</f>
        <v>-6.3781406583913736E-3</v>
      </c>
      <c r="W15" s="562"/>
      <c r="X15" s="563">
        <f t="shared" si="2"/>
        <v>3.5321078496405978E-2</v>
      </c>
      <c r="Y15" s="563">
        <f t="shared" si="3"/>
        <v>3.4053846702300383E-2</v>
      </c>
      <c r="Z15" s="563">
        <f t="shared" si="3"/>
        <v>5.1194148532956341E-2</v>
      </c>
      <c r="AA15" s="563">
        <f t="shared" si="4"/>
        <v>3.7333988525286799E-2</v>
      </c>
    </row>
    <row r="16" spans="1:27" ht="15" customHeight="1">
      <c r="A16" s="31">
        <v>2021</v>
      </c>
      <c r="B16" s="576">
        <f>ROUND(4166181778.91,-3)</f>
        <v>4166182000</v>
      </c>
      <c r="C16" s="576">
        <f>ROUND(883351323.76,-3)</f>
        <v>883351000</v>
      </c>
      <c r="D16" s="575">
        <f>ROUND(381740948.12,-3)+ROUND(-415199.89,-3)+ROUND(-627216.85,-3)</f>
        <v>380699000</v>
      </c>
      <c r="E16" s="575">
        <f>ROUND(-415199.89,-3)+ROUND(415199.89,-3)</f>
        <v>0</v>
      </c>
      <c r="F16" s="575">
        <f>ROUND(-627216.85,-3)+ROUND(627216.85,-3)</f>
        <v>0</v>
      </c>
      <c r="G16" s="575">
        <f>ROUND(286169787.36,-3)</f>
        <v>286170000</v>
      </c>
      <c r="H16" s="575">
        <f>ROUND(168804319.76,-3)</f>
        <v>168804000</v>
      </c>
      <c r="I16" s="576">
        <f>ROUND(11485184.74+11483982.06,-3)</f>
        <v>22969000</v>
      </c>
      <c r="J16" s="576">
        <f>ROUND(89337245.13,-3)</f>
        <v>89337000</v>
      </c>
      <c r="K16" s="578">
        <f t="shared" si="0"/>
        <v>5997512000</v>
      </c>
      <c r="L16" s="579">
        <f>ROUND(1477201024.21,-3)</f>
        <v>1477201000</v>
      </c>
      <c r="M16" s="576">
        <f>ROUND(458362738.92,-3)</f>
        <v>458363000</v>
      </c>
      <c r="N16" s="578">
        <f>SUM(K16:M16)</f>
        <v>7933076000</v>
      </c>
      <c r="O16" s="33"/>
      <c r="P16" s="601">
        <v>2021</v>
      </c>
      <c r="Q16" s="595">
        <f t="shared" si="5"/>
        <v>7933076000</v>
      </c>
      <c r="R16" s="595">
        <v>7924865481.6600456</v>
      </c>
      <c r="S16" s="602">
        <f t="shared" si="6"/>
        <v>1.0360451365332146E-3</v>
      </c>
      <c r="V16" s="589"/>
      <c r="W16" s="562"/>
      <c r="X16" s="563">
        <f t="shared" si="2"/>
        <v>0.12392438040507536</v>
      </c>
      <c r="Y16" s="563">
        <f t="shared" si="3"/>
        <v>0.13921362031391893</v>
      </c>
      <c r="Z16" s="563">
        <f t="shared" si="3"/>
        <v>8.6986051385295582E-2</v>
      </c>
      <c r="AA16" s="563">
        <f>N16/N15-1</f>
        <v>0.12851826388239851</v>
      </c>
    </row>
    <row r="17" spans="1:24" s="495" customFormat="1" ht="6" customHeight="1">
      <c r="A17" s="493"/>
      <c r="B17" s="494">
        <f>B16/B14-1</f>
        <v>0.16362260166938758</v>
      </c>
      <c r="C17" s="494">
        <f t="shared" ref="C17:N17" si="7">C16/C14-1</f>
        <v>0.36015034236609078</v>
      </c>
      <c r="D17" s="494">
        <f t="shared" si="7"/>
        <v>0.26298066874786441</v>
      </c>
      <c r="E17" s="494">
        <f t="shared" si="7"/>
        <v>-1</v>
      </c>
      <c r="F17" s="494">
        <f t="shared" si="7"/>
        <v>-1</v>
      </c>
      <c r="G17" s="494">
        <f t="shared" si="7"/>
        <v>8.7958210725609609E-2</v>
      </c>
      <c r="H17" s="494">
        <f t="shared" si="7"/>
        <v>0.20883401841852733</v>
      </c>
      <c r="I17" s="494">
        <f t="shared" si="7"/>
        <v>0.12825424894390403</v>
      </c>
      <c r="J17" s="494" t="e">
        <f t="shared" si="7"/>
        <v>#DIV/0!</v>
      </c>
      <c r="K17" s="494">
        <f t="shared" si="7"/>
        <v>0.1780082263012619</v>
      </c>
      <c r="L17" s="494">
        <f t="shared" si="7"/>
        <v>0.14263337675316601</v>
      </c>
      <c r="M17" s="494">
        <f t="shared" si="7"/>
        <v>0.16749149908941563</v>
      </c>
      <c r="N17" s="494">
        <f t="shared" si="7"/>
        <v>0.17065035179676058</v>
      </c>
      <c r="P17" s="586"/>
      <c r="Q17" s="586"/>
      <c r="R17" s="586"/>
      <c r="S17" s="587"/>
      <c r="T17" s="586"/>
      <c r="U17" s="586"/>
      <c r="V17" s="587"/>
      <c r="W17" s="561"/>
      <c r="X17" s="496"/>
    </row>
    <row r="18" spans="1:24" s="763" customFormat="1" ht="12.65" customHeight="1">
      <c r="A18" s="760" t="s">
        <v>888</v>
      </c>
      <c r="B18" s="761"/>
      <c r="C18" s="761"/>
      <c r="D18" s="761"/>
      <c r="E18" s="761"/>
      <c r="F18" s="761"/>
      <c r="G18" s="761"/>
      <c r="H18" s="762"/>
      <c r="I18" s="762"/>
      <c r="J18" s="762"/>
      <c r="K18" s="761"/>
      <c r="L18" s="761"/>
      <c r="M18" s="761"/>
      <c r="N18" s="761"/>
      <c r="P18" s="764"/>
      <c r="Q18" s="764"/>
      <c r="R18" s="764"/>
      <c r="S18" s="765"/>
      <c r="T18" s="764"/>
      <c r="U18" s="764"/>
      <c r="V18" s="765"/>
      <c r="W18" s="766"/>
      <c r="X18" s="767"/>
    </row>
    <row r="19" spans="1:24" s="763" customFormat="1" ht="12.65" customHeight="1">
      <c r="A19" s="763" t="s">
        <v>937</v>
      </c>
      <c r="P19" s="764"/>
      <c r="Q19" s="764"/>
      <c r="R19" s="764"/>
      <c r="S19" s="765"/>
      <c r="T19" s="764"/>
      <c r="U19" s="764"/>
      <c r="V19" s="765"/>
      <c r="W19" s="766"/>
      <c r="X19" s="767"/>
    </row>
    <row r="20" spans="1:24" s="763" customFormat="1" ht="12.65" customHeight="1">
      <c r="A20" s="763" t="s">
        <v>938</v>
      </c>
      <c r="L20" s="768"/>
      <c r="M20" s="768"/>
      <c r="P20" s="764"/>
      <c r="Q20" s="764"/>
      <c r="R20" s="764"/>
      <c r="S20" s="765"/>
      <c r="T20" s="764"/>
      <c r="U20" s="764"/>
      <c r="V20" s="765"/>
      <c r="W20" s="766"/>
      <c r="X20" s="767"/>
    </row>
    <row r="21" spans="1:24" s="763" customFormat="1" ht="12.65" customHeight="1">
      <c r="A21" s="769" t="s">
        <v>939</v>
      </c>
      <c r="B21" s="769"/>
      <c r="C21" s="769"/>
      <c r="D21" s="769"/>
      <c r="E21" s="769"/>
      <c r="F21" s="769"/>
      <c r="G21" s="769"/>
      <c r="H21" s="769"/>
      <c r="I21" s="769"/>
      <c r="J21" s="769"/>
      <c r="K21" s="769"/>
      <c r="L21" s="769"/>
      <c r="M21" s="769"/>
      <c r="N21" s="769"/>
      <c r="P21" s="764"/>
      <c r="Q21" s="764"/>
      <c r="R21" s="764"/>
      <c r="S21" s="765"/>
      <c r="T21" s="764"/>
      <c r="U21" s="764"/>
      <c r="V21" s="765"/>
      <c r="W21" s="766"/>
    </row>
    <row r="22" spans="1:24" s="763" customFormat="1" ht="12.65" customHeight="1">
      <c r="A22" s="769" t="s">
        <v>940</v>
      </c>
      <c r="B22" s="769"/>
      <c r="C22" s="769"/>
      <c r="D22" s="769"/>
      <c r="E22" s="769"/>
      <c r="F22" s="769"/>
      <c r="G22" s="769"/>
      <c r="H22" s="769"/>
      <c r="I22" s="769"/>
      <c r="J22" s="769"/>
      <c r="K22" s="769"/>
      <c r="L22" s="769"/>
      <c r="M22" s="769"/>
      <c r="N22" s="769"/>
      <c r="P22" s="764"/>
      <c r="Q22" s="764"/>
      <c r="R22" s="764"/>
      <c r="S22" s="765"/>
      <c r="T22" s="764"/>
      <c r="U22" s="764"/>
      <c r="V22" s="765"/>
      <c r="W22" s="766"/>
    </row>
    <row r="23" spans="1:24" s="763" customFormat="1" ht="12.65" customHeight="1">
      <c r="A23" s="769" t="s">
        <v>941</v>
      </c>
      <c r="B23" s="769"/>
      <c r="C23" s="769"/>
      <c r="D23" s="769"/>
      <c r="E23" s="769"/>
      <c r="F23" s="769"/>
      <c r="G23" s="769"/>
      <c r="H23" s="769"/>
      <c r="I23" s="769"/>
      <c r="J23" s="769"/>
      <c r="K23" s="769"/>
      <c r="L23" s="769"/>
      <c r="M23" s="769"/>
      <c r="N23" s="769"/>
      <c r="P23" s="764"/>
      <c r="Q23" s="764"/>
      <c r="R23" s="764"/>
      <c r="S23" s="765"/>
      <c r="T23" s="764"/>
      <c r="U23" s="764"/>
      <c r="V23" s="765"/>
      <c r="W23" s="766"/>
    </row>
    <row r="24" spans="1:24" s="763" customFormat="1" ht="12.65" customHeight="1">
      <c r="A24" s="769" t="s">
        <v>942</v>
      </c>
      <c r="B24" s="769"/>
      <c r="C24" s="769"/>
      <c r="D24" s="769"/>
      <c r="E24" s="769"/>
      <c r="F24" s="769"/>
      <c r="G24" s="769"/>
      <c r="H24" s="769"/>
      <c r="I24" s="769"/>
      <c r="J24" s="769"/>
      <c r="K24" s="769"/>
      <c r="L24" s="769"/>
      <c r="M24" s="769"/>
      <c r="N24" s="769"/>
      <c r="P24" s="764"/>
      <c r="Q24" s="764"/>
      <c r="R24" s="764"/>
      <c r="S24" s="765"/>
      <c r="T24" s="764"/>
      <c r="U24" s="764"/>
      <c r="V24" s="765"/>
      <c r="W24" s="766"/>
    </row>
    <row r="25" spans="1:24" s="763" customFormat="1" ht="12.65" customHeight="1">
      <c r="A25" s="769" t="s">
        <v>943</v>
      </c>
      <c r="B25" s="769"/>
      <c r="C25" s="769"/>
      <c r="D25" s="769"/>
      <c r="E25" s="769"/>
      <c r="F25" s="769"/>
      <c r="G25" s="769"/>
      <c r="H25" s="769"/>
      <c r="I25" s="769"/>
      <c r="J25" s="769"/>
      <c r="K25" s="769"/>
      <c r="L25" s="769"/>
      <c r="M25" s="769"/>
      <c r="N25" s="769"/>
      <c r="P25" s="764"/>
      <c r="Q25" s="764"/>
      <c r="R25" s="764"/>
      <c r="S25" s="765"/>
      <c r="T25" s="764"/>
      <c r="U25" s="764"/>
      <c r="V25" s="765"/>
      <c r="W25" s="766"/>
    </row>
    <row r="26" spans="1:24" s="763" customFormat="1" ht="12.65" customHeight="1">
      <c r="A26" s="769" t="s">
        <v>944</v>
      </c>
      <c r="B26" s="770"/>
      <c r="C26" s="770"/>
      <c r="D26" s="770"/>
      <c r="E26" s="770"/>
      <c r="F26" s="770"/>
      <c r="G26" s="770"/>
      <c r="H26" s="770"/>
      <c r="I26" s="770"/>
      <c r="J26" s="770"/>
      <c r="K26" s="770"/>
      <c r="L26" s="770"/>
      <c r="M26" s="770"/>
      <c r="N26" s="770"/>
      <c r="P26" s="764"/>
      <c r="Q26" s="764"/>
      <c r="R26" s="764"/>
      <c r="S26" s="765"/>
      <c r="T26" s="764"/>
      <c r="U26" s="764"/>
      <c r="V26" s="765"/>
      <c r="W26" s="766"/>
    </row>
    <row r="27" spans="1:24" s="763" customFormat="1" ht="12.65" customHeight="1">
      <c r="A27" s="769" t="s">
        <v>936</v>
      </c>
      <c r="B27" s="769"/>
      <c r="C27" s="769"/>
      <c r="D27" s="769"/>
      <c r="E27" s="769"/>
      <c r="F27" s="769"/>
      <c r="G27" s="769"/>
      <c r="H27" s="769"/>
      <c r="I27" s="769"/>
      <c r="J27" s="769"/>
      <c r="K27" s="769"/>
      <c r="L27" s="769"/>
      <c r="M27" s="769"/>
      <c r="N27" s="769"/>
      <c r="P27" s="764"/>
      <c r="Q27" s="764"/>
      <c r="R27" s="764"/>
      <c r="S27" s="765"/>
      <c r="T27" s="764"/>
      <c r="U27" s="764"/>
      <c r="V27" s="765"/>
      <c r="W27" s="766"/>
    </row>
    <row r="28" spans="1:24" s="763" customFormat="1" ht="12.65" customHeight="1">
      <c r="A28" s="769" t="s">
        <v>935</v>
      </c>
      <c r="B28" s="769"/>
      <c r="C28" s="769"/>
      <c r="D28" s="769"/>
      <c r="E28" s="769"/>
      <c r="F28" s="769"/>
      <c r="G28" s="769"/>
      <c r="H28" s="769"/>
      <c r="I28" s="769"/>
      <c r="J28" s="769"/>
      <c r="K28" s="769"/>
      <c r="L28" s="769"/>
      <c r="M28" s="769"/>
      <c r="N28" s="769"/>
      <c r="P28" s="764"/>
      <c r="Q28" s="764"/>
      <c r="R28" s="764"/>
      <c r="S28" s="765"/>
      <c r="T28" s="764"/>
      <c r="U28" s="764"/>
      <c r="V28" s="765"/>
      <c r="W28" s="766"/>
    </row>
    <row r="29" spans="1:24" s="763" customFormat="1" ht="12.65" customHeight="1">
      <c r="A29" s="771" t="s">
        <v>903</v>
      </c>
      <c r="B29" s="771"/>
      <c r="C29" s="771"/>
      <c r="D29" s="771"/>
      <c r="E29" s="771"/>
      <c r="F29" s="771"/>
      <c r="G29" s="771"/>
      <c r="H29" s="771"/>
      <c r="I29" s="771"/>
      <c r="J29" s="771"/>
      <c r="K29" s="771"/>
      <c r="L29" s="771"/>
      <c r="M29" s="771"/>
      <c r="N29" s="771"/>
      <c r="P29" s="764"/>
      <c r="Q29" s="764"/>
      <c r="R29" s="764"/>
      <c r="S29" s="765"/>
      <c r="T29" s="764"/>
      <c r="U29" s="764"/>
      <c r="V29" s="765"/>
      <c r="W29" s="766"/>
    </row>
    <row r="30" spans="1:24" s="763" customFormat="1" ht="12.65" customHeight="1">
      <c r="A30" s="769" t="s">
        <v>945</v>
      </c>
      <c r="B30" s="772"/>
      <c r="C30" s="772"/>
      <c r="D30" s="772"/>
      <c r="E30" s="772"/>
      <c r="F30" s="772"/>
      <c r="G30" s="772"/>
      <c r="H30" s="772"/>
      <c r="I30" s="772"/>
      <c r="J30" s="772"/>
      <c r="K30" s="772"/>
      <c r="L30" s="772"/>
      <c r="M30" s="772"/>
      <c r="N30" s="772"/>
      <c r="P30" s="764"/>
      <c r="Q30" s="764"/>
      <c r="R30" s="764"/>
      <c r="S30" s="765"/>
      <c r="T30" s="764"/>
      <c r="U30" s="764"/>
      <c r="V30" s="765"/>
      <c r="W30" s="766"/>
    </row>
    <row r="31" spans="1:24" s="763" customFormat="1" ht="12.65" customHeight="1">
      <c r="A31" s="765" t="s">
        <v>946</v>
      </c>
      <c r="P31" s="764"/>
      <c r="Q31" s="764"/>
      <c r="R31" s="764"/>
      <c r="S31" s="765"/>
      <c r="T31" s="764"/>
      <c r="U31" s="764"/>
      <c r="V31" s="765"/>
      <c r="W31" s="766"/>
    </row>
    <row r="32" spans="1:24" s="763" customFormat="1" ht="12.65" customHeight="1">
      <c r="A32" s="765" t="s">
        <v>947</v>
      </c>
      <c r="P32" s="764"/>
      <c r="Q32" s="764"/>
      <c r="R32" s="764"/>
      <c r="S32" s="765"/>
      <c r="T32" s="764"/>
      <c r="U32" s="764"/>
      <c r="V32" s="765"/>
      <c r="W32" s="766"/>
    </row>
    <row r="33" spans="1:23" s="763" customFormat="1" ht="12.65" customHeight="1">
      <c r="A33" s="746" t="s">
        <v>955</v>
      </c>
      <c r="P33" s="764"/>
      <c r="Q33" s="764"/>
      <c r="R33" s="764"/>
      <c r="S33" s="765"/>
      <c r="T33" s="764"/>
      <c r="U33" s="764"/>
      <c r="V33" s="765"/>
      <c r="W33" s="766"/>
    </row>
    <row r="34" spans="1:23" s="667" customFormat="1" ht="12.75" customHeight="1">
      <c r="A34" s="745"/>
      <c r="B34" s="668"/>
      <c r="C34" s="668"/>
      <c r="D34" s="668"/>
      <c r="E34" s="669"/>
    </row>
    <row r="35" spans="1:23" s="667" customFormat="1" ht="12.75" customHeight="1">
      <c r="A35" s="745"/>
      <c r="B35" s="668"/>
      <c r="C35" s="668"/>
      <c r="D35" s="668"/>
      <c r="E35" s="669"/>
    </row>
    <row r="45" spans="1:23">
      <c r="K45" s="27" t="s">
        <v>902</v>
      </c>
    </row>
    <row r="56" spans="1:14">
      <c r="A56" s="35"/>
      <c r="B56" s="35"/>
      <c r="C56" s="35"/>
      <c r="D56" s="35"/>
      <c r="E56" s="35"/>
      <c r="F56" s="35"/>
      <c r="G56" s="35"/>
      <c r="H56" s="35"/>
      <c r="I56" s="35"/>
      <c r="J56" s="35"/>
      <c r="K56" s="35"/>
      <c r="L56" s="35"/>
      <c r="M56" s="35"/>
      <c r="N56" s="35"/>
    </row>
    <row r="59" spans="1:14">
      <c r="A59" s="745" t="s">
        <v>927</v>
      </c>
    </row>
  </sheetData>
  <mergeCells count="2">
    <mergeCell ref="B4:J4"/>
    <mergeCell ref="L4:M4"/>
  </mergeCells>
  <pageMargins left="0.4" right="0.25" top="0.5" bottom="0.25" header="0.25" footer="0.25"/>
  <pageSetup scale="68" orientation="landscape" cellComments="asDisplayed" r:id="rId1"/>
  <headerFooter scaleWithDoc="0">
    <oddHeader>&amp;R&amp;P</oddHeader>
  </headerFooter>
  <rowBreaks count="1" manualBreakCount="1">
    <brk id="57" max="16383" man="1"/>
  </rowBreaks>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ransitionEvaluation="1">
    <tabColor rgb="FFC00000"/>
    <pageSetUpPr fitToPage="1"/>
  </sheetPr>
  <dimension ref="A1:AC56"/>
  <sheetViews>
    <sheetView defaultGridColor="0" colorId="22" zoomScale="90" zoomScaleNormal="90" workbookViewId="0">
      <selection activeCell="N14" sqref="N14"/>
    </sheetView>
  </sheetViews>
  <sheetFormatPr defaultColWidth="15.1796875" defaultRowHeight="15.5"/>
  <cols>
    <col min="1" max="1" width="12.7265625" style="27" customWidth="1"/>
    <col min="2" max="3" width="16.7265625" style="27" customWidth="1"/>
    <col min="4" max="4" width="14.7265625" style="27" hidden="1" customWidth="1"/>
    <col min="5" max="5" width="17.7265625" style="27" hidden="1" customWidth="1"/>
    <col min="6" max="6" width="16.7265625" style="27" hidden="1" customWidth="1"/>
    <col min="7" max="7" width="14.7265625" style="27" hidden="1" customWidth="1"/>
    <col min="8" max="9" width="14.7265625" style="27" customWidth="1"/>
    <col min="10" max="10" width="13.7265625" style="27" customWidth="1"/>
    <col min="11" max="11" width="14.7265625" style="27" customWidth="1"/>
    <col min="12" max="12" width="13.7265625" style="27" customWidth="1"/>
    <col min="13" max="14" width="16.7265625" style="27" customWidth="1"/>
    <col min="15" max="15" width="17.7265625" style="27" customWidth="1"/>
    <col min="16" max="16" width="16.7265625" style="27" customWidth="1"/>
    <col min="17" max="17" width="8.7265625" style="27" customWidth="1"/>
    <col min="18" max="18" width="4.453125" style="586" bestFit="1" customWidth="1"/>
    <col min="19" max="20" width="11.54296875" style="586" customWidth="1"/>
    <col min="21" max="21" width="7.7265625" style="587" customWidth="1"/>
    <col min="22" max="22" width="1.7265625" style="586" customWidth="1"/>
    <col min="23" max="23" width="17.81640625" style="586" bestFit="1" customWidth="1"/>
    <col min="24" max="24" width="7.7265625" style="587" customWidth="1"/>
    <col min="25" max="25" width="7.7265625" style="561" customWidth="1"/>
    <col min="26" max="16384" width="15.1796875" style="27"/>
  </cols>
  <sheetData>
    <row r="1" spans="1:29" ht="17.149999999999999" customHeight="1">
      <c r="A1" s="342" t="s">
        <v>173</v>
      </c>
      <c r="B1" s="773"/>
      <c r="C1" s="773"/>
      <c r="D1" s="773"/>
      <c r="E1" s="774"/>
      <c r="F1" s="774"/>
      <c r="Q1" s="811" t="s">
        <v>954</v>
      </c>
    </row>
    <row r="2" spans="1:29" ht="15" customHeight="1">
      <c r="A2" s="28" t="s">
        <v>42</v>
      </c>
      <c r="F2" s="774"/>
    </row>
    <row r="3" spans="1:29" ht="6" customHeight="1" thickBot="1">
      <c r="A3" s="200"/>
      <c r="B3" s="29"/>
      <c r="C3" s="29"/>
      <c r="D3" s="29"/>
      <c r="E3" s="29"/>
      <c r="F3" s="29"/>
      <c r="G3" s="29"/>
      <c r="H3" s="29"/>
      <c r="I3" s="29"/>
      <c r="J3" s="29"/>
      <c r="K3" s="29"/>
      <c r="L3" s="29"/>
      <c r="M3" s="29"/>
      <c r="N3" s="29"/>
      <c r="O3" s="29"/>
      <c r="P3" s="29"/>
      <c r="Q3" s="30"/>
    </row>
    <row r="4" spans="1:29" ht="15" customHeight="1">
      <c r="A4" s="34"/>
      <c r="B4" s="835" t="s">
        <v>43</v>
      </c>
      <c r="C4" s="835"/>
      <c r="D4" s="835"/>
      <c r="E4" s="836"/>
      <c r="F4" s="836"/>
      <c r="G4" s="836"/>
      <c r="H4" s="836"/>
      <c r="I4" s="836"/>
      <c r="J4" s="836"/>
      <c r="K4" s="836"/>
      <c r="L4" s="836"/>
      <c r="M4" s="34"/>
      <c r="N4" s="835" t="s">
        <v>44</v>
      </c>
      <c r="O4" s="835"/>
      <c r="P4" s="34"/>
      <c r="Q4" s="30"/>
    </row>
    <row r="5" spans="1:29" ht="39" customHeight="1" thickBot="1">
      <c r="A5" s="837" t="s">
        <v>898</v>
      </c>
      <c r="B5" s="837" t="s">
        <v>893</v>
      </c>
      <c r="C5" s="581" t="s">
        <v>977</v>
      </c>
      <c r="D5" s="581"/>
      <c r="E5" s="581"/>
      <c r="F5" s="581"/>
      <c r="G5" s="581"/>
      <c r="H5" s="837" t="s">
        <v>891</v>
      </c>
      <c r="I5" s="837" t="s">
        <v>892</v>
      </c>
      <c r="J5" s="837" t="s">
        <v>890</v>
      </c>
      <c r="K5" s="837" t="s">
        <v>889</v>
      </c>
      <c r="L5" s="837" t="s">
        <v>978</v>
      </c>
      <c r="M5" s="581" t="s">
        <v>894</v>
      </c>
      <c r="N5" s="837" t="s">
        <v>895</v>
      </c>
      <c r="O5" s="837" t="s">
        <v>896</v>
      </c>
      <c r="P5" s="837" t="s">
        <v>897</v>
      </c>
      <c r="Q5" s="30"/>
      <c r="Y5" s="585"/>
      <c r="Z5" s="27" t="s">
        <v>4</v>
      </c>
      <c r="AA5" s="27" t="s">
        <v>899</v>
      </c>
      <c r="AB5" s="27" t="s">
        <v>900</v>
      </c>
      <c r="AC5" s="27" t="s">
        <v>901</v>
      </c>
    </row>
    <row r="6" spans="1:29" hidden="1">
      <c r="A6" s="838">
        <v>2011</v>
      </c>
      <c r="B6" s="830">
        <v>3012379000</v>
      </c>
      <c r="C6" s="831">
        <f>SUM('4.1'!D6:G6)</f>
        <v>477329000</v>
      </c>
      <c r="D6" s="830"/>
      <c r="E6" s="832"/>
      <c r="F6" s="832"/>
      <c r="G6" s="832"/>
      <c r="H6" s="832" t="s">
        <v>45</v>
      </c>
      <c r="I6" s="832" t="s">
        <v>45</v>
      </c>
      <c r="J6" s="830"/>
      <c r="K6" s="830"/>
      <c r="L6" s="833"/>
      <c r="M6" s="834">
        <f t="shared" ref="M6:M15" si="0">SUM(B6:C6,H6:L6)</f>
        <v>3489708000</v>
      </c>
      <c r="N6" s="830">
        <v>1010205000</v>
      </c>
      <c r="O6" s="830">
        <v>204027000</v>
      </c>
      <c r="P6" s="834">
        <v>4762261000</v>
      </c>
      <c r="Q6" s="33"/>
      <c r="U6" s="588"/>
      <c r="X6" s="588"/>
      <c r="Y6" s="562"/>
      <c r="Z6" s="192"/>
    </row>
    <row r="7" spans="1:29" ht="21" customHeight="1">
      <c r="A7" s="838">
        <v>2012</v>
      </c>
      <c r="B7" s="830">
        <v>3121503000</v>
      </c>
      <c r="C7" s="831">
        <f>SUM('4.1'!D7:G7)</f>
        <v>503070000</v>
      </c>
      <c r="D7" s="830"/>
      <c r="E7" s="832"/>
      <c r="F7" s="832"/>
      <c r="G7" s="832"/>
      <c r="H7" s="832" t="s">
        <v>45</v>
      </c>
      <c r="I7" s="832" t="s">
        <v>45</v>
      </c>
      <c r="J7" s="830"/>
      <c r="K7" s="830"/>
      <c r="L7" s="833"/>
      <c r="M7" s="834">
        <f t="shared" si="0"/>
        <v>3624573000</v>
      </c>
      <c r="N7" s="830">
        <v>1052522000</v>
      </c>
      <c r="O7" s="830">
        <v>214098000</v>
      </c>
      <c r="P7" s="834">
        <f t="shared" ref="P7:P13" si="1">SUM(M7:O7)</f>
        <v>4891193000</v>
      </c>
      <c r="Q7" s="33"/>
      <c r="R7" s="592"/>
      <c r="U7" s="588"/>
      <c r="X7" s="588"/>
      <c r="Y7" s="562"/>
      <c r="Z7" s="563">
        <f t="shared" ref="Z7:Z16" si="2">B7/B6-1</f>
        <v>3.6225189459891949E-2</v>
      </c>
      <c r="AA7" s="563">
        <f t="shared" ref="AA7:AB16" si="3">M7/M6-1</f>
        <v>3.8646499936384471E-2</v>
      </c>
      <c r="AB7" s="563">
        <f t="shared" si="3"/>
        <v>4.1889517474176019E-2</v>
      </c>
      <c r="AC7" s="563">
        <f t="shared" ref="AC7:AC15" si="4">P7/P6-1</f>
        <v>2.7073694616905675E-2</v>
      </c>
    </row>
    <row r="8" spans="1:29" ht="15" customHeight="1">
      <c r="A8" s="838">
        <v>2013</v>
      </c>
      <c r="B8" s="820">
        <v>3219798000</v>
      </c>
      <c r="C8" s="826">
        <f>SUM('4.1'!D8:G8)</f>
        <v>521180000</v>
      </c>
      <c r="D8" s="820"/>
      <c r="E8" s="822"/>
      <c r="F8" s="822"/>
      <c r="G8" s="822"/>
      <c r="H8" s="822" t="s">
        <v>45</v>
      </c>
      <c r="I8" s="822" t="s">
        <v>45</v>
      </c>
      <c r="J8" s="820"/>
      <c r="K8" s="820"/>
      <c r="L8" s="821"/>
      <c r="M8" s="823">
        <f t="shared" si="0"/>
        <v>3740978000</v>
      </c>
      <c r="N8" s="820">
        <v>1089743000</v>
      </c>
      <c r="O8" s="820">
        <v>221396000</v>
      </c>
      <c r="P8" s="823">
        <f t="shared" si="1"/>
        <v>5052117000</v>
      </c>
      <c r="Q8" s="33"/>
      <c r="R8" s="592"/>
      <c r="U8" s="588"/>
      <c r="X8" s="588"/>
      <c r="Y8" s="562"/>
      <c r="Z8" s="563">
        <f t="shared" si="2"/>
        <v>3.1489638164691858E-2</v>
      </c>
      <c r="AA8" s="563">
        <f t="shared" si="3"/>
        <v>3.2115507123183784E-2</v>
      </c>
      <c r="AB8" s="563">
        <f t="shared" si="3"/>
        <v>3.5363631354023983E-2</v>
      </c>
      <c r="AC8" s="563">
        <f t="shared" si="4"/>
        <v>3.2900766745454613E-2</v>
      </c>
    </row>
    <row r="9" spans="1:29" ht="15" customHeight="1">
      <c r="A9" s="838">
        <v>2014</v>
      </c>
      <c r="B9" s="827">
        <v>3066456000</v>
      </c>
      <c r="C9" s="826">
        <f>SUM('4.1'!D9:G9)</f>
        <v>788007000</v>
      </c>
      <c r="D9" s="827"/>
      <c r="E9" s="822"/>
      <c r="F9" s="822"/>
      <c r="G9" s="822"/>
      <c r="H9" s="822">
        <v>203933000</v>
      </c>
      <c r="I9" s="822">
        <v>107424000</v>
      </c>
      <c r="J9" s="827"/>
      <c r="K9" s="827"/>
      <c r="L9" s="821"/>
      <c r="M9" s="823">
        <f t="shared" si="0"/>
        <v>4165820000</v>
      </c>
      <c r="N9" s="827">
        <v>1094794000</v>
      </c>
      <c r="O9" s="827">
        <v>334030000</v>
      </c>
      <c r="P9" s="823">
        <f t="shared" si="1"/>
        <v>5594644000</v>
      </c>
      <c r="Q9" s="33"/>
      <c r="R9" s="592"/>
      <c r="U9" s="588"/>
      <c r="X9" s="588"/>
      <c r="Y9" s="562"/>
      <c r="Z9" s="563">
        <f t="shared" si="2"/>
        <v>-4.7624726768573655E-2</v>
      </c>
      <c r="AA9" s="563">
        <f t="shared" si="3"/>
        <v>0.11356442085465357</v>
      </c>
      <c r="AB9" s="563">
        <f t="shared" si="3"/>
        <v>4.6350378024910821E-3</v>
      </c>
      <c r="AC9" s="563">
        <f t="shared" si="4"/>
        <v>0.10738607201693862</v>
      </c>
    </row>
    <row r="10" spans="1:29" ht="15" customHeight="1">
      <c r="A10" s="838">
        <v>2015</v>
      </c>
      <c r="B10" s="827">
        <v>3235444000</v>
      </c>
      <c r="C10" s="826">
        <f>SUM('4.1'!D10:G10)</f>
        <v>994855000</v>
      </c>
      <c r="D10" s="827"/>
      <c r="E10" s="822"/>
      <c r="F10" s="822"/>
      <c r="G10" s="822"/>
      <c r="H10" s="822">
        <v>246324000</v>
      </c>
      <c r="I10" s="822">
        <v>129918000</v>
      </c>
      <c r="J10" s="827"/>
      <c r="K10" s="827"/>
      <c r="L10" s="821"/>
      <c r="M10" s="823">
        <f t="shared" si="0"/>
        <v>4606541000</v>
      </c>
      <c r="N10" s="827">
        <v>1143330000</v>
      </c>
      <c r="O10" s="827">
        <v>352406000</v>
      </c>
      <c r="P10" s="823">
        <f t="shared" si="1"/>
        <v>6102277000</v>
      </c>
      <c r="Q10" s="33"/>
      <c r="R10" s="592"/>
      <c r="U10" s="588"/>
      <c r="X10" s="588"/>
      <c r="Y10" s="562"/>
      <c r="Z10" s="563">
        <f t="shared" si="2"/>
        <v>5.5108568327737251E-2</v>
      </c>
      <c r="AA10" s="563">
        <f t="shared" si="3"/>
        <v>0.10579453745000977</v>
      </c>
      <c r="AB10" s="563">
        <f t="shared" si="3"/>
        <v>4.4333454512903714E-2</v>
      </c>
      <c r="AC10" s="563">
        <f t="shared" si="4"/>
        <v>9.0735532055301382E-2</v>
      </c>
    </row>
    <row r="11" spans="1:29" ht="15" customHeight="1">
      <c r="A11" s="838">
        <v>2016</v>
      </c>
      <c r="B11" s="827">
        <v>3295853000</v>
      </c>
      <c r="C11" s="826">
        <f>SUM('4.1'!D11:G11)</f>
        <v>1000563000</v>
      </c>
      <c r="D11" s="827"/>
      <c r="E11" s="822"/>
      <c r="F11" s="822"/>
      <c r="G11" s="822"/>
      <c r="H11" s="822">
        <v>237314000</v>
      </c>
      <c r="I11" s="822">
        <v>126537000</v>
      </c>
      <c r="J11" s="827"/>
      <c r="K11" s="827"/>
      <c r="L11" s="821"/>
      <c r="M11" s="823">
        <f t="shared" si="0"/>
        <v>4660267000</v>
      </c>
      <c r="N11" s="827">
        <v>1188704000</v>
      </c>
      <c r="O11" s="827">
        <v>355547000</v>
      </c>
      <c r="P11" s="823">
        <f t="shared" si="1"/>
        <v>6204518000</v>
      </c>
      <c r="Q11" s="33"/>
      <c r="R11" s="592"/>
      <c r="U11" s="588"/>
      <c r="X11" s="588"/>
      <c r="Y11" s="562"/>
      <c r="Z11" s="563">
        <f t="shared" si="2"/>
        <v>1.8671007750404645E-2</v>
      </c>
      <c r="AA11" s="563">
        <f t="shared" si="3"/>
        <v>1.1662980965544412E-2</v>
      </c>
      <c r="AB11" s="563">
        <f t="shared" si="3"/>
        <v>3.9685829987842425E-2</v>
      </c>
      <c r="AC11" s="563">
        <f t="shared" si="4"/>
        <v>1.6754565549875977E-2</v>
      </c>
    </row>
    <row r="12" spans="1:29" ht="15" customHeight="1">
      <c r="A12" s="838">
        <v>2017</v>
      </c>
      <c r="B12" s="827">
        <f>ROUND(3357064365.72,-3)+3354561000*0</f>
        <v>3357064000</v>
      </c>
      <c r="C12" s="826">
        <f>SUM('4.1'!D12:G12)</f>
        <v>1020359000</v>
      </c>
      <c r="D12" s="827"/>
      <c r="E12" s="822"/>
      <c r="F12" s="822"/>
      <c r="G12" s="822"/>
      <c r="H12" s="822">
        <v>251601000</v>
      </c>
      <c r="I12" s="822">
        <v>131472000</v>
      </c>
      <c r="J12" s="827"/>
      <c r="K12" s="827"/>
      <c r="L12" s="821"/>
      <c r="M12" s="823">
        <f t="shared" si="0"/>
        <v>4760496000</v>
      </c>
      <c r="N12" s="827">
        <v>1213929000</v>
      </c>
      <c r="O12" s="827">
        <v>365878000</v>
      </c>
      <c r="P12" s="823">
        <f t="shared" si="1"/>
        <v>6340303000</v>
      </c>
      <c r="Q12" s="33"/>
      <c r="R12" s="595"/>
      <c r="S12" s="596" t="s">
        <v>908</v>
      </c>
      <c r="T12" s="597"/>
      <c r="U12" s="598"/>
      <c r="V12" s="594"/>
      <c r="W12" s="593"/>
      <c r="Y12" s="562"/>
      <c r="Z12" s="563">
        <f t="shared" si="2"/>
        <v>1.8572126851531312E-2</v>
      </c>
      <c r="AA12" s="563">
        <f t="shared" si="3"/>
        <v>2.1507136822847217E-2</v>
      </c>
      <c r="AB12" s="563">
        <f t="shared" si="3"/>
        <v>2.1220589818827795E-2</v>
      </c>
      <c r="AC12" s="563">
        <f t="shared" si="4"/>
        <v>2.1884858743257629E-2</v>
      </c>
    </row>
    <row r="13" spans="1:29" ht="15" customHeight="1">
      <c r="A13" s="838">
        <v>2018</v>
      </c>
      <c r="B13" s="824">
        <f>ROUND(3461771752.8,-3)+3458249000*0</f>
        <v>3461772000</v>
      </c>
      <c r="C13" s="826">
        <f>SUM('4.1'!D13:G13)</f>
        <v>1043806000</v>
      </c>
      <c r="D13" s="824"/>
      <c r="E13" s="822"/>
      <c r="F13" s="822"/>
      <c r="G13" s="822"/>
      <c r="H13" s="822">
        <v>256443000</v>
      </c>
      <c r="I13" s="822">
        <v>137059000</v>
      </c>
      <c r="J13" s="824"/>
      <c r="K13" s="824"/>
      <c r="L13" s="825"/>
      <c r="M13" s="823">
        <f t="shared" si="0"/>
        <v>4899080000</v>
      </c>
      <c r="N13" s="827">
        <v>1243480000</v>
      </c>
      <c r="O13" s="824">
        <v>376561000</v>
      </c>
      <c r="P13" s="823">
        <f t="shared" si="1"/>
        <v>6519121000</v>
      </c>
      <c r="Q13" s="33"/>
      <c r="R13" s="599" t="s">
        <v>907</v>
      </c>
      <c r="S13" s="599" t="s">
        <v>905</v>
      </c>
      <c r="T13" s="599" t="s">
        <v>906</v>
      </c>
      <c r="U13" s="600" t="s">
        <v>904</v>
      </c>
      <c r="V13" s="591"/>
      <c r="W13" s="591" t="s">
        <v>909</v>
      </c>
      <c r="X13" s="590" t="s">
        <v>904</v>
      </c>
      <c r="Y13" s="562"/>
      <c r="Z13" s="563">
        <f t="shared" si="2"/>
        <v>3.1190349662681527E-2</v>
      </c>
      <c r="AA13" s="563">
        <f t="shared" si="3"/>
        <v>2.9111252272872479E-2</v>
      </c>
      <c r="AB13" s="563">
        <f t="shared" si="3"/>
        <v>2.4343268840269827E-2</v>
      </c>
      <c r="AC13" s="563">
        <f t="shared" si="4"/>
        <v>2.8203383970766049E-2</v>
      </c>
    </row>
    <row r="14" spans="1:29" ht="15" customHeight="1">
      <c r="A14" s="838">
        <v>2019</v>
      </c>
      <c r="B14" s="824">
        <v>3580355000</v>
      </c>
      <c r="C14" s="826">
        <f>SUM('4.1'!D14:G14)</f>
        <v>1087842000</v>
      </c>
      <c r="D14" s="824"/>
      <c r="E14" s="828"/>
      <c r="F14" s="828"/>
      <c r="G14" s="828"/>
      <c r="H14" s="828">
        <f>ROUND(263033838.77,-3)</f>
        <v>263034000</v>
      </c>
      <c r="I14" s="828">
        <f>ROUND(139641901.73,-3)</f>
        <v>139642000</v>
      </c>
      <c r="J14" s="824">
        <v>20358000</v>
      </c>
      <c r="K14" s="824"/>
      <c r="L14" s="819"/>
      <c r="M14" s="823">
        <f t="shared" si="0"/>
        <v>5091231000</v>
      </c>
      <c r="N14" s="827">
        <v>1292804000</v>
      </c>
      <c r="O14" s="824">
        <v>392605000</v>
      </c>
      <c r="P14" s="823">
        <f>SUM(M14:O14)</f>
        <v>6776640000</v>
      </c>
      <c r="Q14" s="33"/>
      <c r="R14" s="601">
        <v>2019</v>
      </c>
      <c r="S14" s="595">
        <f>P14</f>
        <v>6776640000</v>
      </c>
      <c r="T14" s="595">
        <v>6764132129.4500237</v>
      </c>
      <c r="U14" s="602">
        <f>P14/T14-1</f>
        <v>1.8491463961087806E-3</v>
      </c>
      <c r="W14" s="586">
        <v>6409139000</v>
      </c>
      <c r="X14" s="589">
        <f>W14/T14-1</f>
        <v>-5.2481696492065355E-2</v>
      </c>
      <c r="Y14" s="562"/>
      <c r="Z14" s="563">
        <f t="shared" si="2"/>
        <v>3.4255000040441796E-2</v>
      </c>
      <c r="AA14" s="563">
        <f t="shared" si="3"/>
        <v>3.9221853899099379E-2</v>
      </c>
      <c r="AB14" s="563">
        <f t="shared" si="3"/>
        <v>3.9666098369093294E-2</v>
      </c>
      <c r="AC14" s="563">
        <f t="shared" si="4"/>
        <v>3.9502104654906667E-2</v>
      </c>
    </row>
    <row r="15" spans="1:29" ht="15" customHeight="1">
      <c r="A15" s="838">
        <v>2020</v>
      </c>
      <c r="B15" s="824">
        <f>ROUND(2683258.31+208033441.59+53040341.29+3169525635.96+-34441737.4+2478935.49+173593188.29+-5477492.26+540921001.82+-406044118.99+132233.73+2033538.76+338923.1,-3)</f>
        <v>3706817000</v>
      </c>
      <c r="C15" s="826">
        <f>SUM('4.1'!D15:G15)</f>
        <v>1123440000</v>
      </c>
      <c r="D15" s="824"/>
      <c r="E15" s="828"/>
      <c r="F15" s="828"/>
      <c r="G15" s="828"/>
      <c r="H15" s="828">
        <f>ROUND(268751277.28,-3)</f>
        <v>268751000</v>
      </c>
      <c r="I15" s="828">
        <f>ROUND(142869323.15,-3)</f>
        <v>142869000</v>
      </c>
      <c r="J15" s="824">
        <f>ROUND(11366680.58+11364295.82,-3)</f>
        <v>22731000</v>
      </c>
      <c r="K15" s="824"/>
      <c r="L15" s="819"/>
      <c r="M15" s="823">
        <f t="shared" si="0"/>
        <v>5264608000</v>
      </c>
      <c r="N15" s="827">
        <f>ROUND(1358988340.78,-3)</f>
        <v>1358988000</v>
      </c>
      <c r="O15" s="824">
        <f>ROUND(406044118.99,-3)</f>
        <v>406044000</v>
      </c>
      <c r="P15" s="823">
        <f>SUM(M15:O15)</f>
        <v>7029640000</v>
      </c>
      <c r="Q15" s="33"/>
      <c r="R15" s="601">
        <v>2020</v>
      </c>
      <c r="S15" s="595">
        <f t="shared" ref="S15:S16" si="5">P15</f>
        <v>7029640000</v>
      </c>
      <c r="T15" s="595">
        <v>6965941756.3400993</v>
      </c>
      <c r="U15" s="602">
        <f t="shared" ref="U15:U16" si="6">P15/T15-1</f>
        <v>9.1442400594183848E-3</v>
      </c>
      <c r="W15" s="586">
        <v>6921512000</v>
      </c>
      <c r="X15" s="589">
        <f>W15/T15-1</f>
        <v>-6.3781406583913736E-3</v>
      </c>
      <c r="Y15" s="562"/>
      <c r="Z15" s="563">
        <f t="shared" si="2"/>
        <v>3.5321078496405978E-2</v>
      </c>
      <c r="AA15" s="563">
        <f t="shared" si="3"/>
        <v>3.4054043118452171E-2</v>
      </c>
      <c r="AB15" s="563">
        <f t="shared" si="3"/>
        <v>5.1194148532956341E-2</v>
      </c>
      <c r="AC15" s="563">
        <f t="shared" si="4"/>
        <v>3.7334136091042192E-2</v>
      </c>
    </row>
    <row r="16" spans="1:29" ht="15" customHeight="1">
      <c r="A16" s="838">
        <v>2021</v>
      </c>
      <c r="B16" s="824">
        <f>ROUND(4166181778.91,-3)</f>
        <v>4166182000</v>
      </c>
      <c r="C16" s="825">
        <f>ROUND(883351323.76+381740948.12+415199.89+627216.85,-3)</f>
        <v>1266135000</v>
      </c>
      <c r="D16" s="828"/>
      <c r="E16" s="828"/>
      <c r="F16" s="828"/>
      <c r="G16" s="828"/>
      <c r="H16" s="828">
        <f>ROUND(286169787.36,-3)</f>
        <v>286170000</v>
      </c>
      <c r="I16" s="828">
        <f>ROUND(168804319.76,-3)</f>
        <v>168804000</v>
      </c>
      <c r="J16" s="824">
        <f>ROUND(11485184.74+11483982.06,-3)</f>
        <v>22969000</v>
      </c>
      <c r="K16" s="824">
        <f>ROUND(89337245.13,-3)</f>
        <v>89337000</v>
      </c>
      <c r="L16" s="826">
        <f>ROUND(2371114.51+318246.64,-3)</f>
        <v>2689000</v>
      </c>
      <c r="M16" s="823">
        <f>SUM(B16:C16,H16:L16)</f>
        <v>6002286000</v>
      </c>
      <c r="N16" s="827">
        <f>ROUND(1477201024.21,-3)</f>
        <v>1477201000</v>
      </c>
      <c r="O16" s="824">
        <f>ROUND(458362738.92,-3)</f>
        <v>458363000</v>
      </c>
      <c r="P16" s="823">
        <f>SUM(M16:O16)</f>
        <v>7937850000</v>
      </c>
      <c r="Q16" s="33"/>
      <c r="R16" s="601">
        <v>2021</v>
      </c>
      <c r="S16" s="595">
        <f t="shared" si="5"/>
        <v>7937850000</v>
      </c>
      <c r="T16" s="595">
        <v>7924865481.6600456</v>
      </c>
      <c r="U16" s="602">
        <f t="shared" si="6"/>
        <v>1.6384528380959384E-3</v>
      </c>
      <c r="X16" s="589"/>
      <c r="Y16" s="562"/>
      <c r="Z16" s="563">
        <f t="shared" si="2"/>
        <v>0.12392438040507536</v>
      </c>
      <c r="AA16" s="563">
        <f t="shared" si="3"/>
        <v>0.14012021407861708</v>
      </c>
      <c r="AB16" s="563">
        <f t="shared" si="3"/>
        <v>8.6986051385295582E-2</v>
      </c>
      <c r="AC16" s="563">
        <f>P16/P15-1</f>
        <v>0.12919722773854714</v>
      </c>
    </row>
    <row r="17" spans="1:26" s="495" customFormat="1" ht="6" customHeight="1">
      <c r="A17" s="839"/>
      <c r="B17" s="494">
        <f>B16/B14-1</f>
        <v>0.16362260166938758</v>
      </c>
      <c r="C17" s="494"/>
      <c r="D17" s="494" t="e">
        <f t="shared" ref="D17:P17" si="7">D16/D14-1</f>
        <v>#DIV/0!</v>
      </c>
      <c r="E17" s="494" t="e">
        <f t="shared" si="7"/>
        <v>#DIV/0!</v>
      </c>
      <c r="F17" s="494" t="e">
        <f t="shared" si="7"/>
        <v>#DIV/0!</v>
      </c>
      <c r="G17" s="494" t="e">
        <f t="shared" si="7"/>
        <v>#DIV/0!</v>
      </c>
      <c r="H17" s="494">
        <f t="shared" si="7"/>
        <v>8.7958210725609609E-2</v>
      </c>
      <c r="I17" s="494">
        <f t="shared" si="7"/>
        <v>0.20883401841852733</v>
      </c>
      <c r="J17" s="494">
        <f t="shared" si="7"/>
        <v>0.12825424894390403</v>
      </c>
      <c r="K17" s="494" t="e">
        <f t="shared" si="7"/>
        <v>#DIV/0!</v>
      </c>
      <c r="L17" s="494" t="e">
        <f t="shared" si="7"/>
        <v>#DIV/0!</v>
      </c>
      <c r="M17" s="494">
        <f t="shared" si="7"/>
        <v>0.17894591700906903</v>
      </c>
      <c r="N17" s="494">
        <f t="shared" si="7"/>
        <v>0.14263337675316601</v>
      </c>
      <c r="O17" s="494">
        <f t="shared" si="7"/>
        <v>0.16749149908941563</v>
      </c>
      <c r="P17" s="494">
        <f t="shared" si="7"/>
        <v>0.17135483071256541</v>
      </c>
      <c r="R17" s="586"/>
      <c r="S17" s="586"/>
      <c r="T17" s="586"/>
      <c r="U17" s="587"/>
      <c r="V17" s="586"/>
      <c r="W17" s="586"/>
      <c r="X17" s="587"/>
      <c r="Y17" s="561"/>
      <c r="Z17" s="496"/>
    </row>
    <row r="18" spans="1:26" s="763" customFormat="1" ht="12.65" customHeight="1">
      <c r="A18" s="760" t="s">
        <v>888</v>
      </c>
      <c r="B18" s="761"/>
      <c r="C18" s="761"/>
      <c r="D18" s="761"/>
      <c r="E18" s="761"/>
      <c r="F18" s="761"/>
      <c r="G18" s="761"/>
      <c r="H18" s="761"/>
      <c r="I18" s="762"/>
      <c r="J18" s="762"/>
      <c r="K18" s="762"/>
      <c r="L18" s="762"/>
      <c r="M18" s="761"/>
      <c r="N18" s="761"/>
      <c r="O18" s="761"/>
      <c r="P18" s="761"/>
      <c r="R18" s="764"/>
      <c r="S18" s="764"/>
      <c r="T18" s="764"/>
      <c r="U18" s="765"/>
      <c r="V18" s="764"/>
      <c r="W18" s="764"/>
      <c r="X18" s="765"/>
      <c r="Y18" s="766"/>
      <c r="Z18" s="767"/>
    </row>
    <row r="19" spans="1:26" s="763" customFormat="1" ht="12.65" customHeight="1">
      <c r="A19" s="763" t="s">
        <v>937</v>
      </c>
      <c r="R19" s="764"/>
      <c r="S19" s="764"/>
      <c r="T19" s="764"/>
      <c r="U19" s="765"/>
      <c r="V19" s="764"/>
      <c r="W19" s="764"/>
      <c r="X19" s="765"/>
      <c r="Y19" s="766"/>
      <c r="Z19" s="767"/>
    </row>
    <row r="20" spans="1:26" s="763" customFormat="1" ht="12.65" customHeight="1">
      <c r="A20" s="763" t="s">
        <v>938</v>
      </c>
      <c r="N20" s="768"/>
      <c r="O20" s="768"/>
      <c r="R20" s="764"/>
      <c r="S20" s="764"/>
      <c r="T20" s="764"/>
      <c r="U20" s="765"/>
      <c r="V20" s="764"/>
      <c r="W20" s="764"/>
      <c r="X20" s="765"/>
      <c r="Y20" s="766"/>
      <c r="Z20" s="767"/>
    </row>
    <row r="21" spans="1:26" s="763" customFormat="1" ht="12.65" customHeight="1">
      <c r="A21" s="769" t="s">
        <v>939</v>
      </c>
      <c r="B21" s="769"/>
      <c r="C21" s="769"/>
      <c r="D21" s="769"/>
      <c r="E21" s="769"/>
      <c r="F21" s="769"/>
      <c r="G21" s="769"/>
      <c r="H21" s="769"/>
      <c r="I21" s="769"/>
      <c r="J21" s="769"/>
      <c r="K21" s="769"/>
      <c r="L21" s="769"/>
      <c r="M21" s="769"/>
      <c r="N21" s="769"/>
      <c r="O21" s="769"/>
      <c r="P21" s="769"/>
      <c r="R21" s="764"/>
      <c r="S21" s="764"/>
      <c r="T21" s="764"/>
      <c r="U21" s="765"/>
      <c r="V21" s="764"/>
      <c r="W21" s="764"/>
      <c r="X21" s="765"/>
      <c r="Y21" s="766"/>
    </row>
    <row r="22" spans="1:26" s="763" customFormat="1" ht="12.65" customHeight="1">
      <c r="A22" s="769" t="s">
        <v>961</v>
      </c>
      <c r="B22" s="769"/>
      <c r="C22" s="769"/>
      <c r="D22" s="769"/>
      <c r="E22" s="769"/>
      <c r="F22" s="769"/>
      <c r="G22" s="769"/>
      <c r="H22" s="769"/>
      <c r="I22" s="769"/>
      <c r="J22" s="769"/>
      <c r="K22" s="769"/>
      <c r="L22" s="769"/>
      <c r="M22" s="769"/>
      <c r="N22" s="769"/>
      <c r="O22" s="769"/>
      <c r="P22" s="769"/>
      <c r="R22" s="764"/>
      <c r="S22" s="764"/>
      <c r="T22" s="764"/>
      <c r="U22" s="765"/>
      <c r="V22" s="764"/>
      <c r="W22" s="764"/>
      <c r="X22" s="765"/>
      <c r="Y22" s="766"/>
    </row>
    <row r="23" spans="1:26" s="763" customFormat="1" ht="12.65" customHeight="1">
      <c r="A23" s="769" t="s">
        <v>962</v>
      </c>
      <c r="B23" s="769"/>
      <c r="C23" s="769"/>
      <c r="D23" s="769"/>
      <c r="E23" s="769"/>
      <c r="F23" s="769"/>
      <c r="G23" s="769"/>
      <c r="H23" s="769"/>
      <c r="I23" s="769"/>
      <c r="J23" s="769"/>
      <c r="K23" s="769"/>
      <c r="L23" s="769"/>
      <c r="M23" s="769"/>
      <c r="N23" s="769"/>
      <c r="O23" s="769"/>
      <c r="P23" s="769"/>
      <c r="R23" s="764"/>
      <c r="S23" s="764"/>
      <c r="T23" s="764"/>
      <c r="U23" s="765"/>
      <c r="V23" s="764"/>
      <c r="W23" s="764"/>
      <c r="X23" s="765"/>
      <c r="Y23" s="766"/>
    </row>
    <row r="24" spans="1:26" s="763" customFormat="1" ht="12.65" customHeight="1">
      <c r="A24" s="769" t="s">
        <v>963</v>
      </c>
      <c r="B24" s="769"/>
      <c r="C24" s="769"/>
      <c r="D24" s="769"/>
      <c r="E24" s="769"/>
      <c r="F24" s="769"/>
      <c r="G24" s="769"/>
      <c r="H24" s="769"/>
      <c r="I24" s="769"/>
      <c r="J24" s="769"/>
      <c r="K24" s="769"/>
      <c r="L24" s="769"/>
      <c r="M24" s="769"/>
      <c r="N24" s="769"/>
      <c r="O24" s="769"/>
      <c r="P24" s="769"/>
      <c r="R24" s="764"/>
      <c r="S24" s="764"/>
      <c r="T24" s="764"/>
      <c r="U24" s="765"/>
      <c r="V24" s="764"/>
      <c r="W24" s="764"/>
      <c r="X24" s="765"/>
      <c r="Y24" s="766"/>
    </row>
    <row r="25" spans="1:26" s="763" customFormat="1" ht="12.65" customHeight="1">
      <c r="A25" s="769" t="s">
        <v>964</v>
      </c>
      <c r="B25" s="770"/>
      <c r="C25" s="770"/>
      <c r="D25" s="770"/>
      <c r="E25" s="770"/>
      <c r="F25" s="770"/>
      <c r="G25" s="770"/>
      <c r="H25" s="770"/>
      <c r="I25" s="770"/>
      <c r="J25" s="770"/>
      <c r="K25" s="770"/>
      <c r="L25" s="770"/>
      <c r="M25" s="770"/>
      <c r="N25" s="770"/>
      <c r="O25" s="770"/>
      <c r="P25" s="770"/>
      <c r="R25" s="764"/>
      <c r="S25" s="764"/>
      <c r="T25" s="764"/>
      <c r="U25" s="765"/>
      <c r="V25" s="764"/>
      <c r="W25" s="764"/>
      <c r="X25" s="765"/>
      <c r="Y25" s="766"/>
    </row>
    <row r="26" spans="1:26" s="763" customFormat="1" ht="12.65" customHeight="1">
      <c r="A26" s="817" t="s">
        <v>965</v>
      </c>
      <c r="B26" s="769"/>
      <c r="C26" s="769"/>
      <c r="D26" s="769"/>
      <c r="E26" s="769"/>
      <c r="F26" s="769"/>
      <c r="G26" s="769"/>
      <c r="H26" s="769"/>
      <c r="I26" s="769"/>
      <c r="J26" s="769"/>
      <c r="K26" s="769"/>
      <c r="L26" s="769"/>
      <c r="M26" s="769"/>
      <c r="N26" s="769"/>
      <c r="O26" s="769"/>
      <c r="P26" s="769"/>
      <c r="R26" s="764"/>
      <c r="S26" s="764"/>
      <c r="T26" s="764"/>
      <c r="U26" s="765"/>
      <c r="V26" s="764"/>
      <c r="W26" s="764"/>
      <c r="X26" s="765"/>
      <c r="Y26" s="766"/>
    </row>
    <row r="27" spans="1:26" s="763" customFormat="1" ht="12.65" customHeight="1">
      <c r="A27" s="769" t="s">
        <v>966</v>
      </c>
      <c r="B27" s="769"/>
      <c r="C27" s="769"/>
      <c r="D27" s="769"/>
      <c r="E27" s="769"/>
      <c r="F27" s="769"/>
      <c r="G27" s="769"/>
      <c r="H27" s="769"/>
      <c r="I27" s="769"/>
      <c r="J27" s="769"/>
      <c r="K27" s="769"/>
      <c r="L27" s="769"/>
      <c r="M27" s="769"/>
      <c r="N27" s="769"/>
      <c r="O27" s="769"/>
      <c r="P27" s="769"/>
      <c r="R27" s="764"/>
      <c r="S27" s="764"/>
      <c r="T27" s="764"/>
      <c r="U27" s="765"/>
      <c r="V27" s="764"/>
      <c r="W27" s="764"/>
      <c r="X27" s="765"/>
      <c r="Y27" s="766"/>
    </row>
    <row r="28" spans="1:26" s="763" customFormat="1" ht="12.65" customHeight="1">
      <c r="A28" s="771" t="s">
        <v>967</v>
      </c>
      <c r="B28" s="771"/>
      <c r="C28" s="771"/>
      <c r="D28" s="771"/>
      <c r="E28" s="771"/>
      <c r="F28" s="771"/>
      <c r="G28" s="771"/>
      <c r="H28" s="771"/>
      <c r="I28" s="771"/>
      <c r="J28" s="771"/>
      <c r="K28" s="771"/>
      <c r="L28" s="771"/>
      <c r="M28" s="771"/>
      <c r="N28" s="771"/>
      <c r="O28" s="771"/>
      <c r="P28" s="771"/>
      <c r="R28" s="764"/>
      <c r="S28" s="764"/>
      <c r="T28" s="764"/>
      <c r="U28" s="765"/>
      <c r="V28" s="764"/>
      <c r="W28" s="764"/>
      <c r="X28" s="765"/>
      <c r="Y28" s="766"/>
    </row>
    <row r="29" spans="1:26" s="763" customFormat="1" ht="12.65" customHeight="1">
      <c r="A29" s="769" t="s">
        <v>968</v>
      </c>
      <c r="B29" s="772"/>
      <c r="C29" s="772"/>
      <c r="D29" s="772"/>
      <c r="E29" s="772"/>
      <c r="F29" s="772"/>
      <c r="G29" s="772"/>
      <c r="H29" s="772"/>
      <c r="I29" s="772"/>
      <c r="J29" s="772"/>
      <c r="K29" s="772"/>
      <c r="L29" s="772"/>
      <c r="M29" s="772"/>
      <c r="N29" s="772"/>
      <c r="O29" s="772"/>
      <c r="P29" s="772"/>
      <c r="R29" s="764"/>
      <c r="S29" s="764"/>
      <c r="T29" s="764"/>
      <c r="U29" s="765"/>
      <c r="V29" s="764"/>
      <c r="W29" s="764"/>
      <c r="X29" s="765"/>
      <c r="Y29" s="766"/>
    </row>
    <row r="30" spans="1:26" s="763" customFormat="1" ht="12.65" customHeight="1">
      <c r="A30" s="763" t="s">
        <v>969</v>
      </c>
      <c r="R30" s="764"/>
      <c r="S30" s="764"/>
      <c r="T30" s="764"/>
      <c r="U30" s="765"/>
      <c r="V30" s="764"/>
      <c r="W30" s="764"/>
      <c r="X30" s="765"/>
      <c r="Y30" s="766"/>
    </row>
    <row r="31" spans="1:26" s="763" customFormat="1" ht="27" customHeight="1">
      <c r="A31" s="1633" t="s">
        <v>979</v>
      </c>
      <c r="B31" s="1634"/>
      <c r="C31" s="1634"/>
      <c r="D31" s="1634"/>
      <c r="E31" s="1634"/>
      <c r="F31" s="1634"/>
      <c r="G31" s="1634"/>
      <c r="H31" s="1634"/>
      <c r="I31" s="1634"/>
      <c r="J31" s="1634"/>
      <c r="K31" s="1634"/>
      <c r="L31" s="1634"/>
      <c r="M31" s="1634"/>
      <c r="N31" s="1634"/>
      <c r="O31" s="1634"/>
      <c r="P31" s="1634"/>
      <c r="R31" s="764"/>
      <c r="S31" s="764"/>
      <c r="T31" s="764"/>
      <c r="U31" s="765"/>
      <c r="V31" s="764"/>
      <c r="W31" s="764"/>
      <c r="X31" s="765"/>
      <c r="Y31" s="766"/>
    </row>
    <row r="32" spans="1:26" s="763" customFormat="1" ht="12.65" customHeight="1">
      <c r="A32" s="818" t="s">
        <v>976</v>
      </c>
      <c r="R32" s="764"/>
      <c r="S32" s="764"/>
      <c r="T32" s="764"/>
      <c r="U32" s="765"/>
      <c r="V32" s="764"/>
      <c r="W32" s="764"/>
      <c r="X32" s="765"/>
      <c r="Y32" s="766"/>
    </row>
    <row r="33" spans="1:13" s="667" customFormat="1" ht="12.75" customHeight="1">
      <c r="A33" s="745"/>
      <c r="B33" s="668"/>
      <c r="C33" s="668"/>
      <c r="D33" s="668"/>
      <c r="E33" s="668"/>
      <c r="F33" s="669"/>
    </row>
    <row r="42" spans="1:13">
      <c r="M42" s="27" t="s">
        <v>902</v>
      </c>
    </row>
    <row r="53" spans="1:16">
      <c r="A53" s="35"/>
      <c r="B53" s="35"/>
      <c r="C53" s="35"/>
      <c r="D53" s="35"/>
      <c r="E53" s="35"/>
      <c r="F53" s="35"/>
      <c r="G53" s="35"/>
      <c r="H53" s="35"/>
      <c r="I53" s="35"/>
      <c r="J53" s="35"/>
      <c r="K53" s="35"/>
      <c r="L53" s="35"/>
      <c r="M53" s="35"/>
      <c r="N53" s="35"/>
      <c r="O53" s="35"/>
      <c r="P53" s="35"/>
    </row>
    <row r="56" spans="1:16">
      <c r="A56" s="745" t="s">
        <v>927</v>
      </c>
    </row>
  </sheetData>
  <mergeCells count="1">
    <mergeCell ref="A31:P31"/>
  </mergeCells>
  <hyperlinks>
    <hyperlink ref="Q1" location="TOC!A1" display="Back" xr:uid="{00000000-0004-0000-1300-000000000000}"/>
  </hyperlinks>
  <pageMargins left="0.5" right="0.25" top="0.4" bottom="0.25" header="0.25" footer="0.25"/>
  <pageSetup scale="71" orientation="landscape" cellComments="asDisplayed" r:id="rId1"/>
  <headerFooter scaleWithDoc="0">
    <oddHeader>&amp;R&amp;P</oddHeader>
  </headerFooter>
  <rowBreaks count="1" manualBreakCount="1">
    <brk id="54" max="16383" man="1"/>
  </rowBreaks>
  <drawing r:id="rId2"/>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5">
    <pageSetUpPr fitToPage="1"/>
  </sheetPr>
  <dimension ref="A1:K79"/>
  <sheetViews>
    <sheetView zoomScaleNormal="100" workbookViewId="0"/>
  </sheetViews>
  <sheetFormatPr defaultColWidth="9.26953125" defaultRowHeight="12.5"/>
  <cols>
    <col min="1" max="1" width="61.6328125" style="303" customWidth="1"/>
    <col min="2" max="2" width="0.54296875" style="303" customWidth="1"/>
    <col min="3" max="7" width="16.6328125" style="303" customWidth="1"/>
    <col min="8" max="8" width="2.6328125" style="303" customWidth="1"/>
    <col min="9" max="11" width="8.7265625" style="303" customWidth="1"/>
    <col min="12" max="16384" width="9.26953125" style="303"/>
  </cols>
  <sheetData>
    <row r="1" spans="1:11" ht="15.5">
      <c r="A1" s="302" t="s">
        <v>634</v>
      </c>
      <c r="I1" s="811" t="s">
        <v>954</v>
      </c>
    </row>
    <row r="2" spans="1:11" ht="15.5">
      <c r="A2" s="302" t="s">
        <v>1386</v>
      </c>
    </row>
    <row r="3" spans="1:11" ht="6" customHeight="1" thickBot="1"/>
    <row r="4" spans="1:11" ht="13">
      <c r="A4" s="304" t="s">
        <v>635</v>
      </c>
      <c r="B4" s="305"/>
      <c r="C4" s="1160" t="s">
        <v>990</v>
      </c>
      <c r="D4" s="1160" t="s">
        <v>1262</v>
      </c>
      <c r="E4" s="1160" t="s">
        <v>991</v>
      </c>
      <c r="F4" s="1160" t="s">
        <v>1257</v>
      </c>
      <c r="G4" s="1160" t="s">
        <v>1315</v>
      </c>
    </row>
    <row r="5" spans="1:11" ht="21" customHeight="1">
      <c r="A5" s="306" t="s">
        <v>636</v>
      </c>
      <c r="B5" s="1374"/>
      <c r="C5" s="1374">
        <v>286160767.91000003</v>
      </c>
      <c r="D5" s="1374">
        <v>330188638.88000005</v>
      </c>
      <c r="E5" s="1374">
        <v>373729745.02999973</v>
      </c>
      <c r="F5" s="1374">
        <v>384099624.5</v>
      </c>
      <c r="G5" s="1374">
        <v>410372318.37000012</v>
      </c>
      <c r="H5" s="307"/>
      <c r="I5" s="893"/>
      <c r="J5" s="15"/>
      <c r="K5"/>
    </row>
    <row r="6" spans="1:11">
      <c r="A6" s="306" t="s">
        <v>637</v>
      </c>
      <c r="B6" s="124"/>
      <c r="C6" s="124">
        <v>706323963.10000002</v>
      </c>
      <c r="D6" s="124">
        <v>824092271.62999964</v>
      </c>
      <c r="E6" s="124">
        <v>887212527.92000008</v>
      </c>
      <c r="F6" s="124">
        <v>995360036.24000025</v>
      </c>
      <c r="G6" s="124">
        <v>1058137133.99</v>
      </c>
      <c r="H6" s="307"/>
      <c r="I6" s="893"/>
      <c r="J6" s="15"/>
      <c r="K6"/>
    </row>
    <row r="7" spans="1:11">
      <c r="A7" s="306" t="s">
        <v>638</v>
      </c>
      <c r="B7" s="124"/>
      <c r="C7" s="124">
        <v>2082741140.2199993</v>
      </c>
      <c r="D7" s="124">
        <v>2123107803.8400009</v>
      </c>
      <c r="E7" s="124">
        <v>2440477919.0800014</v>
      </c>
      <c r="F7" s="124">
        <v>2868070709.0400004</v>
      </c>
      <c r="G7" s="124">
        <v>2914574615.9099975</v>
      </c>
      <c r="H7" s="307"/>
      <c r="I7" s="893"/>
      <c r="J7" s="15"/>
      <c r="K7"/>
    </row>
    <row r="8" spans="1:11">
      <c r="A8" s="306" t="s">
        <v>639</v>
      </c>
      <c r="B8" s="124"/>
      <c r="C8" s="124">
        <v>8970784239.9200115</v>
      </c>
      <c r="D8" s="124">
        <v>9448292551.8800049</v>
      </c>
      <c r="E8" s="124">
        <v>11381801794.169971</v>
      </c>
      <c r="F8" s="124">
        <v>12694390843.420002</v>
      </c>
      <c r="G8" s="124">
        <v>13128655399.590019</v>
      </c>
      <c r="H8" s="307"/>
      <c r="I8" s="893"/>
      <c r="J8" s="15"/>
      <c r="K8"/>
    </row>
    <row r="9" spans="1:11">
      <c r="A9" s="306" t="s">
        <v>640</v>
      </c>
      <c r="B9" s="124"/>
      <c r="C9" s="124">
        <v>12334765283.750002</v>
      </c>
      <c r="D9" s="124">
        <v>12765150081.759996</v>
      </c>
      <c r="E9" s="124">
        <v>15437967967.990002</v>
      </c>
      <c r="F9" s="124">
        <v>17633730309.629997</v>
      </c>
      <c r="G9" s="124">
        <v>18305972661.680008</v>
      </c>
      <c r="H9" s="307"/>
      <c r="I9" s="893"/>
      <c r="J9" s="15"/>
      <c r="K9"/>
    </row>
    <row r="10" spans="1:11">
      <c r="A10" s="306" t="s">
        <v>641</v>
      </c>
      <c r="B10" s="124"/>
      <c r="C10" s="124">
        <v>70719150065.550049</v>
      </c>
      <c r="D10" s="124">
        <v>76870746066.519958</v>
      </c>
      <c r="E10" s="124">
        <v>83528917959.590012</v>
      </c>
      <c r="F10" s="124">
        <v>87878926494.740067</v>
      </c>
      <c r="G10" s="124">
        <v>98922634299.270004</v>
      </c>
      <c r="H10" s="307"/>
      <c r="I10" s="893"/>
      <c r="J10" s="15"/>
      <c r="K10"/>
    </row>
    <row r="11" spans="1:11">
      <c r="A11" s="308" t="s">
        <v>1359</v>
      </c>
      <c r="B11" s="124"/>
      <c r="C11" s="124">
        <v>1831385528.1700003</v>
      </c>
      <c r="D11" s="124">
        <v>1765300300.9300001</v>
      </c>
      <c r="E11" s="124">
        <v>2134495505.3999996</v>
      </c>
      <c r="F11" s="124">
        <v>2080101687.0200005</v>
      </c>
      <c r="G11" s="124">
        <v>1930746397.51</v>
      </c>
      <c r="H11" s="307"/>
      <c r="I11" s="893"/>
      <c r="J11" s="546"/>
      <c r="K11"/>
    </row>
    <row r="12" spans="1:11">
      <c r="A12" s="308" t="s">
        <v>1358</v>
      </c>
      <c r="B12" s="124"/>
      <c r="C12" s="124">
        <v>1000140540.1899997</v>
      </c>
      <c r="D12" s="124">
        <v>1094936399.1399999</v>
      </c>
      <c r="E12" s="124">
        <v>1340562238.9799998</v>
      </c>
      <c r="F12" s="124">
        <v>1360122181.7400002</v>
      </c>
      <c r="G12" s="124">
        <v>1279851939.25</v>
      </c>
      <c r="H12" s="307"/>
      <c r="I12" s="893"/>
      <c r="J12" s="546"/>
      <c r="K12"/>
    </row>
    <row r="13" spans="1:11">
      <c r="A13" s="308" t="s">
        <v>642</v>
      </c>
      <c r="B13" s="124"/>
      <c r="C13" s="124">
        <v>7638308461.7800016</v>
      </c>
      <c r="D13" s="124">
        <v>8933269352.6699982</v>
      </c>
      <c r="E13" s="124">
        <v>10016953368.309998</v>
      </c>
      <c r="F13" s="124">
        <v>10745506388.459995</v>
      </c>
      <c r="G13" s="124">
        <v>10162873159.940002</v>
      </c>
      <c r="H13" s="307"/>
      <c r="I13" s="893"/>
      <c r="J13" s="546"/>
      <c r="K13"/>
    </row>
    <row r="14" spans="1:11">
      <c r="A14" s="308" t="s">
        <v>643</v>
      </c>
      <c r="B14" s="124"/>
      <c r="C14" s="124">
        <v>17766932081.779995</v>
      </c>
      <c r="D14" s="124">
        <v>19241487999.870003</v>
      </c>
      <c r="E14" s="124">
        <v>19714548525.010002</v>
      </c>
      <c r="F14" s="124">
        <v>21225806740.530003</v>
      </c>
      <c r="G14" s="124">
        <v>22440439023.16</v>
      </c>
      <c r="H14" s="307"/>
      <c r="I14" s="893"/>
      <c r="J14" s="546"/>
      <c r="K14"/>
    </row>
    <row r="15" spans="1:11">
      <c r="A15" s="308" t="s">
        <v>1361</v>
      </c>
      <c r="B15" s="124"/>
      <c r="C15" s="124">
        <v>4912939060.5899982</v>
      </c>
      <c r="D15" s="124">
        <v>3971815676.3700004</v>
      </c>
      <c r="E15" s="124">
        <v>5490847487.3100023</v>
      </c>
      <c r="F15" s="124">
        <v>5451815744.000001</v>
      </c>
      <c r="G15" s="124">
        <v>6002967999.3299971</v>
      </c>
      <c r="H15" s="307"/>
      <c r="I15" s="893"/>
      <c r="J15" s="546"/>
      <c r="K15"/>
    </row>
    <row r="16" spans="1:11">
      <c r="A16" s="308" t="s">
        <v>1360</v>
      </c>
      <c r="B16" s="124"/>
      <c r="C16" s="124">
        <v>1058733786.6700003</v>
      </c>
      <c r="D16" s="124">
        <v>923090066.51999998</v>
      </c>
      <c r="E16" s="124">
        <v>1372228386.2899995</v>
      </c>
      <c r="F16" s="124">
        <v>1416369643.1699994</v>
      </c>
      <c r="G16" s="124">
        <v>1441602629.8800006</v>
      </c>
      <c r="H16" s="307"/>
      <c r="I16" s="893"/>
      <c r="J16" s="546"/>
      <c r="K16"/>
    </row>
    <row r="17" spans="1:11">
      <c r="A17" s="308" t="s">
        <v>1363</v>
      </c>
      <c r="B17" s="124"/>
      <c r="C17" s="124">
        <v>17385711145.639999</v>
      </c>
      <c r="D17" s="124">
        <v>20281012347.730003</v>
      </c>
      <c r="E17" s="124">
        <v>18867428025.68</v>
      </c>
      <c r="F17" s="124">
        <v>20753657346.189999</v>
      </c>
      <c r="G17" s="124">
        <v>29130439647.759998</v>
      </c>
      <c r="H17" s="307"/>
      <c r="I17" s="893"/>
      <c r="J17" s="546"/>
      <c r="K17"/>
    </row>
    <row r="18" spans="1:11">
      <c r="A18" s="308" t="s">
        <v>1362</v>
      </c>
      <c r="B18" s="124"/>
      <c r="C18" s="124">
        <v>779394924.31000006</v>
      </c>
      <c r="D18" s="124">
        <v>901854678.03999996</v>
      </c>
      <c r="E18" s="124">
        <v>957410111.66000009</v>
      </c>
      <c r="F18" s="124">
        <v>977962843.28000009</v>
      </c>
      <c r="G18" s="124">
        <v>1101800476.6200004</v>
      </c>
      <c r="H18" s="307"/>
      <c r="I18" s="893"/>
      <c r="J18" s="546"/>
      <c r="K18"/>
    </row>
    <row r="19" spans="1:11">
      <c r="A19" s="306" t="s">
        <v>644</v>
      </c>
      <c r="B19" s="124"/>
      <c r="C19" s="124">
        <v>370129738.3900001</v>
      </c>
      <c r="D19" s="124">
        <v>329951202.95999986</v>
      </c>
      <c r="E19" s="124">
        <v>329747786.39999992</v>
      </c>
      <c r="F19" s="124">
        <v>405902078.06999999</v>
      </c>
      <c r="G19" s="124">
        <v>473030858.04999983</v>
      </c>
      <c r="H19" s="307"/>
      <c r="I19" s="893"/>
      <c r="J19" s="15"/>
      <c r="K19"/>
    </row>
    <row r="20" spans="1:11">
      <c r="A20" s="306" t="s">
        <v>645</v>
      </c>
      <c r="B20" s="124"/>
      <c r="C20" s="124">
        <v>4569188832.9699993</v>
      </c>
      <c r="D20" s="124">
        <v>4879091822.250001</v>
      </c>
      <c r="E20" s="124">
        <v>5029293531.7099972</v>
      </c>
      <c r="F20" s="1375">
        <v>5175502506.1499929</v>
      </c>
      <c r="G20" s="1375">
        <v>5149808100.0199976</v>
      </c>
      <c r="H20" s="307"/>
      <c r="I20" s="893"/>
      <c r="J20" s="15"/>
      <c r="K20"/>
    </row>
    <row r="21" spans="1:11">
      <c r="A21" s="306" t="s">
        <v>646</v>
      </c>
      <c r="B21" s="124"/>
      <c r="C21" s="124">
        <v>654386403.2099998</v>
      </c>
      <c r="D21" s="124">
        <v>791590805.74999976</v>
      </c>
      <c r="E21" s="124">
        <v>608646914.42999995</v>
      </c>
      <c r="F21" s="124">
        <v>660001759.17999923</v>
      </c>
      <c r="G21" s="124">
        <v>615747260.30999994</v>
      </c>
      <c r="H21" s="307"/>
      <c r="I21" s="893"/>
      <c r="J21" s="15"/>
      <c r="K21"/>
    </row>
    <row r="22" spans="1:11">
      <c r="A22" s="306" t="s">
        <v>647</v>
      </c>
      <c r="B22" s="124"/>
      <c r="C22" s="124">
        <v>3238841393.4499993</v>
      </c>
      <c r="D22" s="124">
        <v>2697881793.2000008</v>
      </c>
      <c r="E22" s="124">
        <v>2956021191.7600007</v>
      </c>
      <c r="F22" s="124">
        <v>3128536754.5800014</v>
      </c>
      <c r="G22" s="124">
        <v>3386502727.9799986</v>
      </c>
      <c r="H22" s="307"/>
      <c r="I22" s="893"/>
      <c r="J22" s="15"/>
      <c r="K22"/>
    </row>
    <row r="23" spans="1:11">
      <c r="A23" s="306" t="s">
        <v>648</v>
      </c>
      <c r="B23" s="124"/>
      <c r="C23" s="124">
        <v>2018823816.4400005</v>
      </c>
      <c r="D23" s="124">
        <v>2137315044.8699999</v>
      </c>
      <c r="E23" s="124">
        <v>2446233741.7700009</v>
      </c>
      <c r="F23" s="124">
        <v>2697062986.1999979</v>
      </c>
      <c r="G23" s="124">
        <v>2700903699.1600013</v>
      </c>
      <c r="H23" s="307"/>
      <c r="I23" s="893"/>
      <c r="J23" s="15"/>
      <c r="K23"/>
    </row>
    <row r="24" spans="1:11">
      <c r="A24" s="306" t="s">
        <v>649</v>
      </c>
      <c r="B24" s="124"/>
      <c r="C24" s="124">
        <v>2193793846.54</v>
      </c>
      <c r="D24" s="124">
        <v>7080715119.829999</v>
      </c>
      <c r="E24" s="124">
        <v>9633543256.2700024</v>
      </c>
      <c r="F24" s="124">
        <v>9908435369.0500069</v>
      </c>
      <c r="G24" s="124">
        <v>10085750488.270002</v>
      </c>
      <c r="H24" s="307"/>
      <c r="I24" s="893"/>
      <c r="J24" s="15"/>
      <c r="K24"/>
    </row>
    <row r="25" spans="1:11">
      <c r="A25" s="306" t="s">
        <v>992</v>
      </c>
      <c r="B25" s="124"/>
      <c r="C25" s="124">
        <v>461891527.76000011</v>
      </c>
      <c r="D25" s="124">
        <v>449879659.08000004</v>
      </c>
      <c r="E25" s="124">
        <v>521410261.38</v>
      </c>
      <c r="F25" s="124">
        <v>577695223.19999993</v>
      </c>
      <c r="G25" s="124">
        <v>647482915.25999975</v>
      </c>
      <c r="H25" s="307"/>
      <c r="I25" s="893"/>
      <c r="J25" s="15"/>
      <c r="K25"/>
    </row>
    <row r="26" spans="1:11">
      <c r="A26" s="306" t="s">
        <v>650</v>
      </c>
      <c r="B26" s="124"/>
      <c r="C26" s="124">
        <v>92163581.389999956</v>
      </c>
      <c r="D26" s="124">
        <v>70084575.25000003</v>
      </c>
      <c r="E26" s="124">
        <v>74110382.099999979</v>
      </c>
      <c r="F26" s="124">
        <v>81790197.450000018</v>
      </c>
      <c r="G26" s="124">
        <v>101434083.8</v>
      </c>
      <c r="H26" s="307"/>
      <c r="I26" s="893"/>
      <c r="J26" s="15"/>
      <c r="K26"/>
    </row>
    <row r="27" spans="1:11">
      <c r="A27" s="306" t="s">
        <v>651</v>
      </c>
      <c r="B27" s="124"/>
      <c r="C27" s="124">
        <v>372067926.41000009</v>
      </c>
      <c r="D27" s="124">
        <v>371714625.71000004</v>
      </c>
      <c r="E27" s="124">
        <v>435409158.73000008</v>
      </c>
      <c r="F27" s="124">
        <v>444050287.54999983</v>
      </c>
      <c r="G27" s="124">
        <v>455485487.03000003</v>
      </c>
      <c r="H27" s="307"/>
      <c r="I27" s="893"/>
      <c r="J27" s="15"/>
      <c r="K27"/>
    </row>
    <row r="28" spans="1:11">
      <c r="A28" s="306" t="s">
        <v>652</v>
      </c>
      <c r="B28" s="124"/>
      <c r="C28" s="124">
        <v>764400748.42999971</v>
      </c>
      <c r="D28" s="124">
        <v>487961856.14000022</v>
      </c>
      <c r="E28" s="124">
        <v>733036043.8299998</v>
      </c>
      <c r="F28" s="124">
        <v>890194958.24999976</v>
      </c>
      <c r="G28" s="124">
        <v>1022156057.3300002</v>
      </c>
      <c r="H28" s="307"/>
      <c r="I28" s="893"/>
      <c r="J28" s="15"/>
      <c r="K28"/>
    </row>
    <row r="29" spans="1:11">
      <c r="A29" s="306" t="s">
        <v>653</v>
      </c>
      <c r="B29" s="124"/>
      <c r="C29" s="124">
        <v>20474041374.449989</v>
      </c>
      <c r="D29" s="124">
        <v>15876096867.889986</v>
      </c>
      <c r="E29" s="124">
        <v>20449190185.329998</v>
      </c>
      <c r="F29" s="124">
        <v>23645424963.219994</v>
      </c>
      <c r="G29" s="124">
        <v>25432065053.220001</v>
      </c>
      <c r="H29" s="307"/>
      <c r="I29" s="893"/>
      <c r="J29" s="15"/>
      <c r="K29"/>
    </row>
    <row r="30" spans="1:11">
      <c r="A30" s="308" t="s">
        <v>654</v>
      </c>
      <c r="B30" s="124"/>
      <c r="C30" s="124">
        <v>16437236724.580002</v>
      </c>
      <c r="D30" s="124">
        <v>13698307961.910002</v>
      </c>
      <c r="E30" s="124">
        <v>17292212245.610001</v>
      </c>
      <c r="F30" s="124">
        <v>19431652700.890007</v>
      </c>
      <c r="G30" s="124">
        <v>21031407334.52002</v>
      </c>
      <c r="H30" s="307"/>
      <c r="I30" s="893"/>
      <c r="J30" s="546"/>
      <c r="K30"/>
    </row>
    <row r="31" spans="1:11">
      <c r="A31" s="306" t="s">
        <v>655</v>
      </c>
      <c r="B31" s="124"/>
      <c r="C31" s="124">
        <v>2987705093.8700051</v>
      </c>
      <c r="D31" s="124">
        <v>2867207495.4999986</v>
      </c>
      <c r="E31" s="124">
        <v>3270841759.6900005</v>
      </c>
      <c r="F31" s="124">
        <v>3550217669.5100026</v>
      </c>
      <c r="G31" s="124">
        <v>3790166262.02</v>
      </c>
      <c r="H31" s="307"/>
      <c r="I31" s="893"/>
      <c r="J31" s="15"/>
    </row>
    <row r="32" spans="1:11">
      <c r="A32" s="306" t="s">
        <v>656</v>
      </c>
      <c r="B32" s="124"/>
      <c r="C32" s="124">
        <v>22940830.500000007</v>
      </c>
      <c r="D32" s="124">
        <v>13606896.800000001</v>
      </c>
      <c r="E32" s="124">
        <v>15773632.02</v>
      </c>
      <c r="F32" s="124">
        <v>23463208.739999995</v>
      </c>
      <c r="G32" s="124">
        <v>25777649.420000002</v>
      </c>
      <c r="H32" s="307"/>
      <c r="I32" s="893"/>
      <c r="J32" s="15"/>
    </row>
    <row r="33" spans="1:10">
      <c r="A33" s="306" t="s">
        <v>657</v>
      </c>
      <c r="B33" s="124"/>
      <c r="C33" s="124">
        <v>1215393482.5899999</v>
      </c>
      <c r="D33" s="124">
        <v>1592092178.4000003</v>
      </c>
      <c r="E33" s="124">
        <v>1620368430.0999997</v>
      </c>
      <c r="F33" s="1375">
        <v>1581111368.24</v>
      </c>
      <c r="G33" s="1375">
        <v>1625441299.9500003</v>
      </c>
      <c r="H33" s="307"/>
      <c r="I33" s="893"/>
      <c r="J33" s="15"/>
    </row>
    <row r="34" spans="1:10" ht="5" customHeight="1">
      <c r="B34" s="124"/>
      <c r="C34" s="124"/>
      <c r="D34" s="124"/>
      <c r="I34" s="893"/>
    </row>
    <row r="35" spans="1:10" ht="13">
      <c r="A35" s="309" t="s">
        <v>13</v>
      </c>
      <c r="B35" s="310"/>
      <c r="C35" s="310">
        <f>SUM(C5:C10,C19:C29,C31:C33)</f>
        <v>134535694056.85005</v>
      </c>
      <c r="D35" s="310">
        <f>SUM(D5:D10,D19:D29,D31:D33)</f>
        <v>142006767358.13995</v>
      </c>
      <c r="E35" s="310">
        <f>SUM(E5:E10,E19:E29,E31:E33)</f>
        <v>162173734189.29996</v>
      </c>
      <c r="F35" s="310">
        <f>SUM(F5:F10,F19:F29,F31:F33)</f>
        <v>175223967346.96008</v>
      </c>
      <c r="G35" s="310">
        <f>SUM(G5:G10,G19:G29,G31:G33)</f>
        <v>190252098370.63004</v>
      </c>
      <c r="I35" s="893"/>
      <c r="J35" s="15"/>
    </row>
    <row r="36" spans="1:10" ht="6" customHeight="1">
      <c r="B36" s="124"/>
      <c r="C36" s="124"/>
      <c r="D36" s="124"/>
      <c r="E36" s="124"/>
      <c r="F36" s="235"/>
      <c r="G36" s="235"/>
    </row>
    <row r="37" spans="1:10" s="1154" customFormat="1" ht="11" customHeight="1">
      <c r="A37" s="1155" t="s">
        <v>1</v>
      </c>
      <c r="B37" s="1155"/>
      <c r="C37" s="1155"/>
      <c r="D37" s="1155"/>
      <c r="E37" s="1155"/>
      <c r="F37" s="1155"/>
      <c r="G37" s="1155"/>
    </row>
    <row r="38" spans="1:10" s="1154" customFormat="1" ht="26" customHeight="1">
      <c r="A38" s="1635" t="s">
        <v>1364</v>
      </c>
      <c r="B38" s="1635"/>
      <c r="C38" s="1635"/>
      <c r="D38" s="1635"/>
      <c r="E38" s="1635"/>
      <c r="F38" s="1635"/>
      <c r="G38" s="1635"/>
    </row>
    <row r="39" spans="1:10" s="1154" customFormat="1" ht="11" customHeight="1">
      <c r="A39" s="1156" t="s">
        <v>1316</v>
      </c>
      <c r="B39" s="1156"/>
      <c r="C39" s="1156"/>
      <c r="D39" s="1157"/>
      <c r="E39" s="1157"/>
      <c r="F39" s="1157"/>
      <c r="G39" s="1157"/>
    </row>
    <row r="40" spans="1:10" s="1154" customFormat="1" ht="11" customHeight="1">
      <c r="A40" s="1158" t="s">
        <v>1390</v>
      </c>
      <c r="B40" s="1158"/>
      <c r="C40" s="1158"/>
      <c r="D40" s="1159"/>
      <c r="E40" s="1159"/>
      <c r="F40" s="1159"/>
      <c r="G40" s="1159"/>
    </row>
    <row r="41" spans="1:10" s="1154" customFormat="1" ht="11" customHeight="1">
      <c r="A41" s="1158" t="s">
        <v>1365</v>
      </c>
      <c r="B41" s="1158"/>
      <c r="C41" s="1158"/>
      <c r="D41" s="1159"/>
      <c r="E41" s="1159"/>
      <c r="F41" s="1159"/>
      <c r="G41" s="1159"/>
    </row>
    <row r="42" spans="1:10" s="1154" customFormat="1" ht="23" customHeight="1">
      <c r="A42" s="1635" t="s">
        <v>1317</v>
      </c>
      <c r="B42" s="1635"/>
      <c r="C42" s="1635"/>
      <c r="D42" s="1636"/>
      <c r="E42" s="1636"/>
      <c r="F42" s="1636"/>
      <c r="G42" s="1636"/>
    </row>
    <row r="43" spans="1:10" s="1154" customFormat="1" ht="11" customHeight="1">
      <c r="A43" s="1158" t="s">
        <v>1318</v>
      </c>
      <c r="B43" s="1158"/>
      <c r="C43" s="1158"/>
      <c r="D43" s="1159"/>
      <c r="E43" s="1159"/>
      <c r="F43" s="1159"/>
      <c r="G43" s="1159"/>
    </row>
    <row r="44" spans="1:10" s="742" customFormat="1" ht="11" customHeight="1">
      <c r="A44" s="1161" t="s">
        <v>921</v>
      </c>
      <c r="B44" s="743"/>
      <c r="C44" s="743"/>
    </row>
    <row r="51" spans="1:7" s="1370" customFormat="1" ht="11.5">
      <c r="A51" s="1373"/>
      <c r="B51" s="1372"/>
      <c r="C51" s="1372"/>
      <c r="D51" s="1372"/>
      <c r="E51" s="1372"/>
      <c r="F51" s="1372"/>
      <c r="G51" s="1372"/>
    </row>
    <row r="52" spans="1:7" s="1370" customFormat="1" ht="11.5">
      <c r="A52" s="1369"/>
      <c r="C52" s="1371"/>
      <c r="D52" s="1371"/>
      <c r="E52" s="1371"/>
      <c r="F52" s="1371"/>
      <c r="G52" s="1371"/>
    </row>
    <row r="53" spans="1:7" s="1370" customFormat="1" ht="11.5">
      <c r="A53" s="1369"/>
      <c r="C53" s="1371"/>
      <c r="D53" s="1371"/>
      <c r="E53" s="1371"/>
      <c r="F53" s="1371"/>
      <c r="G53" s="1371"/>
    </row>
    <row r="54" spans="1:7" s="1370" customFormat="1" ht="11.5">
      <c r="A54" s="1369"/>
      <c r="C54" s="1371"/>
      <c r="D54" s="1371"/>
      <c r="E54" s="1371"/>
      <c r="F54" s="1371"/>
      <c r="G54" s="1371"/>
    </row>
    <row r="55" spans="1:7" s="1370" customFormat="1" ht="11.5">
      <c r="A55" s="1369"/>
      <c r="C55" s="1371"/>
      <c r="D55" s="1371"/>
      <c r="E55" s="1371"/>
      <c r="F55" s="1371"/>
      <c r="G55" s="1371"/>
    </row>
    <row r="56" spans="1:7" s="1370" customFormat="1" ht="11.5">
      <c r="A56" s="1369"/>
      <c r="C56" s="1371"/>
      <c r="D56" s="1371"/>
      <c r="E56" s="1371"/>
      <c r="F56" s="1371"/>
      <c r="G56" s="1371"/>
    </row>
    <row r="57" spans="1:7" s="1370" customFormat="1" ht="11.5">
      <c r="A57" s="1369"/>
      <c r="C57" s="1371"/>
      <c r="D57" s="1371"/>
      <c r="E57" s="1371"/>
      <c r="F57" s="1371"/>
      <c r="G57" s="1371"/>
    </row>
    <row r="58" spans="1:7" s="1370" customFormat="1" ht="11.5">
      <c r="A58" s="1369"/>
      <c r="C58" s="1371"/>
      <c r="D58" s="1371"/>
      <c r="E58" s="1371"/>
      <c r="F58" s="1371"/>
      <c r="G58" s="1371"/>
    </row>
    <row r="59" spans="1:7" s="1370" customFormat="1" ht="11.5">
      <c r="A59" s="1369"/>
      <c r="C59" s="1371"/>
      <c r="D59" s="1371"/>
      <c r="E59" s="1371"/>
      <c r="F59" s="1371"/>
      <c r="G59" s="1371"/>
    </row>
    <row r="60" spans="1:7" s="1370" customFormat="1" ht="11.5">
      <c r="A60" s="1369"/>
      <c r="C60" s="1371"/>
      <c r="D60" s="1371"/>
      <c r="E60" s="1371"/>
      <c r="F60" s="1371"/>
      <c r="G60" s="1371"/>
    </row>
    <row r="61" spans="1:7" s="1370" customFormat="1" ht="11.5">
      <c r="A61" s="1369"/>
      <c r="C61" s="1371"/>
      <c r="D61" s="1371"/>
      <c r="E61" s="1371"/>
      <c r="F61" s="1371"/>
      <c r="G61" s="1371"/>
    </row>
    <row r="62" spans="1:7" s="1370" customFormat="1" ht="11.5">
      <c r="A62" s="1369"/>
      <c r="C62" s="1371"/>
      <c r="D62" s="1371"/>
      <c r="E62" s="1371"/>
      <c r="F62" s="1371"/>
      <c r="G62" s="1371"/>
    </row>
    <row r="63" spans="1:7" s="1370" customFormat="1" ht="11.5">
      <c r="A63" s="1369"/>
      <c r="C63" s="1371"/>
      <c r="D63" s="1371"/>
      <c r="E63" s="1371"/>
      <c r="F63" s="1371"/>
      <c r="G63" s="1371"/>
    </row>
    <row r="64" spans="1:7" s="1370" customFormat="1" ht="11.5">
      <c r="A64" s="1369"/>
      <c r="C64" s="1371"/>
      <c r="D64" s="1371"/>
      <c r="E64" s="1371"/>
      <c r="F64" s="1371"/>
      <c r="G64" s="1371"/>
    </row>
    <row r="65" spans="1:7" s="1370" customFormat="1" ht="11.5">
      <c r="A65" s="1369"/>
      <c r="C65" s="1371"/>
      <c r="D65" s="1371"/>
      <c r="E65" s="1371"/>
      <c r="F65" s="1371"/>
      <c r="G65" s="1371"/>
    </row>
    <row r="66" spans="1:7" s="1370" customFormat="1" ht="11.5">
      <c r="A66" s="1369"/>
      <c r="C66" s="1371"/>
      <c r="D66" s="1371"/>
      <c r="E66" s="1371"/>
      <c r="F66" s="1371"/>
      <c r="G66" s="1371"/>
    </row>
    <row r="67" spans="1:7" s="1370" customFormat="1" ht="11.5">
      <c r="A67" s="1369"/>
      <c r="C67" s="1371"/>
      <c r="D67" s="1371"/>
      <c r="E67" s="1371"/>
      <c r="F67" s="1371"/>
      <c r="G67" s="1371"/>
    </row>
    <row r="68" spans="1:7" s="1370" customFormat="1" ht="11.5">
      <c r="A68" s="1369"/>
      <c r="C68" s="1371"/>
      <c r="D68" s="1371"/>
      <c r="E68" s="1371"/>
      <c r="F68" s="1371"/>
      <c r="G68" s="1371"/>
    </row>
    <row r="69" spans="1:7" s="1370" customFormat="1" ht="11.5">
      <c r="A69" s="1369"/>
      <c r="C69" s="1371"/>
      <c r="D69" s="1371"/>
      <c r="E69" s="1371"/>
      <c r="F69" s="1371"/>
      <c r="G69" s="1371"/>
    </row>
    <row r="70" spans="1:7" s="1370" customFormat="1" ht="11.5">
      <c r="A70" s="1369"/>
      <c r="C70" s="1371"/>
      <c r="D70" s="1371"/>
      <c r="E70" s="1371"/>
      <c r="F70" s="1371"/>
      <c r="G70" s="1371"/>
    </row>
    <row r="71" spans="1:7" s="1370" customFormat="1" ht="11.5">
      <c r="A71" s="1369"/>
      <c r="C71" s="1371"/>
      <c r="D71" s="1371"/>
      <c r="E71" s="1371"/>
      <c r="F71" s="1371"/>
      <c r="G71" s="1371"/>
    </row>
    <row r="72" spans="1:7" s="1370" customFormat="1" ht="11.5">
      <c r="A72" s="1369"/>
      <c r="C72" s="1371"/>
      <c r="D72" s="1371"/>
      <c r="E72" s="1371"/>
      <c r="F72" s="1371"/>
      <c r="G72" s="1371"/>
    </row>
    <row r="73" spans="1:7" s="1370" customFormat="1" ht="11.5">
      <c r="A73" s="1369"/>
      <c r="C73" s="1371"/>
      <c r="D73" s="1371"/>
      <c r="E73" s="1371"/>
      <c r="F73" s="1371"/>
      <c r="G73" s="1371"/>
    </row>
    <row r="74" spans="1:7" s="1370" customFormat="1" ht="11.5">
      <c r="A74" s="1369"/>
      <c r="C74" s="1371"/>
      <c r="D74" s="1371"/>
      <c r="E74" s="1371"/>
      <c r="F74" s="1371"/>
      <c r="G74" s="1371"/>
    </row>
    <row r="75" spans="1:7" s="1370" customFormat="1" ht="11.5">
      <c r="A75" s="1369"/>
      <c r="C75" s="1371"/>
      <c r="D75" s="1371"/>
      <c r="E75" s="1371"/>
      <c r="F75" s="1371"/>
      <c r="G75" s="1371"/>
    </row>
    <row r="76" spans="1:7" s="1370" customFormat="1" ht="11.5">
      <c r="A76" s="1369"/>
      <c r="C76" s="1371"/>
      <c r="D76" s="1371"/>
      <c r="E76" s="1371"/>
      <c r="F76" s="1371"/>
      <c r="G76" s="1371"/>
    </row>
    <row r="77" spans="1:7" s="1370" customFormat="1" ht="11.5">
      <c r="A77" s="1369"/>
      <c r="C77" s="1371"/>
      <c r="D77" s="1371"/>
      <c r="E77" s="1371"/>
      <c r="F77" s="1371"/>
      <c r="G77" s="1371"/>
    </row>
    <row r="78" spans="1:7" s="1370" customFormat="1" ht="11.5">
      <c r="A78" s="1369"/>
      <c r="C78" s="1371"/>
      <c r="D78" s="1371"/>
      <c r="E78" s="1371"/>
      <c r="F78" s="1371"/>
      <c r="G78" s="1371"/>
    </row>
    <row r="79" spans="1:7" s="1370" customFormat="1" ht="11.5">
      <c r="A79" s="1369"/>
      <c r="C79" s="1371"/>
      <c r="D79" s="1371"/>
      <c r="E79" s="1371"/>
      <c r="F79" s="1371"/>
      <c r="G79" s="1371"/>
    </row>
  </sheetData>
  <customSheetViews>
    <customSheetView guid="{E6BBE5A7-0B25-4EE8-BA45-5EA5DBAF3AD4}" showPageBreaks="1" printArea="1">
      <selection activeCell="G20" sqref="G20"/>
      <pageMargins left="0.5" right="0.5" top="0.75" bottom="0.75" header="0.5" footer="0.5"/>
      <printOptions horizontalCentered="1"/>
      <pageSetup scale="85" orientation="landscape" r:id="rId1"/>
      <headerFooter alignWithMargins="0"/>
    </customSheetView>
  </customSheetViews>
  <mergeCells count="2">
    <mergeCell ref="A42:G42"/>
    <mergeCell ref="A38:G38"/>
  </mergeCells>
  <hyperlinks>
    <hyperlink ref="I1" location="TOC!A1" display="Back" xr:uid="{00000000-0004-0000-1400-000000000000}"/>
  </hyperlinks>
  <printOptions horizontalCentered="1"/>
  <pageMargins left="0.4" right="0.2" top="0.5" bottom="0.25" header="0.25" footer="0.75"/>
  <pageSetup scale="91" orientation="landscape" r:id="rId2"/>
  <headerFooter scaleWithDoc="0">
    <oddHeader>&amp;R&amp;P</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6"/>
  <dimension ref="A1:S139"/>
  <sheetViews>
    <sheetView zoomScale="95" zoomScaleNormal="95" zoomScaleSheetLayoutView="90" workbookViewId="0"/>
  </sheetViews>
  <sheetFormatPr defaultColWidth="13.1796875" defaultRowHeight="13"/>
  <cols>
    <col min="1" max="1" width="11.7265625" style="845" customWidth="1"/>
    <col min="2" max="4" width="12.6328125" style="1466" customWidth="1"/>
    <col min="5" max="5" width="5.7265625" style="845" customWidth="1"/>
    <col min="6" max="6" width="11.7265625" style="845" customWidth="1"/>
    <col min="7" max="9" width="12.6328125" style="1466" customWidth="1"/>
    <col min="10" max="10" width="5.7265625" style="844" customWidth="1"/>
    <col min="11" max="11" width="11.7265625" style="844" customWidth="1"/>
    <col min="12" max="14" width="14.6328125" style="1466" customWidth="1"/>
    <col min="15" max="15" width="1.7265625" style="845" customWidth="1"/>
    <col min="16" max="16" width="7.81640625" style="848" bestFit="1" customWidth="1"/>
    <col min="17" max="17" width="13.453125" style="848" bestFit="1" customWidth="1"/>
    <col min="18" max="18" width="10.26953125" style="849" bestFit="1" customWidth="1"/>
    <col min="19" max="19" width="1.7265625" style="845" customWidth="1"/>
    <col min="20" max="16384" width="13.1796875" style="845"/>
  </cols>
  <sheetData>
    <row r="1" spans="1:18" ht="18">
      <c r="A1" s="843" t="s">
        <v>227</v>
      </c>
      <c r="B1" s="1484"/>
      <c r="C1" s="1484"/>
      <c r="G1" s="1481"/>
      <c r="H1" s="1465"/>
      <c r="I1" s="1465"/>
      <c r="J1" s="846"/>
      <c r="K1" s="846"/>
      <c r="L1" s="1465"/>
      <c r="M1" s="1465"/>
      <c r="P1" s="847" t="s">
        <v>954</v>
      </c>
    </row>
    <row r="2" spans="1:18">
      <c r="A2" s="852" t="s">
        <v>1289</v>
      </c>
      <c r="B2" s="1484"/>
      <c r="C2" s="1484"/>
      <c r="G2" s="1465"/>
      <c r="H2" s="1465"/>
      <c r="I2" s="1465"/>
      <c r="J2" s="846"/>
      <c r="K2" s="846"/>
      <c r="L2" s="1465"/>
      <c r="M2" s="1465"/>
    </row>
    <row r="3" spans="1:18" ht="10.9" customHeight="1" thickBot="1">
      <c r="A3" s="853"/>
      <c r="B3" s="1484"/>
      <c r="C3" s="1484"/>
      <c r="G3" s="1465"/>
      <c r="H3" s="1465"/>
      <c r="I3" s="1465"/>
      <c r="J3" s="846"/>
      <c r="K3" s="846"/>
      <c r="L3" s="1465"/>
      <c r="M3" s="1465"/>
    </row>
    <row r="4" spans="1:18" ht="21">
      <c r="A4" s="857" t="s">
        <v>18</v>
      </c>
      <c r="B4" s="1467" t="s">
        <v>984</v>
      </c>
      <c r="C4" s="1468" t="s">
        <v>895</v>
      </c>
      <c r="D4" s="1468" t="s">
        <v>985</v>
      </c>
      <c r="E4" s="855"/>
      <c r="F4" s="857" t="s">
        <v>18</v>
      </c>
      <c r="G4" s="1467" t="s">
        <v>984</v>
      </c>
      <c r="H4" s="1468" t="s">
        <v>895</v>
      </c>
      <c r="I4" s="1468" t="s">
        <v>985</v>
      </c>
      <c r="J4" s="856"/>
      <c r="K4" s="857" t="s">
        <v>18</v>
      </c>
      <c r="L4" s="1467" t="s">
        <v>984</v>
      </c>
      <c r="M4" s="1468" t="s">
        <v>895</v>
      </c>
      <c r="N4" s="1468" t="s">
        <v>985</v>
      </c>
      <c r="P4" s="940"/>
      <c r="Q4" s="940"/>
      <c r="R4" s="941"/>
    </row>
    <row r="5" spans="1:18" s="1494" customFormat="1" ht="15" customHeight="1">
      <c r="A5" s="1490" t="s">
        <v>47</v>
      </c>
      <c r="B5" s="1496">
        <v>5338303.32</v>
      </c>
      <c r="C5" s="1496">
        <v>6186084.8799999999</v>
      </c>
      <c r="D5" s="1492">
        <f t="shared" ref="D5:D39" si="0">SUM(B5:C5)</f>
        <v>11524388.199999999</v>
      </c>
      <c r="E5" s="1493"/>
      <c r="F5" s="1490" t="s">
        <v>48</v>
      </c>
      <c r="G5" s="1496">
        <v>6411281.3799999999</v>
      </c>
      <c r="H5" s="1496">
        <v>7473480.79</v>
      </c>
      <c r="I5" s="1492">
        <f t="shared" ref="I5:I39" si="1">SUM(G5:H5)</f>
        <v>13884762.17</v>
      </c>
      <c r="J5" s="1490"/>
      <c r="K5" s="1490" t="s">
        <v>115</v>
      </c>
      <c r="L5" s="1491">
        <v>2792591.6</v>
      </c>
      <c r="M5" s="1491">
        <v>4460618.7</v>
      </c>
      <c r="N5" s="1492">
        <f t="shared" ref="N5:N29" si="2">SUM(L5:M5)</f>
        <v>7253210.3000000007</v>
      </c>
      <c r="P5" s="1495"/>
      <c r="Q5" s="1495"/>
      <c r="R5" s="1495"/>
    </row>
    <row r="6" spans="1:18" ht="15" customHeight="1">
      <c r="A6" s="858" t="s">
        <v>49</v>
      </c>
      <c r="B6" s="1469">
        <v>18839785.780000001</v>
      </c>
      <c r="C6" s="1469">
        <v>24429529.739999998</v>
      </c>
      <c r="D6" s="1470">
        <f t="shared" si="0"/>
        <v>43269315.519999996</v>
      </c>
      <c r="E6" s="859"/>
      <c r="F6" s="860" t="s">
        <v>50</v>
      </c>
      <c r="G6" s="1469">
        <v>3715542.62</v>
      </c>
      <c r="H6" s="1469">
        <v>5440731.2599999998</v>
      </c>
      <c r="I6" s="1470">
        <f t="shared" si="1"/>
        <v>9156273.879999999</v>
      </c>
      <c r="J6" s="461"/>
      <c r="K6" s="858" t="s">
        <v>117</v>
      </c>
      <c r="L6" s="1469">
        <v>7106343.2599999998</v>
      </c>
      <c r="M6" s="1469">
        <v>4638744.96</v>
      </c>
      <c r="N6" s="1470">
        <f t="shared" si="2"/>
        <v>11745088.219999999</v>
      </c>
      <c r="P6" s="940"/>
      <c r="Q6" s="940"/>
      <c r="R6" s="941"/>
    </row>
    <row r="7" spans="1:18" ht="15" customHeight="1">
      <c r="A7" s="858" t="s">
        <v>51</v>
      </c>
      <c r="B7" s="1469">
        <v>2386189.2599999998</v>
      </c>
      <c r="C7" s="1469">
        <v>1304072.82</v>
      </c>
      <c r="D7" s="1470">
        <f t="shared" si="0"/>
        <v>3690262.08</v>
      </c>
      <c r="E7" s="859"/>
      <c r="F7" s="860" t="s">
        <v>52</v>
      </c>
      <c r="G7" s="1469">
        <v>2067144.48</v>
      </c>
      <c r="H7" s="1469">
        <v>899538.07</v>
      </c>
      <c r="I7" s="1470">
        <f t="shared" si="1"/>
        <v>2966682.55</v>
      </c>
      <c r="J7" s="461"/>
      <c r="K7" s="858" t="s">
        <v>119</v>
      </c>
      <c r="L7" s="1469">
        <v>104973337.75</v>
      </c>
      <c r="M7" s="1469">
        <v>94964313.739999995</v>
      </c>
      <c r="N7" s="1470">
        <f t="shared" si="2"/>
        <v>199937651.49000001</v>
      </c>
      <c r="P7" s="940"/>
      <c r="Q7" s="940"/>
      <c r="R7" s="941"/>
    </row>
    <row r="8" spans="1:18" ht="15" customHeight="1">
      <c r="A8" s="858" t="s">
        <v>53</v>
      </c>
      <c r="B8" s="1469">
        <v>2200079.8199999998</v>
      </c>
      <c r="C8" s="1469">
        <v>1474306.92</v>
      </c>
      <c r="D8" s="1470">
        <f t="shared" si="0"/>
        <v>3674386.7399999998</v>
      </c>
      <c r="E8" s="859"/>
      <c r="F8" s="860" t="s">
        <v>54</v>
      </c>
      <c r="G8" s="1469">
        <v>3947229.92</v>
      </c>
      <c r="H8" s="1469">
        <v>3462764.89</v>
      </c>
      <c r="I8" s="1470">
        <f t="shared" si="1"/>
        <v>7409994.8100000005</v>
      </c>
      <c r="J8" s="461"/>
      <c r="K8" s="858" t="s">
        <v>121</v>
      </c>
      <c r="L8" s="1469">
        <v>4914809.32</v>
      </c>
      <c r="M8" s="1469">
        <v>6048020.4500000002</v>
      </c>
      <c r="N8" s="1470">
        <f t="shared" si="2"/>
        <v>10962829.77</v>
      </c>
      <c r="P8" s="940"/>
      <c r="Q8" s="940"/>
      <c r="R8" s="941"/>
    </row>
    <row r="9" spans="1:18" ht="15" customHeight="1">
      <c r="A9" s="858" t="s">
        <v>55</v>
      </c>
      <c r="B9" s="1469">
        <v>5200620.28</v>
      </c>
      <c r="C9" s="1469">
        <v>4775645.8099999996</v>
      </c>
      <c r="D9" s="1470">
        <f t="shared" si="0"/>
        <v>9976266.0899999999</v>
      </c>
      <c r="E9" s="859"/>
      <c r="F9" s="860" t="s">
        <v>56</v>
      </c>
      <c r="G9" s="1469">
        <v>1405316.4</v>
      </c>
      <c r="H9" s="1469">
        <v>993492.18</v>
      </c>
      <c r="I9" s="1470">
        <f t="shared" si="1"/>
        <v>2398808.58</v>
      </c>
      <c r="J9" s="461"/>
      <c r="K9" s="858" t="s">
        <v>123</v>
      </c>
      <c r="L9" s="1469">
        <v>1029299.3</v>
      </c>
      <c r="M9" s="1469">
        <v>1016477.95</v>
      </c>
      <c r="N9" s="1470">
        <f t="shared" si="2"/>
        <v>2045777.25</v>
      </c>
      <c r="P9" s="940"/>
      <c r="Q9" s="940"/>
      <c r="R9" s="941"/>
    </row>
    <row r="10" spans="1:18" ht="24" customHeight="1">
      <c r="A10" s="858" t="s">
        <v>57</v>
      </c>
      <c r="B10" s="1469">
        <v>2805885.12</v>
      </c>
      <c r="C10" s="1469">
        <v>2135872.06</v>
      </c>
      <c r="D10" s="1470">
        <f t="shared" si="0"/>
        <v>4941757.18</v>
      </c>
      <c r="E10" s="859"/>
      <c r="F10" s="860" t="s">
        <v>58</v>
      </c>
      <c r="G10" s="1469">
        <v>5592779.5</v>
      </c>
      <c r="H10" s="1469">
        <v>5574256.1299999999</v>
      </c>
      <c r="I10" s="1470">
        <f t="shared" si="1"/>
        <v>11167035.629999999</v>
      </c>
      <c r="J10" s="461"/>
      <c r="K10" s="858" t="s">
        <v>125</v>
      </c>
      <c r="L10" s="1469">
        <v>1309413.04</v>
      </c>
      <c r="M10" s="1469">
        <v>1830490.86</v>
      </c>
      <c r="N10" s="1470">
        <f t="shared" si="2"/>
        <v>3139903.9000000004</v>
      </c>
      <c r="P10" s="940"/>
      <c r="Q10" s="940"/>
      <c r="R10" s="941"/>
    </row>
    <row r="11" spans="1:18" ht="15" customHeight="1">
      <c r="A11" s="858" t="s">
        <v>59</v>
      </c>
      <c r="B11" s="1469">
        <v>32375451.57</v>
      </c>
      <c r="C11" s="1469">
        <v>54423399.700000003</v>
      </c>
      <c r="D11" s="1470">
        <f t="shared" si="0"/>
        <v>86798851.270000011</v>
      </c>
      <c r="E11" s="859"/>
      <c r="F11" s="860" t="s">
        <v>60</v>
      </c>
      <c r="G11" s="1469">
        <v>20835714.920000002</v>
      </c>
      <c r="H11" s="1469">
        <v>35945703.729999997</v>
      </c>
      <c r="I11" s="1470">
        <f t="shared" si="1"/>
        <v>56781418.649999999</v>
      </c>
      <c r="J11" s="461"/>
      <c r="K11" s="858" t="s">
        <v>22</v>
      </c>
      <c r="L11" s="1469">
        <v>16770742.199999999</v>
      </c>
      <c r="M11" s="1469">
        <v>17151256.91</v>
      </c>
      <c r="N11" s="1470">
        <f t="shared" si="2"/>
        <v>33921999.109999999</v>
      </c>
      <c r="P11" s="940"/>
      <c r="Q11" s="940"/>
      <c r="R11" s="941"/>
    </row>
    <row r="12" spans="1:18" ht="15" customHeight="1">
      <c r="A12" s="858" t="s">
        <v>61</v>
      </c>
      <c r="B12" s="1469">
        <v>12868140.560000001</v>
      </c>
      <c r="C12" s="1469">
        <v>9737987.5800000001</v>
      </c>
      <c r="D12" s="1470">
        <f t="shared" si="0"/>
        <v>22606128.140000001</v>
      </c>
      <c r="E12" s="859"/>
      <c r="F12" s="860" t="s">
        <v>62</v>
      </c>
      <c r="G12" s="1469">
        <v>61158800.520000003</v>
      </c>
      <c r="H12" s="1469">
        <v>91873116.239999995</v>
      </c>
      <c r="I12" s="1470">
        <f t="shared" si="1"/>
        <v>153031916.75999999</v>
      </c>
      <c r="J12" s="461"/>
      <c r="K12" s="858" t="s">
        <v>127</v>
      </c>
      <c r="L12" s="1469">
        <v>3462965.5</v>
      </c>
      <c r="M12" s="1469">
        <v>4336979.32</v>
      </c>
      <c r="N12" s="1470">
        <f t="shared" si="2"/>
        <v>7799944.8200000003</v>
      </c>
      <c r="P12" s="940"/>
      <c r="Q12" s="940"/>
      <c r="R12" s="941"/>
    </row>
    <row r="13" spans="1:18" ht="15" customHeight="1">
      <c r="A13" s="858" t="s">
        <v>63</v>
      </c>
      <c r="B13" s="1469">
        <v>581117.34</v>
      </c>
      <c r="C13" s="1469">
        <v>1108277.5900000001</v>
      </c>
      <c r="D13" s="1470">
        <f t="shared" si="0"/>
        <v>1689394.9300000002</v>
      </c>
      <c r="E13" s="859"/>
      <c r="F13" s="860" t="s">
        <v>64</v>
      </c>
      <c r="G13" s="1469">
        <v>8209706.5199999996</v>
      </c>
      <c r="H13" s="1469">
        <v>6686765.7999999998</v>
      </c>
      <c r="I13" s="1470">
        <f t="shared" si="1"/>
        <v>14896472.32</v>
      </c>
      <c r="J13" s="461"/>
      <c r="K13" s="858" t="s">
        <v>128</v>
      </c>
      <c r="L13" s="1469">
        <v>15210651.08</v>
      </c>
      <c r="M13" s="1469">
        <v>13377632.26</v>
      </c>
      <c r="N13" s="1470">
        <f t="shared" si="2"/>
        <v>28588283.34</v>
      </c>
      <c r="P13" s="940"/>
      <c r="Q13" s="940"/>
      <c r="R13" s="941"/>
    </row>
    <row r="14" spans="1:18" ht="15" customHeight="1">
      <c r="A14" s="861" t="s">
        <v>347</v>
      </c>
      <c r="B14" s="1469">
        <v>13572697.82</v>
      </c>
      <c r="C14" s="1469">
        <v>10452540.210000001</v>
      </c>
      <c r="D14" s="1470">
        <f t="shared" si="0"/>
        <v>24025238.030000001</v>
      </c>
      <c r="E14" s="859"/>
      <c r="F14" s="860" t="s">
        <v>65</v>
      </c>
      <c r="G14" s="1469">
        <v>257324.78</v>
      </c>
      <c r="H14" s="1469">
        <v>215669.02</v>
      </c>
      <c r="I14" s="1470">
        <f t="shared" si="1"/>
        <v>472993.8</v>
      </c>
      <c r="J14" s="461"/>
      <c r="K14" s="858" t="s">
        <v>130</v>
      </c>
      <c r="L14" s="1469">
        <v>4084912.96</v>
      </c>
      <c r="M14" s="1469">
        <v>2694027.78</v>
      </c>
      <c r="N14" s="1470">
        <f t="shared" si="2"/>
        <v>6778940.7400000002</v>
      </c>
      <c r="P14" s="940"/>
      <c r="Q14" s="940"/>
      <c r="R14" s="941"/>
    </row>
    <row r="15" spans="1:18" ht="24" customHeight="1">
      <c r="A15" s="858" t="s">
        <v>66</v>
      </c>
      <c r="B15" s="1469">
        <v>771974.48</v>
      </c>
      <c r="C15" s="1469">
        <v>556151.34</v>
      </c>
      <c r="D15" s="1470">
        <f t="shared" si="0"/>
        <v>1328125.8199999998</v>
      </c>
      <c r="E15" s="859"/>
      <c r="F15" s="860" t="s">
        <v>67</v>
      </c>
      <c r="G15" s="1469">
        <v>7091150.6200000001</v>
      </c>
      <c r="H15" s="1469">
        <v>5005946.33</v>
      </c>
      <c r="I15" s="1470">
        <f t="shared" si="1"/>
        <v>12097096.949999999</v>
      </c>
      <c r="J15" s="461"/>
      <c r="K15" s="858" t="s">
        <v>132</v>
      </c>
      <c r="L15" s="1469">
        <v>3462015.94</v>
      </c>
      <c r="M15" s="1469">
        <v>2245317.5099999998</v>
      </c>
      <c r="N15" s="1470">
        <f t="shared" si="2"/>
        <v>5707333.4499999993</v>
      </c>
      <c r="P15" s="940"/>
      <c r="Q15" s="940"/>
      <c r="R15" s="941"/>
    </row>
    <row r="16" spans="1:18" ht="15" customHeight="1">
      <c r="A16" s="858" t="s">
        <v>68</v>
      </c>
      <c r="B16" s="1469">
        <v>5761797.2999999998</v>
      </c>
      <c r="C16" s="1469">
        <v>4814749.18</v>
      </c>
      <c r="D16" s="1470">
        <f t="shared" si="0"/>
        <v>10576546.48</v>
      </c>
      <c r="E16" s="859"/>
      <c r="F16" s="860" t="s">
        <v>69</v>
      </c>
      <c r="G16" s="1469">
        <v>13100777.380000001</v>
      </c>
      <c r="H16" s="1469">
        <v>15156248.470000001</v>
      </c>
      <c r="I16" s="1470">
        <f t="shared" si="1"/>
        <v>28257025.850000001</v>
      </c>
      <c r="J16" s="461"/>
      <c r="K16" s="858" t="s">
        <v>134</v>
      </c>
      <c r="L16" s="1469">
        <v>7670368.9199999999</v>
      </c>
      <c r="M16" s="1469">
        <v>7009946.9800000004</v>
      </c>
      <c r="N16" s="1470">
        <f t="shared" si="2"/>
        <v>14680315.9</v>
      </c>
      <c r="P16" s="940"/>
      <c r="Q16" s="940"/>
      <c r="R16" s="941"/>
    </row>
    <row r="17" spans="1:18" ht="15" customHeight="1">
      <c r="A17" s="858" t="s">
        <v>70</v>
      </c>
      <c r="B17" s="1469">
        <v>2054800.52</v>
      </c>
      <c r="C17" s="1469">
        <v>1174723.52</v>
      </c>
      <c r="D17" s="1470">
        <f t="shared" si="0"/>
        <v>3229524.04</v>
      </c>
      <c r="E17" s="859"/>
      <c r="F17" s="860" t="s">
        <v>71</v>
      </c>
      <c r="G17" s="1469">
        <v>920102.42</v>
      </c>
      <c r="H17" s="1469">
        <v>412139.54</v>
      </c>
      <c r="I17" s="1470">
        <f t="shared" si="1"/>
        <v>1332241.96</v>
      </c>
      <c r="J17" s="461"/>
      <c r="K17" s="858" t="s">
        <v>136</v>
      </c>
      <c r="L17" s="1469">
        <v>4920506.5599999996</v>
      </c>
      <c r="M17" s="1469">
        <v>3504004.8</v>
      </c>
      <c r="N17" s="1470">
        <f t="shared" si="2"/>
        <v>8424511.3599999994</v>
      </c>
      <c r="P17" s="940"/>
      <c r="Q17" s="940"/>
      <c r="R17" s="941"/>
    </row>
    <row r="18" spans="1:18" ht="15" customHeight="1">
      <c r="A18" s="858" t="s">
        <v>72</v>
      </c>
      <c r="B18" s="1469">
        <v>2961609.38</v>
      </c>
      <c r="C18" s="1469">
        <v>2250474.98</v>
      </c>
      <c r="D18" s="1470">
        <f t="shared" si="0"/>
        <v>5212084.3599999994</v>
      </c>
      <c r="E18" s="859"/>
      <c r="F18" s="860" t="s">
        <v>73</v>
      </c>
      <c r="G18" s="1469">
        <v>5705774.5</v>
      </c>
      <c r="H18" s="1469">
        <v>4629491.9400000004</v>
      </c>
      <c r="I18" s="1470">
        <f t="shared" si="1"/>
        <v>10335266.440000001</v>
      </c>
      <c r="J18" s="461"/>
      <c r="K18" s="858" t="s">
        <v>138</v>
      </c>
      <c r="L18" s="1469">
        <v>2897040.82</v>
      </c>
      <c r="M18" s="1469">
        <v>1165905.6000000001</v>
      </c>
      <c r="N18" s="1470">
        <f t="shared" si="2"/>
        <v>4062946.42</v>
      </c>
      <c r="P18" s="940"/>
      <c r="Q18" s="940"/>
      <c r="R18" s="941"/>
    </row>
    <row r="19" spans="1:18" ht="15" customHeight="1">
      <c r="A19" s="858" t="s">
        <v>74</v>
      </c>
      <c r="B19" s="1469">
        <v>2588440.94</v>
      </c>
      <c r="C19" s="1469">
        <v>1187568.8700000001</v>
      </c>
      <c r="D19" s="1470">
        <f t="shared" si="0"/>
        <v>3776009.81</v>
      </c>
      <c r="E19" s="859"/>
      <c r="F19" s="860" t="s">
        <v>75</v>
      </c>
      <c r="G19" s="1469">
        <v>3374658.46</v>
      </c>
      <c r="H19" s="1469">
        <v>2188355.54</v>
      </c>
      <c r="I19" s="1470">
        <f t="shared" si="1"/>
        <v>5563014</v>
      </c>
      <c r="J19" s="461"/>
      <c r="K19" s="858" t="s">
        <v>140</v>
      </c>
      <c r="L19" s="1469">
        <v>29312241.66</v>
      </c>
      <c r="M19" s="1469">
        <v>29626495.170000002</v>
      </c>
      <c r="N19" s="1470">
        <f t="shared" si="2"/>
        <v>58938736.829999998</v>
      </c>
      <c r="P19" s="940"/>
      <c r="Q19" s="940"/>
      <c r="R19" s="941"/>
    </row>
    <row r="20" spans="1:18" ht="24" customHeight="1">
      <c r="A20" s="858" t="s">
        <v>76</v>
      </c>
      <c r="B20" s="1469">
        <v>9408973.1799999997</v>
      </c>
      <c r="C20" s="1469">
        <v>8975251.6899999995</v>
      </c>
      <c r="D20" s="1470">
        <f t="shared" si="0"/>
        <v>18384224.869999997</v>
      </c>
      <c r="E20" s="859"/>
      <c r="F20" s="860" t="s">
        <v>77</v>
      </c>
      <c r="G20" s="1469">
        <v>1296119.54</v>
      </c>
      <c r="H20" s="1469">
        <v>2846128.92</v>
      </c>
      <c r="I20" s="1470">
        <f t="shared" si="1"/>
        <v>4142248.46</v>
      </c>
      <c r="J20" s="461"/>
      <c r="K20" s="858" t="s">
        <v>142</v>
      </c>
      <c r="L20" s="1469">
        <v>36025476.119999997</v>
      </c>
      <c r="M20" s="1469">
        <v>23458244.75</v>
      </c>
      <c r="N20" s="1470">
        <f t="shared" si="2"/>
        <v>59483720.869999997</v>
      </c>
      <c r="P20" s="940"/>
      <c r="Q20" s="940"/>
      <c r="R20" s="941"/>
    </row>
    <row r="21" spans="1:18" ht="15" customHeight="1">
      <c r="A21" s="858" t="s">
        <v>78</v>
      </c>
      <c r="B21" s="1469">
        <v>5745655.1799999997</v>
      </c>
      <c r="C21" s="1469">
        <v>4388783.82</v>
      </c>
      <c r="D21" s="1470">
        <f t="shared" si="0"/>
        <v>10134439</v>
      </c>
      <c r="E21" s="859"/>
      <c r="F21" s="860" t="s">
        <v>79</v>
      </c>
      <c r="G21" s="1469">
        <v>3610143.92</v>
      </c>
      <c r="H21" s="1469">
        <v>2136251.87</v>
      </c>
      <c r="I21" s="1470">
        <f t="shared" si="1"/>
        <v>5746395.79</v>
      </c>
      <c r="J21" s="461"/>
      <c r="K21" s="858" t="s">
        <v>144</v>
      </c>
      <c r="L21" s="1469">
        <v>885919.06</v>
      </c>
      <c r="M21" s="1469">
        <v>1761963.67</v>
      </c>
      <c r="N21" s="1470">
        <f t="shared" si="2"/>
        <v>2647882.73</v>
      </c>
      <c r="P21" s="940"/>
      <c r="Q21" s="940"/>
      <c r="R21" s="941"/>
    </row>
    <row r="22" spans="1:18" ht="15" customHeight="1">
      <c r="A22" s="858" t="s">
        <v>80</v>
      </c>
      <c r="B22" s="1469">
        <v>4468526.38</v>
      </c>
      <c r="C22" s="1469">
        <v>3254070.13</v>
      </c>
      <c r="D22" s="1470">
        <f t="shared" si="0"/>
        <v>7722596.5099999998</v>
      </c>
      <c r="E22" s="859"/>
      <c r="F22" s="860" t="s">
        <v>81</v>
      </c>
      <c r="G22" s="1469">
        <v>97819517.599999994</v>
      </c>
      <c r="H22" s="1469">
        <v>111117957.40000001</v>
      </c>
      <c r="I22" s="1470">
        <f t="shared" si="1"/>
        <v>208937475</v>
      </c>
      <c r="J22" s="461"/>
      <c r="K22" s="858" t="s">
        <v>146</v>
      </c>
      <c r="L22" s="1469">
        <v>1279027.8600000001</v>
      </c>
      <c r="M22" s="1469">
        <v>1520485.79</v>
      </c>
      <c r="N22" s="1470">
        <f t="shared" si="2"/>
        <v>2799513.6500000004</v>
      </c>
      <c r="P22" s="940"/>
      <c r="Q22" s="940"/>
      <c r="R22" s="941"/>
    </row>
    <row r="23" spans="1:18" ht="15" customHeight="1">
      <c r="A23" s="858" t="s">
        <v>82</v>
      </c>
      <c r="B23" s="1469">
        <v>820400.94</v>
      </c>
      <c r="C23" s="1469">
        <v>1540796.17</v>
      </c>
      <c r="D23" s="1470">
        <f t="shared" si="0"/>
        <v>2361197.11</v>
      </c>
      <c r="E23" s="859"/>
      <c r="F23" s="860" t="s">
        <v>83</v>
      </c>
      <c r="G23" s="1469">
        <v>6347662.3200000003</v>
      </c>
      <c r="H23" s="1469">
        <v>7495426.3099999996</v>
      </c>
      <c r="I23" s="1470">
        <f t="shared" si="1"/>
        <v>13843088.629999999</v>
      </c>
      <c r="J23" s="461"/>
      <c r="K23" s="858" t="s">
        <v>148</v>
      </c>
      <c r="L23" s="1469">
        <v>6271699.2599999998</v>
      </c>
      <c r="M23" s="1469">
        <v>8058899.8099999996</v>
      </c>
      <c r="N23" s="1470">
        <f t="shared" si="2"/>
        <v>14330599.07</v>
      </c>
      <c r="P23" s="940"/>
      <c r="Q23" s="940"/>
      <c r="R23" s="941"/>
    </row>
    <row r="24" spans="1:18" ht="15" customHeight="1">
      <c r="A24" s="858" t="s">
        <v>84</v>
      </c>
      <c r="B24" s="1469">
        <v>1983585.1</v>
      </c>
      <c r="C24" s="1469">
        <v>1068095.2</v>
      </c>
      <c r="D24" s="1470">
        <f t="shared" si="0"/>
        <v>3051680.3</v>
      </c>
      <c r="E24" s="859"/>
      <c r="F24" s="860" t="s">
        <v>85</v>
      </c>
      <c r="G24" s="1469">
        <v>1919016.58</v>
      </c>
      <c r="H24" s="1469">
        <v>780343.67</v>
      </c>
      <c r="I24" s="1470">
        <f t="shared" si="1"/>
        <v>2699360.25</v>
      </c>
      <c r="J24" s="461"/>
      <c r="K24" s="858" t="s">
        <v>150</v>
      </c>
      <c r="L24" s="1469">
        <v>7244026.2999999998</v>
      </c>
      <c r="M24" s="1469">
        <v>7535099.4800000004</v>
      </c>
      <c r="N24" s="1470">
        <f t="shared" si="2"/>
        <v>14779125.780000001</v>
      </c>
      <c r="P24" s="940"/>
      <c r="Q24" s="940"/>
      <c r="R24" s="941"/>
    </row>
    <row r="25" spans="1:18" ht="24" customHeight="1">
      <c r="A25" s="858" t="s">
        <v>86</v>
      </c>
      <c r="B25" s="1469">
        <v>73705047.620000005</v>
      </c>
      <c r="C25" s="1476">
        <v>75579348.480000004</v>
      </c>
      <c r="D25" s="1470">
        <f t="shared" si="0"/>
        <v>149284396.10000002</v>
      </c>
      <c r="E25" s="859"/>
      <c r="F25" s="860" t="s">
        <v>87</v>
      </c>
      <c r="G25" s="1469">
        <v>2411826.7999999998</v>
      </c>
      <c r="H25" s="1469">
        <v>1724494.93</v>
      </c>
      <c r="I25" s="1470">
        <f t="shared" si="1"/>
        <v>4136321.7299999995</v>
      </c>
      <c r="J25" s="461"/>
      <c r="K25" s="858" t="s">
        <v>152</v>
      </c>
      <c r="L25" s="1469">
        <v>8390118.8000000007</v>
      </c>
      <c r="M25" s="1469">
        <v>11318393.289999999</v>
      </c>
      <c r="N25" s="1470">
        <f t="shared" si="2"/>
        <v>19708512.09</v>
      </c>
      <c r="P25" s="940"/>
      <c r="Q25" s="940"/>
      <c r="R25" s="941"/>
    </row>
    <row r="26" spans="1:18" ht="15" customHeight="1">
      <c r="A26" s="858" t="s">
        <v>88</v>
      </c>
      <c r="B26" s="1469">
        <v>2562803.38</v>
      </c>
      <c r="C26" s="1476">
        <v>1989198.88</v>
      </c>
      <c r="D26" s="1470">
        <f t="shared" si="0"/>
        <v>4552002.26</v>
      </c>
      <c r="E26" s="859"/>
      <c r="F26" s="860" t="s">
        <v>89</v>
      </c>
      <c r="G26" s="1469">
        <v>1136597.1599999999</v>
      </c>
      <c r="H26" s="1469">
        <v>921063.39</v>
      </c>
      <c r="I26" s="1470">
        <f t="shared" si="1"/>
        <v>2057660.5499999998</v>
      </c>
      <c r="J26" s="461"/>
      <c r="K26" s="858" t="s">
        <v>154</v>
      </c>
      <c r="L26" s="1469">
        <v>2751761.48</v>
      </c>
      <c r="M26" s="1469">
        <v>1985027.25</v>
      </c>
      <c r="N26" s="1470">
        <f t="shared" si="2"/>
        <v>4736788.7300000004</v>
      </c>
      <c r="P26" s="940"/>
      <c r="Q26" s="940"/>
      <c r="R26" s="941"/>
    </row>
    <row r="27" spans="1:18" ht="15" customHeight="1">
      <c r="A27" s="858" t="s">
        <v>90</v>
      </c>
      <c r="B27" s="1469">
        <v>772924.06</v>
      </c>
      <c r="C27" s="1476">
        <v>322108.53000000003</v>
      </c>
      <c r="D27" s="1470">
        <f t="shared" si="0"/>
        <v>1095032.5900000001</v>
      </c>
      <c r="E27" s="859"/>
      <c r="F27" s="860" t="s">
        <v>91</v>
      </c>
      <c r="G27" s="1469">
        <v>4457131.9400000004</v>
      </c>
      <c r="H27" s="1469">
        <v>12451724.85</v>
      </c>
      <c r="I27" s="1470">
        <f t="shared" si="1"/>
        <v>16908856.789999999</v>
      </c>
      <c r="J27" s="461"/>
      <c r="K27" s="858" t="s">
        <v>156</v>
      </c>
      <c r="L27" s="1469">
        <v>5870044.6399999997</v>
      </c>
      <c r="M27" s="1469">
        <v>4359487.57</v>
      </c>
      <c r="N27" s="1470">
        <f t="shared" si="2"/>
        <v>10229532.210000001</v>
      </c>
      <c r="P27" s="940"/>
      <c r="Q27" s="940"/>
      <c r="R27" s="941"/>
    </row>
    <row r="28" spans="1:18" ht="15" customHeight="1">
      <c r="A28" s="858" t="s">
        <v>92</v>
      </c>
      <c r="B28" s="1469">
        <v>10554116.16</v>
      </c>
      <c r="C28" s="1476">
        <v>11887251.76</v>
      </c>
      <c r="D28" s="1470">
        <f t="shared" si="0"/>
        <v>22441367.920000002</v>
      </c>
      <c r="E28" s="859"/>
      <c r="F28" s="862" t="s">
        <v>380</v>
      </c>
      <c r="G28" s="1469">
        <v>1279977.3799999999</v>
      </c>
      <c r="H28" s="1469">
        <v>1708215.77</v>
      </c>
      <c r="I28" s="1470">
        <f t="shared" si="1"/>
        <v>2988193.15</v>
      </c>
      <c r="J28" s="461"/>
      <c r="K28" s="858" t="s">
        <v>158</v>
      </c>
      <c r="L28" s="1469">
        <v>4604310.3</v>
      </c>
      <c r="M28" s="1469">
        <v>6610558.9500000002</v>
      </c>
      <c r="N28" s="1470">
        <f t="shared" si="2"/>
        <v>11214869.25</v>
      </c>
      <c r="P28" s="940"/>
      <c r="Q28" s="940"/>
      <c r="R28" s="941"/>
    </row>
    <row r="29" spans="1:18" ht="15" customHeight="1">
      <c r="A29" s="858" t="s">
        <v>94</v>
      </c>
      <c r="B29" s="1469">
        <v>1591425.88</v>
      </c>
      <c r="C29" s="1476">
        <v>832687.78</v>
      </c>
      <c r="D29" s="1470">
        <f t="shared" si="0"/>
        <v>2424113.66</v>
      </c>
      <c r="E29" s="859"/>
      <c r="F29" s="860" t="s">
        <v>95</v>
      </c>
      <c r="G29" s="1469">
        <v>13389436.939999999</v>
      </c>
      <c r="H29" s="1469">
        <v>18278057.309999999</v>
      </c>
      <c r="I29" s="1470">
        <f t="shared" si="1"/>
        <v>31667494.25</v>
      </c>
      <c r="J29" s="461"/>
      <c r="K29" s="858" t="s">
        <v>160</v>
      </c>
      <c r="L29" s="1469">
        <v>14523185.48</v>
      </c>
      <c r="M29" s="1469">
        <v>14775138.26</v>
      </c>
      <c r="N29" s="1470">
        <f t="shared" si="2"/>
        <v>29298323.740000002</v>
      </c>
      <c r="P29" s="940"/>
      <c r="Q29" s="940"/>
      <c r="R29" s="941"/>
    </row>
    <row r="30" spans="1:18" ht="24" customHeight="1">
      <c r="A30" s="858" t="s">
        <v>96</v>
      </c>
      <c r="B30" s="1469">
        <v>2291235.44</v>
      </c>
      <c r="C30" s="1476">
        <v>1147960.22</v>
      </c>
      <c r="D30" s="1470">
        <f t="shared" si="0"/>
        <v>3439195.66</v>
      </c>
      <c r="E30" s="859"/>
      <c r="F30" s="860" t="s">
        <v>97</v>
      </c>
      <c r="G30" s="1469">
        <v>2049103.28</v>
      </c>
      <c r="H30" s="1469">
        <v>2137507.89</v>
      </c>
      <c r="I30" s="1470">
        <f t="shared" si="1"/>
        <v>4186611.17</v>
      </c>
      <c r="J30" s="461"/>
      <c r="P30" s="940"/>
      <c r="Q30" s="940"/>
      <c r="R30" s="941"/>
    </row>
    <row r="31" spans="1:18" ht="15" customHeight="1">
      <c r="A31" s="858" t="s">
        <v>98</v>
      </c>
      <c r="B31" s="1469">
        <v>4913859.72</v>
      </c>
      <c r="C31" s="1476">
        <v>3437522.62</v>
      </c>
      <c r="D31" s="1470">
        <f t="shared" si="0"/>
        <v>8351382.3399999999</v>
      </c>
      <c r="E31" s="859"/>
      <c r="F31" s="860" t="s">
        <v>99</v>
      </c>
      <c r="G31" s="1469">
        <v>3958624.4</v>
      </c>
      <c r="H31" s="1469">
        <v>3540316.53</v>
      </c>
      <c r="I31" s="1470">
        <f t="shared" si="1"/>
        <v>7498940.9299999997</v>
      </c>
      <c r="J31" s="461"/>
      <c r="K31" s="863" t="s">
        <v>19</v>
      </c>
      <c r="L31" s="1487">
        <f>SUM(B5:B39,G5:G39,L5:L29)</f>
        <v>1112969767.8299999</v>
      </c>
      <c r="M31" s="1487">
        <f>SUM(C5:C39,H5:H39,M5:M29)</f>
        <v>1198161937.7599995</v>
      </c>
      <c r="N31" s="1487">
        <f>SUM(L31:M31)</f>
        <v>2311131705.5899992</v>
      </c>
      <c r="P31" s="940"/>
      <c r="Q31" s="940"/>
      <c r="R31" s="941"/>
    </row>
    <row r="32" spans="1:18" ht="15" customHeight="1">
      <c r="A32" s="858" t="s">
        <v>100</v>
      </c>
      <c r="B32" s="1469">
        <v>1617063.4</v>
      </c>
      <c r="C32" s="1476">
        <v>3009443.6</v>
      </c>
      <c r="D32" s="1470">
        <f t="shared" si="0"/>
        <v>4626507</v>
      </c>
      <c r="E32" s="859"/>
      <c r="F32" s="860" t="s">
        <v>101</v>
      </c>
      <c r="G32" s="1469">
        <v>1785131.66</v>
      </c>
      <c r="H32" s="1469">
        <v>2549076.34</v>
      </c>
      <c r="I32" s="1470">
        <f t="shared" si="1"/>
        <v>4334208</v>
      </c>
      <c r="J32" s="461"/>
      <c r="K32" s="461"/>
      <c r="L32" s="1471"/>
      <c r="M32" s="1471"/>
      <c r="N32" s="1472"/>
      <c r="P32" s="940"/>
      <c r="Q32" s="940"/>
      <c r="R32" s="941"/>
    </row>
    <row r="33" spans="1:18" ht="15" customHeight="1">
      <c r="A33" s="858" t="s">
        <v>102</v>
      </c>
      <c r="B33" s="1469">
        <v>217183105.55000001</v>
      </c>
      <c r="C33" s="1476">
        <v>246146831.66</v>
      </c>
      <c r="D33" s="1470">
        <f t="shared" si="0"/>
        <v>463329937.21000004</v>
      </c>
      <c r="E33" s="859"/>
      <c r="F33" s="860" t="s">
        <v>103</v>
      </c>
      <c r="G33" s="1469">
        <v>1401518.24</v>
      </c>
      <c r="H33" s="1469">
        <v>1407909.92</v>
      </c>
      <c r="I33" s="1470">
        <f t="shared" si="1"/>
        <v>2809428.16</v>
      </c>
      <c r="J33" s="461"/>
      <c r="K33" s="461"/>
      <c r="L33" s="1471"/>
      <c r="M33" s="1471"/>
      <c r="N33" s="1472"/>
      <c r="P33" s="940"/>
      <c r="Q33" s="940"/>
      <c r="R33" s="941"/>
    </row>
    <row r="34" spans="1:18" ht="15" customHeight="1">
      <c r="A34" s="858" t="s">
        <v>104</v>
      </c>
      <c r="B34" s="1469">
        <v>14301943.08</v>
      </c>
      <c r="C34" s="1476">
        <v>15697165.130000001</v>
      </c>
      <c r="D34" s="1470">
        <f t="shared" si="0"/>
        <v>29999108.210000001</v>
      </c>
      <c r="E34" s="859"/>
      <c r="F34" s="860" t="s">
        <v>105</v>
      </c>
      <c r="G34" s="1469">
        <v>2334914.2200000002</v>
      </c>
      <c r="H34" s="1469">
        <v>2110972.04</v>
      </c>
      <c r="I34" s="1470">
        <f t="shared" si="1"/>
        <v>4445886.26</v>
      </c>
      <c r="J34" s="461"/>
      <c r="K34" s="461"/>
      <c r="L34" s="1471"/>
      <c r="M34" s="1471"/>
      <c r="N34" s="1472"/>
      <c r="P34" s="940"/>
      <c r="Q34" s="940"/>
      <c r="R34" s="941"/>
    </row>
    <row r="35" spans="1:18" ht="24" customHeight="1">
      <c r="A35" s="858" t="s">
        <v>106</v>
      </c>
      <c r="B35" s="1469">
        <v>2478294.52</v>
      </c>
      <c r="C35" s="1476">
        <v>1685967.27</v>
      </c>
      <c r="D35" s="1470">
        <f t="shared" si="0"/>
        <v>4164261.79</v>
      </c>
      <c r="E35" s="859"/>
      <c r="F35" s="860" t="s">
        <v>107</v>
      </c>
      <c r="G35" s="1469">
        <v>6184341.7199999997</v>
      </c>
      <c r="H35" s="1469">
        <v>5965991.1299999999</v>
      </c>
      <c r="I35" s="1470">
        <f t="shared" si="1"/>
        <v>12150332.85</v>
      </c>
      <c r="J35" s="461"/>
      <c r="K35" s="461"/>
      <c r="L35" s="1471"/>
      <c r="M35" s="1471"/>
      <c r="N35" s="1472"/>
      <c r="P35" s="940"/>
      <c r="Q35" s="940"/>
      <c r="R35" s="941"/>
    </row>
    <row r="36" spans="1:18" ht="15" customHeight="1">
      <c r="A36" s="858" t="s">
        <v>108</v>
      </c>
      <c r="B36" s="1469">
        <v>4471375</v>
      </c>
      <c r="C36" s="1476">
        <v>2899761.91</v>
      </c>
      <c r="D36" s="1470">
        <f t="shared" si="0"/>
        <v>7371136.9100000001</v>
      </c>
      <c r="E36" s="859"/>
      <c r="F36" s="860" t="s">
        <v>109</v>
      </c>
      <c r="G36" s="1469">
        <v>3834234.92</v>
      </c>
      <c r="H36" s="1469">
        <v>3407567.65</v>
      </c>
      <c r="I36" s="1470">
        <f t="shared" si="1"/>
        <v>7241802.5700000003</v>
      </c>
      <c r="J36" s="461"/>
      <c r="K36" s="461"/>
      <c r="L36" s="1471"/>
      <c r="M36" s="1471"/>
      <c r="N36" s="1472"/>
      <c r="P36" s="940"/>
      <c r="Q36" s="940"/>
      <c r="R36" s="941"/>
    </row>
    <row r="37" spans="1:18" ht="15" customHeight="1">
      <c r="A37" s="858" t="s">
        <v>21</v>
      </c>
      <c r="B37" s="1469">
        <v>8548691.6600000001</v>
      </c>
      <c r="C37" s="1476">
        <v>8784210.3699999992</v>
      </c>
      <c r="D37" s="1470">
        <f t="shared" si="0"/>
        <v>17332902.030000001</v>
      </c>
      <c r="E37" s="859"/>
      <c r="F37" s="860" t="s">
        <v>110</v>
      </c>
      <c r="G37" s="1469">
        <v>2662504.88</v>
      </c>
      <c r="H37" s="1469">
        <v>2051045.73</v>
      </c>
      <c r="I37" s="1470">
        <f t="shared" si="1"/>
        <v>4713550.6099999994</v>
      </c>
      <c r="J37" s="461"/>
      <c r="K37" s="461"/>
      <c r="L37" s="1471"/>
      <c r="M37" s="1471"/>
      <c r="N37" s="1472"/>
      <c r="P37" s="940"/>
      <c r="Q37" s="940"/>
      <c r="R37" s="941"/>
    </row>
    <row r="38" spans="1:18" ht="15" customHeight="1">
      <c r="A38" s="858" t="s">
        <v>111</v>
      </c>
      <c r="B38" s="1469">
        <v>17829477.18</v>
      </c>
      <c r="C38" s="1469">
        <v>22360815.239999998</v>
      </c>
      <c r="D38" s="1470">
        <f t="shared" si="0"/>
        <v>40190292.420000002</v>
      </c>
      <c r="E38" s="859"/>
      <c r="F38" s="860" t="s">
        <v>112</v>
      </c>
      <c r="G38" s="1469">
        <v>9841013.0199999996</v>
      </c>
      <c r="H38" s="1469">
        <v>4481536.67</v>
      </c>
      <c r="I38" s="1470">
        <f t="shared" si="1"/>
        <v>14322549.689999999</v>
      </c>
      <c r="J38" s="461"/>
      <c r="K38" s="461"/>
      <c r="L38" s="1471"/>
      <c r="M38" s="1471"/>
      <c r="N38" s="1472"/>
      <c r="P38" s="940"/>
      <c r="Q38" s="940"/>
      <c r="R38" s="941"/>
    </row>
    <row r="39" spans="1:18" ht="15" customHeight="1">
      <c r="A39" s="864" t="s">
        <v>113</v>
      </c>
      <c r="B39" s="1482">
        <v>2806834.7</v>
      </c>
      <c r="C39" s="1482">
        <v>3180691.05</v>
      </c>
      <c r="D39" s="1483">
        <f t="shared" si="0"/>
        <v>5987525.75</v>
      </c>
      <c r="E39" s="859"/>
      <c r="F39" s="865" t="s">
        <v>114</v>
      </c>
      <c r="G39" s="1482">
        <v>5332606.0599999996</v>
      </c>
      <c r="H39" s="1482">
        <v>5439770.9900000002</v>
      </c>
      <c r="I39" s="1483">
        <f t="shared" si="1"/>
        <v>10772377.050000001</v>
      </c>
      <c r="J39" s="461"/>
      <c r="K39" s="461"/>
      <c r="L39" s="1471"/>
      <c r="M39" s="1471"/>
      <c r="N39" s="1472"/>
      <c r="P39" s="940"/>
      <c r="Q39" s="940"/>
      <c r="R39" s="941"/>
    </row>
    <row r="40" spans="1:18" ht="11.15" customHeight="1">
      <c r="A40" s="852"/>
      <c r="B40" s="1473"/>
      <c r="C40" s="1473"/>
      <c r="D40" s="1473"/>
      <c r="E40" s="867"/>
      <c r="F40" s="867"/>
      <c r="G40" s="1473"/>
      <c r="H40" s="1473"/>
      <c r="I40" s="1473"/>
      <c r="J40" s="866"/>
      <c r="K40" s="866"/>
      <c r="L40" s="1473"/>
      <c r="M40" s="1473"/>
      <c r="P40" s="940"/>
      <c r="Q40" s="940"/>
      <c r="R40" s="941"/>
    </row>
    <row r="41" spans="1:18" ht="18">
      <c r="A41" s="843" t="s">
        <v>46</v>
      </c>
      <c r="B41" s="1485"/>
      <c r="C41" s="1471"/>
      <c r="D41" s="1471"/>
      <c r="E41" s="860"/>
      <c r="F41" s="860"/>
      <c r="G41" s="1471"/>
      <c r="H41" s="1471"/>
      <c r="I41" s="1471"/>
      <c r="J41" s="461"/>
      <c r="K41" s="461"/>
      <c r="L41" s="1471"/>
      <c r="M41" s="1471"/>
      <c r="P41" s="940"/>
      <c r="Q41" s="940"/>
      <c r="R41" s="941"/>
    </row>
    <row r="42" spans="1:18">
      <c r="A42" s="852" t="str">
        <f>A2</f>
        <v>Local Sales Tax Distribution - Fiscal Year 2024</v>
      </c>
      <c r="B42" s="1485"/>
      <c r="C42" s="1473"/>
      <c r="D42" s="1473"/>
      <c r="E42" s="867"/>
      <c r="F42" s="867"/>
      <c r="G42" s="1473"/>
      <c r="H42" s="1473"/>
      <c r="I42" s="1473"/>
      <c r="J42" s="866"/>
      <c r="K42" s="866"/>
      <c r="L42" s="1473"/>
      <c r="M42" s="1473"/>
      <c r="P42" s="940"/>
      <c r="Q42" s="940"/>
      <c r="R42" s="941"/>
    </row>
    <row r="43" spans="1:18" ht="11.15" customHeight="1" thickBot="1">
      <c r="A43" s="854"/>
      <c r="B43" s="1474"/>
      <c r="C43" s="1475"/>
      <c r="D43" s="1475"/>
      <c r="E43" s="860"/>
      <c r="F43" s="854"/>
      <c r="G43" s="1474"/>
      <c r="H43" s="1475"/>
      <c r="I43" s="1475"/>
      <c r="J43" s="856"/>
      <c r="K43" s="854"/>
      <c r="L43" s="1474"/>
      <c r="M43" s="1475"/>
      <c r="N43" s="1475"/>
      <c r="P43" s="940"/>
      <c r="Q43" s="940"/>
      <c r="R43" s="941"/>
    </row>
    <row r="44" spans="1:18" ht="21">
      <c r="A44" s="857" t="s">
        <v>20</v>
      </c>
      <c r="B44" s="1467" t="s">
        <v>984</v>
      </c>
      <c r="C44" s="1468" t="s">
        <v>895</v>
      </c>
      <c r="D44" s="1468" t="s">
        <v>985</v>
      </c>
      <c r="E44" s="860"/>
      <c r="F44" s="857" t="s">
        <v>20</v>
      </c>
      <c r="G44" s="1467" t="s">
        <v>984</v>
      </c>
      <c r="H44" s="1468" t="s">
        <v>895</v>
      </c>
      <c r="I44" s="1468" t="s">
        <v>985</v>
      </c>
      <c r="J44" s="856"/>
      <c r="K44" s="857" t="s">
        <v>20</v>
      </c>
      <c r="L44" s="1467" t="s">
        <v>984</v>
      </c>
      <c r="M44" s="1468" t="s">
        <v>895</v>
      </c>
      <c r="N44" s="1468" t="s">
        <v>985</v>
      </c>
      <c r="P44" s="940"/>
      <c r="Q44" s="940"/>
      <c r="R44" s="941"/>
    </row>
    <row r="45" spans="1:18" s="1494" customFormat="1" ht="15" customHeight="1">
      <c r="A45" s="1490" t="s">
        <v>165</v>
      </c>
      <c r="B45" s="1491">
        <v>20532812.260000002</v>
      </c>
      <c r="C45" s="1491">
        <v>39901707.450000003</v>
      </c>
      <c r="D45" s="1492">
        <f t="shared" ref="D45:D59" si="3">SUM(B45:C45)</f>
        <v>60434519.710000008</v>
      </c>
      <c r="E45" s="1493"/>
      <c r="F45" s="1490" t="s">
        <v>135</v>
      </c>
      <c r="G45" s="1491">
        <v>7498502.5</v>
      </c>
      <c r="H45" s="1491">
        <v>18374488.629999999</v>
      </c>
      <c r="I45" s="1492">
        <f t="shared" ref="I45:I59" si="4">SUM(G45:H45)</f>
        <v>25872991.129999999</v>
      </c>
      <c r="J45" s="1490"/>
      <c r="K45" s="1490" t="s">
        <v>22</v>
      </c>
      <c r="L45" s="1491">
        <v>16436504.800000001</v>
      </c>
      <c r="M45" s="1491">
        <v>28465421.449999999</v>
      </c>
      <c r="N45" s="1492">
        <f t="shared" ref="N45:N52" si="5">SUM(L45:M45)</f>
        <v>44901926.25</v>
      </c>
      <c r="P45" s="1495"/>
      <c r="Q45" s="1495"/>
      <c r="R45" s="1495"/>
    </row>
    <row r="46" spans="1:18" ht="15" customHeight="1">
      <c r="A46" s="858" t="s">
        <v>167</v>
      </c>
      <c r="B46" s="1469">
        <v>2900838.94</v>
      </c>
      <c r="C46" s="1469">
        <v>6191509.7000000002</v>
      </c>
      <c r="D46" s="1470">
        <f t="shared" si="3"/>
        <v>9092348.6400000006</v>
      </c>
      <c r="E46" s="859"/>
      <c r="F46" s="860" t="s">
        <v>137</v>
      </c>
      <c r="G46" s="1469">
        <v>4436242.08</v>
      </c>
      <c r="H46" s="1469">
        <v>2706310.48</v>
      </c>
      <c r="I46" s="1470">
        <f t="shared" si="4"/>
        <v>7142552.5600000005</v>
      </c>
      <c r="J46" s="461"/>
      <c r="K46" s="860" t="s">
        <v>162</v>
      </c>
      <c r="L46" s="1469">
        <v>4071619.44</v>
      </c>
      <c r="M46" s="1469">
        <v>9714558.8200000003</v>
      </c>
      <c r="N46" s="1470">
        <f t="shared" si="5"/>
        <v>13786178.26</v>
      </c>
      <c r="P46" s="940"/>
      <c r="Q46" s="940"/>
      <c r="R46" s="941"/>
    </row>
    <row r="47" spans="1:18" ht="15" customHeight="1">
      <c r="A47" s="858" t="s">
        <v>169</v>
      </c>
      <c r="B47" s="1469">
        <v>1049239.6599999999</v>
      </c>
      <c r="C47" s="1469">
        <v>731716.85</v>
      </c>
      <c r="D47" s="1470">
        <f t="shared" si="3"/>
        <v>1780956.5099999998</v>
      </c>
      <c r="E47" s="859"/>
      <c r="F47" s="860" t="s">
        <v>139</v>
      </c>
      <c r="G47" s="1469">
        <v>690314.22</v>
      </c>
      <c r="H47" s="1469">
        <v>1405209.8</v>
      </c>
      <c r="I47" s="1470">
        <f t="shared" si="4"/>
        <v>2095524.02</v>
      </c>
      <c r="J47" s="461"/>
      <c r="K47" s="860" t="s">
        <v>163</v>
      </c>
      <c r="L47" s="1469">
        <v>3778212.16</v>
      </c>
      <c r="M47" s="1469">
        <v>6009130.7699999996</v>
      </c>
      <c r="N47" s="1470">
        <f t="shared" si="5"/>
        <v>9787342.9299999997</v>
      </c>
      <c r="P47" s="940"/>
      <c r="Q47" s="940"/>
      <c r="R47" s="941"/>
    </row>
    <row r="48" spans="1:18" ht="15" customHeight="1">
      <c r="A48" s="858" t="s">
        <v>171</v>
      </c>
      <c r="B48" s="1469">
        <v>6134016.2400000002</v>
      </c>
      <c r="C48" s="1469">
        <v>15179309.779999999</v>
      </c>
      <c r="D48" s="1470">
        <f t="shared" si="3"/>
        <v>21313326.02</v>
      </c>
      <c r="E48" s="859"/>
      <c r="F48" s="860" t="s">
        <v>141</v>
      </c>
      <c r="G48" s="1469">
        <v>11525493.640000001</v>
      </c>
      <c r="H48" s="1469">
        <v>22273880.050000001</v>
      </c>
      <c r="I48" s="1470">
        <f t="shared" si="4"/>
        <v>33799373.689999998</v>
      </c>
      <c r="J48" s="461"/>
      <c r="K48" s="860" t="s">
        <v>164</v>
      </c>
      <c r="L48" s="1469">
        <v>18109590.960000001</v>
      </c>
      <c r="M48" s="1469">
        <v>18224360.449999999</v>
      </c>
      <c r="N48" s="1470">
        <f t="shared" si="5"/>
        <v>36333951.409999996</v>
      </c>
      <c r="P48" s="940"/>
      <c r="Q48" s="940"/>
      <c r="R48" s="941"/>
    </row>
    <row r="49" spans="1:19" ht="24" customHeight="1">
      <c r="A49" s="858" t="s">
        <v>116</v>
      </c>
      <c r="B49" s="1469">
        <v>49921966.380000003</v>
      </c>
      <c r="C49" s="1469">
        <v>57652386.390000001</v>
      </c>
      <c r="D49" s="1470">
        <f t="shared" si="3"/>
        <v>107574352.77000001</v>
      </c>
      <c r="E49" s="859"/>
      <c r="F49" s="860" t="s">
        <v>143</v>
      </c>
      <c r="G49" s="1469">
        <v>8384421.5599999996</v>
      </c>
      <c r="H49" s="1469">
        <v>12755522.390000001</v>
      </c>
      <c r="I49" s="1470">
        <f t="shared" si="4"/>
        <v>21139943.949999999</v>
      </c>
      <c r="J49" s="461"/>
      <c r="K49" s="860" t="s">
        <v>23</v>
      </c>
      <c r="L49" s="1469">
        <v>80644272.140000001</v>
      </c>
      <c r="M49" s="1469">
        <v>92060740.010000005</v>
      </c>
      <c r="N49" s="1470">
        <f t="shared" si="5"/>
        <v>172705012.15000001</v>
      </c>
      <c r="P49" s="940"/>
      <c r="Q49" s="940"/>
      <c r="R49" s="941"/>
    </row>
    <row r="50" spans="1:19" ht="15" customHeight="1">
      <c r="A50" s="858" t="s">
        <v>118</v>
      </c>
      <c r="B50" s="1469">
        <v>3242672.72</v>
      </c>
      <c r="C50" s="1469">
        <v>10200181.41</v>
      </c>
      <c r="D50" s="1470">
        <f t="shared" si="3"/>
        <v>13442854.130000001</v>
      </c>
      <c r="E50" s="859"/>
      <c r="F50" s="860" t="s">
        <v>145</v>
      </c>
      <c r="G50" s="1469">
        <v>3631983.28</v>
      </c>
      <c r="H50" s="1469">
        <v>2675235.06</v>
      </c>
      <c r="I50" s="1470">
        <f t="shared" si="4"/>
        <v>6307218.3399999999</v>
      </c>
      <c r="J50" s="461"/>
      <c r="K50" s="860" t="s">
        <v>166</v>
      </c>
      <c r="L50" s="1469">
        <v>3755423.2</v>
      </c>
      <c r="M50" s="1469">
        <v>7446667.25</v>
      </c>
      <c r="N50" s="1470">
        <f t="shared" si="5"/>
        <v>11202090.449999999</v>
      </c>
      <c r="P50" s="940"/>
      <c r="Q50" s="940"/>
      <c r="R50" s="941"/>
    </row>
    <row r="51" spans="1:19" ht="15" customHeight="1">
      <c r="A51" s="858" t="s">
        <v>120</v>
      </c>
      <c r="B51" s="1469">
        <v>978024.24</v>
      </c>
      <c r="C51" s="1469">
        <v>1818531.08</v>
      </c>
      <c r="D51" s="1470">
        <f t="shared" si="3"/>
        <v>2796555.3200000003</v>
      </c>
      <c r="E51" s="859"/>
      <c r="F51" s="860" t="s">
        <v>147</v>
      </c>
      <c r="G51" s="1469">
        <v>2366249</v>
      </c>
      <c r="H51" s="1469">
        <v>2707921.03</v>
      </c>
      <c r="I51" s="1470">
        <f t="shared" si="4"/>
        <v>5074170.0299999993</v>
      </c>
      <c r="J51" s="461"/>
      <c r="K51" s="860" t="s">
        <v>168</v>
      </c>
      <c r="L51" s="1469">
        <v>1293270.92</v>
      </c>
      <c r="M51" s="1469">
        <v>5864375.0599999996</v>
      </c>
      <c r="N51" s="1470">
        <f t="shared" si="5"/>
        <v>7157645.9799999995</v>
      </c>
      <c r="P51" s="940"/>
      <c r="Q51" s="940"/>
      <c r="R51" s="941"/>
    </row>
    <row r="52" spans="1:19" ht="15" customHeight="1">
      <c r="A52" s="858" t="s">
        <v>122</v>
      </c>
      <c r="B52" s="1469">
        <v>7333282.8600000003</v>
      </c>
      <c r="C52" s="1469">
        <v>13127441.539999999</v>
      </c>
      <c r="D52" s="1470">
        <f t="shared" si="3"/>
        <v>20460724.399999999</v>
      </c>
      <c r="E52" s="859"/>
      <c r="F52" s="860" t="s">
        <v>149</v>
      </c>
      <c r="G52" s="1469">
        <v>31657600.800000001</v>
      </c>
      <c r="H52" s="1469">
        <v>34372279.939999998</v>
      </c>
      <c r="I52" s="1470">
        <f t="shared" si="4"/>
        <v>66029880.739999995</v>
      </c>
      <c r="J52" s="461"/>
      <c r="K52" s="860" t="s">
        <v>170</v>
      </c>
      <c r="L52" s="1469">
        <v>4657484.4400000004</v>
      </c>
      <c r="M52" s="1469">
        <v>12806875.199999999</v>
      </c>
      <c r="N52" s="1470">
        <f t="shared" si="5"/>
        <v>17464359.640000001</v>
      </c>
      <c r="P52" s="940"/>
      <c r="Q52" s="940"/>
      <c r="R52" s="941"/>
    </row>
    <row r="53" spans="1:19" ht="24" customHeight="1">
      <c r="A53" s="860" t="s">
        <v>124</v>
      </c>
      <c r="B53" s="1469">
        <v>1087221.1399999999</v>
      </c>
      <c r="C53" s="1469">
        <v>2378413.46</v>
      </c>
      <c r="D53" s="1470">
        <f t="shared" si="3"/>
        <v>3465634.5999999996</v>
      </c>
      <c r="E53" s="859"/>
      <c r="F53" s="860" t="s">
        <v>151</v>
      </c>
      <c r="G53" s="1469">
        <v>33175912.239999998</v>
      </c>
      <c r="H53" s="1469">
        <v>45348042.299999997</v>
      </c>
      <c r="I53" s="1470">
        <f t="shared" si="4"/>
        <v>78523954.539999992</v>
      </c>
      <c r="J53" s="461"/>
      <c r="K53" s="860"/>
      <c r="L53" s="1476"/>
      <c r="M53" s="1476"/>
      <c r="N53" s="1471"/>
      <c r="P53" s="940"/>
      <c r="Q53" s="940"/>
      <c r="R53" s="941"/>
    </row>
    <row r="54" spans="1:19" ht="15" customHeight="1">
      <c r="A54" s="860" t="s">
        <v>102</v>
      </c>
      <c r="B54" s="1469">
        <v>3544625.78</v>
      </c>
      <c r="C54" s="1469">
        <v>13412537.16</v>
      </c>
      <c r="D54" s="1470">
        <f t="shared" si="3"/>
        <v>16957162.940000001</v>
      </c>
      <c r="E54" s="859"/>
      <c r="F54" s="860" t="s">
        <v>153</v>
      </c>
      <c r="G54" s="1469">
        <v>790965.28</v>
      </c>
      <c r="H54" s="1469">
        <v>2296166.21</v>
      </c>
      <c r="I54" s="1470">
        <f t="shared" si="4"/>
        <v>3087131.49</v>
      </c>
      <c r="J54" s="461"/>
      <c r="K54" s="868" t="s">
        <v>24</v>
      </c>
      <c r="L54" s="1488">
        <f>SUM(B45:B59,G45:G59,L45:L52)</f>
        <v>419451815.97999996</v>
      </c>
      <c r="M54" s="1488">
        <f>SUM(C45:C59,H45:H59,M45:M52)</f>
        <v>610420951.12</v>
      </c>
      <c r="N54" s="1488">
        <f>SUM(L54:M54)</f>
        <v>1029872767.0999999</v>
      </c>
      <c r="P54" s="940"/>
      <c r="Q54" s="940"/>
      <c r="R54" s="941"/>
    </row>
    <row r="55" spans="1:19" ht="15" customHeight="1">
      <c r="A55" s="860" t="s">
        <v>126</v>
      </c>
      <c r="B55" s="1469">
        <v>3042320.14</v>
      </c>
      <c r="C55" s="1469">
        <v>7034188.4699999997</v>
      </c>
      <c r="D55" s="1470">
        <f t="shared" si="3"/>
        <v>10076508.609999999</v>
      </c>
      <c r="E55" s="859"/>
      <c r="F55" s="860" t="s">
        <v>155</v>
      </c>
      <c r="G55" s="1469">
        <v>4761933.6399999997</v>
      </c>
      <c r="H55" s="1469">
        <v>5536967.1299999999</v>
      </c>
      <c r="I55" s="1470">
        <f t="shared" si="4"/>
        <v>10298900.77</v>
      </c>
      <c r="J55" s="461"/>
      <c r="L55" s="1489"/>
      <c r="M55" s="1489"/>
      <c r="N55" s="1489"/>
      <c r="P55" s="940"/>
      <c r="Q55" s="940"/>
      <c r="R55" s="941"/>
    </row>
    <row r="56" spans="1:19" ht="15" customHeight="1">
      <c r="A56" s="860" t="s">
        <v>21</v>
      </c>
      <c r="B56" s="1469">
        <v>1481279.46</v>
      </c>
      <c r="C56" s="1469">
        <v>2488421.14</v>
      </c>
      <c r="D56" s="1470">
        <f t="shared" si="3"/>
        <v>3969700.6</v>
      </c>
      <c r="E56" s="859"/>
      <c r="F56" s="860" t="s">
        <v>157</v>
      </c>
      <c r="G56" s="1469">
        <v>2533367.7000000002</v>
      </c>
      <c r="H56" s="1469">
        <v>1171115.3</v>
      </c>
      <c r="I56" s="1470">
        <f t="shared" si="4"/>
        <v>3704483</v>
      </c>
      <c r="J56" s="461"/>
      <c r="K56" s="869" t="s">
        <v>19</v>
      </c>
      <c r="L56" s="1488">
        <f>L31</f>
        <v>1112969767.8299999</v>
      </c>
      <c r="M56" s="1488">
        <f>M31</f>
        <v>1198161937.7599995</v>
      </c>
      <c r="N56" s="1488">
        <f>SUM(L56:M56)</f>
        <v>2311131705.5899992</v>
      </c>
      <c r="P56" s="940"/>
      <c r="Q56" s="940"/>
      <c r="R56" s="941"/>
    </row>
    <row r="57" spans="1:19" ht="24" customHeight="1">
      <c r="A57" s="860" t="s">
        <v>129</v>
      </c>
      <c r="B57" s="1469">
        <v>4301407.66</v>
      </c>
      <c r="C57" s="1469">
        <v>16306995.08</v>
      </c>
      <c r="D57" s="1470">
        <f t="shared" si="3"/>
        <v>20608402.740000002</v>
      </c>
      <c r="E57" s="859"/>
      <c r="F57" s="860" t="s">
        <v>159</v>
      </c>
      <c r="G57" s="1469">
        <v>16519114.6</v>
      </c>
      <c r="H57" s="1469">
        <v>11986759.279999999</v>
      </c>
      <c r="I57" s="1470">
        <f t="shared" si="4"/>
        <v>28505873.879999999</v>
      </c>
      <c r="J57" s="461"/>
      <c r="K57" s="845"/>
      <c r="L57" s="1489"/>
      <c r="M57" s="1489"/>
      <c r="N57" s="1489"/>
      <c r="P57" s="940"/>
      <c r="Q57" s="940"/>
      <c r="R57" s="941"/>
    </row>
    <row r="58" spans="1:19" ht="15" customHeight="1">
      <c r="A58" s="860" t="s">
        <v>131</v>
      </c>
      <c r="B58" s="1469">
        <v>1304665.3799999999</v>
      </c>
      <c r="C58" s="1469">
        <v>3311007.78</v>
      </c>
      <c r="D58" s="1470">
        <f t="shared" si="3"/>
        <v>4615673.16</v>
      </c>
      <c r="E58" s="859"/>
      <c r="F58" s="860" t="s">
        <v>161</v>
      </c>
      <c r="G58" s="1469">
        <v>1903823.94</v>
      </c>
      <c r="H58" s="1469">
        <v>1650852.72</v>
      </c>
      <c r="I58" s="1470">
        <f t="shared" si="4"/>
        <v>3554676.66</v>
      </c>
      <c r="J58" s="461"/>
      <c r="K58" s="868" t="s">
        <v>25</v>
      </c>
      <c r="L58" s="1488">
        <f>SUM(L54:L56)</f>
        <v>1532421583.8099999</v>
      </c>
      <c r="M58" s="1488">
        <f>SUM(M54:M56)</f>
        <v>1808582888.8799996</v>
      </c>
      <c r="N58" s="1488">
        <f>SUM(N54:N56)</f>
        <v>3341004472.6899991</v>
      </c>
      <c r="P58" s="940"/>
      <c r="Q58" s="940"/>
      <c r="R58" s="941"/>
    </row>
    <row r="59" spans="1:19" ht="15" customHeight="1">
      <c r="A59" s="864" t="s">
        <v>133</v>
      </c>
      <c r="B59" s="1482">
        <v>22158421.460000001</v>
      </c>
      <c r="C59" s="1482">
        <v>22665719.629999999</v>
      </c>
      <c r="D59" s="1483">
        <f t="shared" si="3"/>
        <v>44824141.090000004</v>
      </c>
      <c r="E59" s="859"/>
      <c r="F59" s="865" t="s">
        <v>125</v>
      </c>
      <c r="G59" s="1482">
        <v>27816719.120000001</v>
      </c>
      <c r="H59" s="1482">
        <v>52168004.869999997</v>
      </c>
      <c r="I59" s="1483">
        <f t="shared" si="4"/>
        <v>79984723.989999995</v>
      </c>
      <c r="J59" s="461"/>
      <c r="K59" s="461"/>
      <c r="L59" s="1471"/>
      <c r="M59" s="1471"/>
      <c r="N59" s="1472"/>
      <c r="P59" s="940"/>
      <c r="Q59" s="940"/>
      <c r="R59" s="941"/>
    </row>
    <row r="60" spans="1:19" ht="11.15" customHeight="1">
      <c r="A60" s="870"/>
      <c r="B60" s="1473"/>
      <c r="C60" s="1473"/>
      <c r="D60" s="1473"/>
      <c r="E60" s="867"/>
      <c r="J60" s="845"/>
      <c r="K60" s="845"/>
      <c r="P60" s="940"/>
      <c r="Q60" s="940"/>
      <c r="R60" s="941"/>
    </row>
    <row r="61" spans="1:19" s="1164" customFormat="1" ht="11" hidden="1" customHeight="1">
      <c r="A61" s="1162" t="s">
        <v>15</v>
      </c>
      <c r="B61" s="1165"/>
      <c r="C61" s="1165"/>
      <c r="D61" s="1165"/>
      <c r="F61" s="1162"/>
      <c r="G61" s="1165"/>
      <c r="H61" s="1165"/>
      <c r="I61" s="1165"/>
      <c r="J61" s="1163"/>
      <c r="K61" s="1163"/>
      <c r="L61" s="1165"/>
      <c r="M61" s="1165"/>
      <c r="N61" s="1165"/>
      <c r="R61" s="1165"/>
    </row>
    <row r="62" spans="1:19" s="1164" customFormat="1" ht="11" hidden="1" customHeight="1">
      <c r="A62" s="1162"/>
      <c r="B62" s="1477"/>
      <c r="C62" s="1477"/>
      <c r="D62" s="1477"/>
      <c r="F62" s="1162"/>
      <c r="G62" s="1477"/>
      <c r="H62" s="1637"/>
      <c r="I62" s="1638"/>
      <c r="J62" s="1157"/>
      <c r="K62" s="1157"/>
      <c r="L62" s="1477"/>
      <c r="M62" s="1477"/>
      <c r="N62" s="1165"/>
      <c r="R62" s="1165"/>
    </row>
    <row r="63" spans="1:19">
      <c r="A63" s="745" t="s">
        <v>928</v>
      </c>
      <c r="B63" s="1486"/>
      <c r="C63" s="1486"/>
      <c r="D63" s="1486"/>
      <c r="E63" s="669"/>
      <c r="F63" s="667"/>
      <c r="G63" s="1235"/>
      <c r="H63" s="1235"/>
      <c r="I63" s="1235"/>
      <c r="J63" s="667"/>
      <c r="K63" s="667"/>
      <c r="L63" s="1235"/>
      <c r="M63" s="1235"/>
      <c r="N63" s="1235"/>
      <c r="O63" s="667"/>
      <c r="P63" s="940"/>
      <c r="Q63" s="940"/>
      <c r="R63" s="941"/>
      <c r="S63" s="667"/>
    </row>
    <row r="64" spans="1:19" s="667" customFormat="1" ht="12.75" customHeight="1">
      <c r="A64" s="867"/>
      <c r="B64" s="1473"/>
      <c r="C64" s="1473"/>
      <c r="D64" s="1473"/>
      <c r="E64" s="867"/>
      <c r="F64" s="867"/>
      <c r="G64" s="1473"/>
      <c r="H64" s="1473"/>
      <c r="I64" s="1473"/>
      <c r="J64" s="866"/>
      <c r="K64" s="866"/>
      <c r="L64" s="1473"/>
      <c r="M64" s="1473"/>
      <c r="N64" s="1466"/>
      <c r="O64" s="845"/>
      <c r="P64" s="940"/>
      <c r="Q64" s="940"/>
      <c r="R64" s="941"/>
      <c r="S64" s="845"/>
    </row>
    <row r="65" spans="1:18">
      <c r="A65" s="867"/>
      <c r="B65" s="1473"/>
      <c r="C65" s="1473"/>
      <c r="D65" s="1473"/>
      <c r="E65" s="867"/>
      <c r="F65" s="867"/>
      <c r="G65" s="1473"/>
      <c r="H65" s="1473"/>
      <c r="I65" s="1473"/>
      <c r="J65" s="866"/>
      <c r="K65" s="866"/>
      <c r="L65" s="1473"/>
      <c r="M65" s="1473"/>
      <c r="P65" s="940"/>
      <c r="Q65" s="940"/>
      <c r="R65" s="941"/>
    </row>
    <row r="66" spans="1:18">
      <c r="A66" s="867"/>
      <c r="B66" s="1473"/>
      <c r="C66" s="1473"/>
      <c r="D66" s="1473"/>
      <c r="E66" s="867"/>
      <c r="F66" s="867"/>
      <c r="G66" s="1473"/>
      <c r="H66" s="1473"/>
      <c r="I66" s="1473"/>
      <c r="J66" s="866"/>
      <c r="K66" s="866"/>
      <c r="L66" s="1473"/>
      <c r="M66" s="1473"/>
      <c r="P66" s="940"/>
      <c r="Q66" s="940"/>
      <c r="R66" s="941"/>
    </row>
    <row r="67" spans="1:18">
      <c r="A67" s="867"/>
      <c r="B67" s="1473"/>
      <c r="C67" s="1473"/>
      <c r="D67" s="1473"/>
      <c r="E67" s="867"/>
      <c r="F67" s="867"/>
      <c r="G67" s="1473"/>
      <c r="H67" s="1473"/>
      <c r="I67" s="1473"/>
      <c r="J67" s="866"/>
      <c r="K67" s="866"/>
      <c r="L67" s="1473"/>
      <c r="M67" s="1473"/>
      <c r="P67" s="940"/>
      <c r="Q67" s="940"/>
      <c r="R67" s="941"/>
    </row>
    <row r="68" spans="1:18">
      <c r="A68" s="867"/>
      <c r="B68" s="1473"/>
      <c r="C68" s="1473"/>
      <c r="D68" s="1473"/>
      <c r="E68" s="867"/>
      <c r="F68" s="867"/>
      <c r="G68" s="1473"/>
      <c r="H68" s="1473"/>
      <c r="I68" s="1473"/>
      <c r="J68" s="866"/>
      <c r="K68" s="866"/>
      <c r="L68" s="1473"/>
      <c r="M68" s="1473"/>
      <c r="P68" s="940"/>
      <c r="Q68" s="940"/>
      <c r="R68" s="941"/>
    </row>
    <row r="69" spans="1:18">
      <c r="A69" s="867"/>
      <c r="B69" s="1473"/>
      <c r="C69" s="1473"/>
      <c r="D69" s="1473"/>
      <c r="E69" s="867"/>
      <c r="F69" s="867"/>
      <c r="G69" s="1473"/>
      <c r="H69" s="1473"/>
      <c r="I69" s="1473"/>
      <c r="J69" s="866"/>
      <c r="K69" s="866"/>
      <c r="L69" s="1473"/>
      <c r="M69" s="1473"/>
      <c r="P69" s="940"/>
      <c r="Q69" s="940"/>
      <c r="R69" s="941"/>
    </row>
    <row r="70" spans="1:18">
      <c r="A70" s="866"/>
      <c r="B70" s="1473"/>
      <c r="C70" s="1473"/>
      <c r="D70" s="1473"/>
      <c r="E70" s="867"/>
      <c r="F70" s="867"/>
      <c r="G70" s="1473"/>
      <c r="H70" s="1473"/>
      <c r="I70" s="1473"/>
      <c r="J70" s="866"/>
      <c r="K70" s="866"/>
      <c r="L70" s="1473"/>
      <c r="M70" s="1473"/>
      <c r="P70" s="940"/>
      <c r="Q70" s="940"/>
      <c r="R70" s="941"/>
    </row>
    <row r="71" spans="1:18" s="851" customFormat="1">
      <c r="A71" s="850"/>
      <c r="B71" s="1479"/>
      <c r="C71" s="1479"/>
      <c r="D71" s="1479"/>
      <c r="F71" s="1271"/>
      <c r="G71" s="1478"/>
      <c r="H71" s="1478"/>
      <c r="I71" s="1478"/>
      <c r="J71" s="1269"/>
      <c r="K71" s="1269"/>
      <c r="L71" s="1478"/>
      <c r="M71" s="1478"/>
      <c r="N71" s="1479"/>
      <c r="P71" s="1268"/>
      <c r="Q71" s="1268"/>
      <c r="R71" s="1274"/>
    </row>
    <row r="72" spans="1:18" s="1270" customFormat="1" ht="11" customHeight="1">
      <c r="A72" s="1272"/>
      <c r="B72" s="1480"/>
      <c r="C72" s="1480"/>
      <c r="D72" s="1480"/>
      <c r="F72" s="1273"/>
      <c r="G72" s="1480"/>
      <c r="H72" s="1639"/>
      <c r="I72" s="1640"/>
      <c r="J72" s="1272"/>
      <c r="K72" s="1272"/>
      <c r="L72" s="1480"/>
      <c r="M72" s="1480"/>
      <c r="N72" s="1277"/>
      <c r="R72" s="1277"/>
    </row>
    <row r="73" spans="1:18">
      <c r="P73" s="940"/>
      <c r="Q73" s="940"/>
      <c r="R73" s="941"/>
    </row>
    <row r="74" spans="1:18">
      <c r="P74" s="940"/>
      <c r="Q74" s="940"/>
      <c r="R74" s="941"/>
    </row>
    <row r="75" spans="1:18">
      <c r="P75" s="940"/>
      <c r="Q75" s="940"/>
      <c r="R75" s="941"/>
    </row>
    <row r="76" spans="1:18">
      <c r="P76" s="940"/>
      <c r="Q76" s="940"/>
      <c r="R76" s="941"/>
    </row>
    <row r="77" spans="1:18">
      <c r="P77" s="940"/>
      <c r="Q77" s="940"/>
      <c r="R77" s="941"/>
    </row>
    <row r="78" spans="1:18">
      <c r="P78" s="940"/>
      <c r="Q78" s="940"/>
      <c r="R78" s="941"/>
    </row>
    <row r="79" spans="1:18">
      <c r="P79" s="940"/>
      <c r="Q79" s="940"/>
      <c r="R79" s="941"/>
    </row>
    <row r="80" spans="1:18">
      <c r="P80" s="940"/>
      <c r="Q80" s="940"/>
      <c r="R80" s="941"/>
    </row>
    <row r="81" spans="16:18">
      <c r="P81" s="940"/>
      <c r="Q81" s="940"/>
      <c r="R81" s="941"/>
    </row>
    <row r="82" spans="16:18">
      <c r="P82" s="940"/>
      <c r="Q82" s="940"/>
      <c r="R82" s="941"/>
    </row>
    <row r="83" spans="16:18">
      <c r="P83" s="940"/>
      <c r="Q83" s="940"/>
      <c r="R83" s="941"/>
    </row>
    <row r="84" spans="16:18">
      <c r="P84" s="940"/>
      <c r="Q84" s="940"/>
      <c r="R84" s="941"/>
    </row>
    <row r="85" spans="16:18">
      <c r="P85" s="940"/>
      <c r="Q85" s="940"/>
      <c r="R85" s="941"/>
    </row>
    <row r="86" spans="16:18">
      <c r="P86" s="940"/>
      <c r="Q86" s="940"/>
      <c r="R86" s="941"/>
    </row>
    <row r="87" spans="16:18">
      <c r="P87" s="940"/>
      <c r="Q87" s="940"/>
      <c r="R87" s="941"/>
    </row>
    <row r="88" spans="16:18">
      <c r="P88" s="940"/>
      <c r="Q88" s="940"/>
      <c r="R88" s="941"/>
    </row>
    <row r="89" spans="16:18">
      <c r="P89" s="940"/>
      <c r="Q89" s="940"/>
      <c r="R89" s="941"/>
    </row>
    <row r="90" spans="16:18">
      <c r="P90" s="940"/>
      <c r="Q90" s="940"/>
      <c r="R90" s="941"/>
    </row>
    <row r="91" spans="16:18">
      <c r="P91" s="940"/>
      <c r="Q91" s="940"/>
      <c r="R91" s="941"/>
    </row>
    <row r="92" spans="16:18">
      <c r="P92" s="940"/>
      <c r="Q92" s="940"/>
      <c r="R92" s="941"/>
    </row>
    <row r="93" spans="16:18">
      <c r="P93" s="940"/>
      <c r="Q93" s="940"/>
      <c r="R93" s="941"/>
    </row>
    <row r="94" spans="16:18">
      <c r="P94" s="940"/>
      <c r="Q94" s="940"/>
      <c r="R94" s="941"/>
    </row>
    <row r="95" spans="16:18">
      <c r="P95" s="940"/>
      <c r="Q95" s="940"/>
      <c r="R95" s="941"/>
    </row>
    <row r="96" spans="16:18">
      <c r="P96" s="940"/>
      <c r="Q96" s="940"/>
      <c r="R96" s="941"/>
    </row>
    <row r="97" spans="16:18">
      <c r="P97" s="940"/>
      <c r="Q97" s="940"/>
      <c r="R97" s="941"/>
    </row>
    <row r="98" spans="16:18">
      <c r="P98" s="940"/>
      <c r="Q98" s="940"/>
      <c r="R98" s="941"/>
    </row>
    <row r="99" spans="16:18">
      <c r="P99" s="940"/>
      <c r="Q99" s="940"/>
      <c r="R99" s="941"/>
    </row>
    <row r="100" spans="16:18">
      <c r="P100" s="940"/>
      <c r="Q100" s="940"/>
      <c r="R100" s="941"/>
    </row>
    <row r="101" spans="16:18">
      <c r="P101" s="940"/>
      <c r="Q101" s="940"/>
      <c r="R101" s="941"/>
    </row>
    <row r="102" spans="16:18">
      <c r="P102" s="940"/>
      <c r="Q102" s="940"/>
      <c r="R102" s="941"/>
    </row>
    <row r="103" spans="16:18">
      <c r="P103" s="940"/>
      <c r="Q103" s="940"/>
      <c r="R103" s="941"/>
    </row>
    <row r="104" spans="16:18">
      <c r="P104" s="940"/>
      <c r="Q104" s="940"/>
      <c r="R104" s="941"/>
    </row>
    <row r="105" spans="16:18">
      <c r="P105" s="940"/>
      <c r="Q105" s="940"/>
      <c r="R105" s="941"/>
    </row>
    <row r="106" spans="16:18">
      <c r="P106" s="940"/>
      <c r="Q106" s="940"/>
      <c r="R106" s="941"/>
    </row>
    <row r="107" spans="16:18">
      <c r="P107" s="940"/>
      <c r="Q107" s="940"/>
      <c r="R107" s="941"/>
    </row>
    <row r="108" spans="16:18">
      <c r="P108" s="940"/>
      <c r="Q108" s="940"/>
      <c r="R108" s="941"/>
    </row>
    <row r="109" spans="16:18">
      <c r="P109" s="940"/>
      <c r="Q109" s="940"/>
      <c r="R109" s="941"/>
    </row>
    <row r="110" spans="16:18">
      <c r="P110" s="940"/>
      <c r="Q110" s="940"/>
      <c r="R110" s="941"/>
    </row>
    <row r="111" spans="16:18">
      <c r="P111" s="940"/>
      <c r="Q111" s="940"/>
      <c r="R111" s="941"/>
    </row>
    <row r="112" spans="16:18">
      <c r="P112" s="940"/>
      <c r="Q112" s="940"/>
      <c r="R112" s="941"/>
    </row>
    <row r="113" spans="16:18">
      <c r="P113" s="940"/>
      <c r="Q113" s="940"/>
      <c r="R113" s="941"/>
    </row>
    <row r="114" spans="16:18">
      <c r="P114" s="940"/>
      <c r="Q114" s="940"/>
      <c r="R114" s="941"/>
    </row>
    <row r="115" spans="16:18">
      <c r="P115" s="940"/>
      <c r="Q115" s="940"/>
      <c r="R115" s="941"/>
    </row>
    <row r="116" spans="16:18">
      <c r="P116" s="940"/>
      <c r="Q116" s="940"/>
      <c r="R116" s="941"/>
    </row>
    <row r="117" spans="16:18">
      <c r="P117" s="940"/>
      <c r="Q117" s="940"/>
      <c r="R117" s="941"/>
    </row>
    <row r="118" spans="16:18">
      <c r="P118" s="940"/>
      <c r="Q118" s="940"/>
      <c r="R118" s="941"/>
    </row>
    <row r="119" spans="16:18">
      <c r="P119" s="940"/>
      <c r="Q119" s="940"/>
      <c r="R119" s="941"/>
    </row>
    <row r="120" spans="16:18">
      <c r="P120" s="940"/>
      <c r="Q120" s="940"/>
      <c r="R120" s="941"/>
    </row>
    <row r="121" spans="16:18">
      <c r="P121" s="940"/>
      <c r="Q121" s="940"/>
      <c r="R121" s="941"/>
    </row>
    <row r="122" spans="16:18">
      <c r="P122" s="940"/>
      <c r="Q122" s="940"/>
      <c r="R122" s="941"/>
    </row>
    <row r="123" spans="16:18">
      <c r="P123" s="940"/>
      <c r="Q123" s="940"/>
      <c r="R123" s="941"/>
    </row>
    <row r="124" spans="16:18">
      <c r="P124" s="940"/>
      <c r="Q124" s="940"/>
      <c r="R124" s="941"/>
    </row>
    <row r="125" spans="16:18">
      <c r="P125" s="940"/>
      <c r="Q125" s="940"/>
      <c r="R125" s="941"/>
    </row>
    <row r="126" spans="16:18">
      <c r="P126" s="940"/>
      <c r="Q126" s="940"/>
      <c r="R126" s="941"/>
    </row>
    <row r="127" spans="16:18">
      <c r="P127" s="940"/>
      <c r="Q127" s="940"/>
      <c r="R127" s="941"/>
    </row>
    <row r="128" spans="16:18">
      <c r="P128" s="940"/>
      <c r="Q128" s="940"/>
      <c r="R128" s="941"/>
    </row>
    <row r="129" spans="16:18">
      <c r="P129" s="940"/>
      <c r="Q129" s="940"/>
      <c r="R129" s="941"/>
    </row>
    <row r="130" spans="16:18">
      <c r="P130" s="940"/>
      <c r="Q130" s="940"/>
      <c r="R130" s="941"/>
    </row>
    <row r="131" spans="16:18">
      <c r="P131" s="940"/>
      <c r="Q131" s="940"/>
      <c r="R131" s="941"/>
    </row>
    <row r="132" spans="16:18">
      <c r="P132" s="940"/>
      <c r="Q132" s="940"/>
      <c r="R132" s="941"/>
    </row>
    <row r="133" spans="16:18">
      <c r="P133" s="940"/>
      <c r="Q133" s="940"/>
      <c r="R133" s="941"/>
    </row>
    <row r="134" spans="16:18">
      <c r="P134" s="940"/>
      <c r="Q134" s="940"/>
      <c r="R134" s="941"/>
    </row>
    <row r="135" spans="16:18">
      <c r="P135" s="940"/>
      <c r="Q135" s="940"/>
      <c r="R135" s="941"/>
    </row>
    <row r="136" spans="16:18">
      <c r="P136" s="940"/>
      <c r="Q136" s="940"/>
      <c r="R136" s="941"/>
    </row>
    <row r="137" spans="16:18">
      <c r="P137" s="940"/>
      <c r="Q137" s="940"/>
      <c r="R137" s="941"/>
    </row>
    <row r="138" spans="16:18">
      <c r="P138" s="940"/>
      <c r="Q138" s="940"/>
      <c r="R138" s="941"/>
    </row>
    <row r="139" spans="16:18">
      <c r="P139" s="940"/>
      <c r="Q139" s="940"/>
      <c r="R139" s="941"/>
    </row>
  </sheetData>
  <customSheetViews>
    <customSheetView guid="{E6BBE5A7-0B25-4EE8-BA45-5EA5DBAF3AD4}" showPageBreaks="1" printArea="1">
      <selection activeCell="C50" sqref="C50"/>
      <rowBreaks count="1" manualBreakCount="1">
        <brk id="46" max="16383" man="1"/>
      </rowBreaks>
      <pageMargins left="0.25" right="0.25" top="0.25" bottom="0.5" header="0.5" footer="0.2"/>
      <printOptions horizontalCentered="1" verticalCentered="1"/>
      <pageSetup scale="71" orientation="landscape" r:id="rId1"/>
      <headerFooter alignWithMargins="0"/>
    </customSheetView>
  </customSheetViews>
  <mergeCells count="2">
    <mergeCell ref="H62:I62"/>
    <mergeCell ref="H72:I72"/>
  </mergeCells>
  <conditionalFormatting sqref="E5:E59">
    <cfRule type="cellIs" dxfId="1" priority="1" stopIfTrue="1" operator="notBetween">
      <formula>-0.1</formula>
      <formula>0.1</formula>
    </cfRule>
  </conditionalFormatting>
  <conditionalFormatting sqref="N32:N42 N59">
    <cfRule type="cellIs" dxfId="0" priority="3" stopIfTrue="1" operator="notBetween">
      <formula>-0.1</formula>
      <formula>0.1</formula>
    </cfRule>
  </conditionalFormatting>
  <hyperlinks>
    <hyperlink ref="P1" location="TOC!A1" display="Back" xr:uid="{00000000-0004-0000-1500-000000000000}"/>
  </hyperlinks>
  <printOptions horizontalCentered="1"/>
  <pageMargins left="0.25" right="0.25" top="0.35" bottom="0.25" header="0.25" footer="0.25"/>
  <pageSetup scale="79" fitToHeight="2" orientation="landscape" r:id="rId2"/>
  <headerFooter scaleWithDoc="0">
    <oddHeader>&amp;R&amp;P</oddHeader>
  </headerFooter>
  <rowBreaks count="1" manualBreakCount="1">
    <brk id="40" max="1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dimension ref="A1:J39"/>
  <sheetViews>
    <sheetView zoomScaleNormal="100" workbookViewId="0"/>
  </sheetViews>
  <sheetFormatPr defaultRowHeight="12.5"/>
  <cols>
    <col min="1" max="1" width="11.6328125" customWidth="1"/>
    <col min="2" max="2" width="15" customWidth="1"/>
    <col min="3" max="3" width="13.7265625" customWidth="1"/>
    <col min="4" max="4" width="13" customWidth="1"/>
    <col min="5" max="5" width="15" customWidth="1"/>
    <col min="6" max="6" width="15.6328125" customWidth="1"/>
    <col min="7" max="7" width="20" customWidth="1"/>
    <col min="8" max="8" width="19.1796875" customWidth="1"/>
    <col min="9" max="9" width="10.90625" bestFit="1" customWidth="1"/>
    <col min="10" max="10" width="12.453125" bestFit="1" customWidth="1"/>
  </cols>
  <sheetData>
    <row r="1" spans="1:10" ht="18">
      <c r="A1" s="339" t="s">
        <v>229</v>
      </c>
      <c r="B1" s="6"/>
      <c r="C1" s="6"/>
      <c r="D1" s="6"/>
      <c r="E1" s="8"/>
      <c r="F1" s="36"/>
      <c r="G1" s="36"/>
      <c r="H1" s="6"/>
      <c r="I1" s="811" t="s">
        <v>954</v>
      </c>
    </row>
    <row r="2" spans="1:10" ht="15.5">
      <c r="A2" s="37" t="s">
        <v>174</v>
      </c>
      <c r="B2" s="6"/>
      <c r="C2" s="6"/>
      <c r="D2" s="6"/>
      <c r="E2" s="8"/>
      <c r="F2" s="38"/>
      <c r="G2" s="38"/>
      <c r="H2" s="6"/>
    </row>
    <row r="3" spans="1:10" ht="6" customHeight="1">
      <c r="A3" s="15"/>
      <c r="B3" s="206" t="s">
        <v>728</v>
      </c>
      <c r="C3" s="6"/>
      <c r="D3" s="6"/>
      <c r="E3" s="8"/>
      <c r="F3" s="15"/>
      <c r="G3" s="15"/>
      <c r="H3" s="6"/>
    </row>
    <row r="4" spans="1:10" ht="6" customHeight="1" thickBot="1">
      <c r="A4" s="198"/>
      <c r="B4" s="6"/>
      <c r="C4" s="6"/>
      <c r="D4" s="6"/>
      <c r="E4" s="8"/>
      <c r="F4" s="15"/>
      <c r="G4" s="15"/>
      <c r="H4" s="6"/>
    </row>
    <row r="5" spans="1:10" ht="15" customHeight="1" thickTop="1">
      <c r="A5" s="39"/>
      <c r="B5" s="1166" t="s">
        <v>175</v>
      </c>
      <c r="C5" s="1175" t="s">
        <v>1184</v>
      </c>
      <c r="D5" s="1172" t="s">
        <v>176</v>
      </c>
      <c r="E5" s="1167" t="s">
        <v>177</v>
      </c>
      <c r="F5" s="1177" t="s">
        <v>178</v>
      </c>
      <c r="G5" s="1168" t="s">
        <v>1183</v>
      </c>
      <c r="H5" s="40"/>
    </row>
    <row r="6" spans="1:10" ht="15" customHeight="1">
      <c r="A6" s="41" t="s">
        <v>26</v>
      </c>
      <c r="B6" s="1174" t="s">
        <v>179</v>
      </c>
      <c r="C6" s="1176" t="s">
        <v>1185</v>
      </c>
      <c r="D6" s="1173" t="s">
        <v>17</v>
      </c>
      <c r="E6" s="1171" t="s">
        <v>17</v>
      </c>
      <c r="F6" s="1170" t="s">
        <v>180</v>
      </c>
      <c r="G6" s="1169" t="s">
        <v>1210</v>
      </c>
      <c r="H6" s="42"/>
    </row>
    <row r="7" spans="1:10" ht="15" hidden="1" customHeight="1">
      <c r="A7" s="43">
        <v>2010</v>
      </c>
      <c r="B7" s="195">
        <v>275338000</v>
      </c>
      <c r="C7" s="195">
        <v>5635000</v>
      </c>
      <c r="D7" s="195">
        <v>5671000</v>
      </c>
      <c r="E7" s="195">
        <v>3618000</v>
      </c>
      <c r="F7" s="195">
        <v>6223000</v>
      </c>
      <c r="G7" s="330" t="s">
        <v>45</v>
      </c>
      <c r="H7" s="330"/>
    </row>
    <row r="8" spans="1:10" ht="15" hidden="1" customHeight="1">
      <c r="A8" s="43">
        <v>2011</v>
      </c>
      <c r="B8" s="15">
        <v>276572000</v>
      </c>
      <c r="C8" s="15">
        <v>6176000</v>
      </c>
      <c r="D8" s="15">
        <v>2713000</v>
      </c>
      <c r="E8" s="15">
        <v>3477000</v>
      </c>
      <c r="F8" s="15">
        <v>5985000</v>
      </c>
      <c r="G8" s="330" t="s">
        <v>45</v>
      </c>
      <c r="H8" s="330"/>
    </row>
    <row r="9" spans="1:10" ht="15" hidden="1" customHeight="1">
      <c r="A9" s="43">
        <v>2012</v>
      </c>
      <c r="B9" s="15">
        <v>307149000</v>
      </c>
      <c r="C9" s="15">
        <v>6254000</v>
      </c>
      <c r="D9" s="15">
        <v>298000</v>
      </c>
      <c r="E9" s="15">
        <v>3676000</v>
      </c>
      <c r="F9" s="1178">
        <v>6880000</v>
      </c>
      <c r="G9" s="330" t="s">
        <v>45</v>
      </c>
      <c r="H9" s="330"/>
    </row>
    <row r="10" spans="1:10" ht="15" hidden="1" customHeight="1">
      <c r="A10" s="43">
        <v>2013</v>
      </c>
      <c r="B10" s="15">
        <v>360109000</v>
      </c>
      <c r="C10" s="15">
        <v>6181000</v>
      </c>
      <c r="D10" s="15">
        <v>-268000</v>
      </c>
      <c r="E10" s="15">
        <v>5514000</v>
      </c>
      <c r="F10" s="1178">
        <v>7327000</v>
      </c>
      <c r="G10" s="330" t="s">
        <v>45</v>
      </c>
      <c r="H10" s="330"/>
    </row>
    <row r="11" spans="1:10" ht="15" customHeight="1">
      <c r="A11" s="43">
        <v>2014</v>
      </c>
      <c r="B11" s="195">
        <v>296103000</v>
      </c>
      <c r="C11" s="195">
        <v>6425000</v>
      </c>
      <c r="D11" s="195">
        <v>196000</v>
      </c>
      <c r="E11" s="195">
        <v>4222000</v>
      </c>
      <c r="F11" s="1532">
        <v>6979000</v>
      </c>
      <c r="G11" s="1180">
        <v>320421000</v>
      </c>
      <c r="H11" s="330"/>
    </row>
    <row r="12" spans="1:10" ht="15" customHeight="1">
      <c r="A12" s="43">
        <v>2015</v>
      </c>
      <c r="B12" s="15">
        <v>331713000</v>
      </c>
      <c r="C12" s="15">
        <v>6419000</v>
      </c>
      <c r="D12" s="15">
        <v>98000</v>
      </c>
      <c r="E12" s="15">
        <v>4493000</v>
      </c>
      <c r="F12" s="1178">
        <v>7089000</v>
      </c>
      <c r="G12" s="1181">
        <v>300641000</v>
      </c>
      <c r="H12" s="330"/>
    </row>
    <row r="13" spans="1:10" ht="15" customHeight="1">
      <c r="A13" s="43">
        <v>2016</v>
      </c>
      <c r="B13" s="15">
        <v>354104000</v>
      </c>
      <c r="C13" s="15">
        <v>6364000</v>
      </c>
      <c r="D13" s="15">
        <v>222000</v>
      </c>
      <c r="E13" s="15">
        <v>4688000</v>
      </c>
      <c r="F13" s="1178">
        <v>6538000</v>
      </c>
      <c r="G13" s="1181">
        <v>339081000</v>
      </c>
      <c r="H13" s="330"/>
    </row>
    <row r="14" spans="1:10" ht="15" customHeight="1">
      <c r="A14" s="43">
        <v>2017</v>
      </c>
      <c r="B14" s="15">
        <v>378757000</v>
      </c>
      <c r="C14" s="15">
        <v>6521000</v>
      </c>
      <c r="D14" s="15">
        <v>8202000</v>
      </c>
      <c r="E14" s="15">
        <v>3597000</v>
      </c>
      <c r="F14" s="1178">
        <v>6346000</v>
      </c>
      <c r="G14" s="1181">
        <v>340910000</v>
      </c>
      <c r="H14" s="375"/>
      <c r="I14" s="372"/>
      <c r="J14" s="372"/>
    </row>
    <row r="15" spans="1:10" ht="15" customHeight="1">
      <c r="A15" s="43">
        <v>2018</v>
      </c>
      <c r="B15" s="15">
        <v>380183000</v>
      </c>
      <c r="C15" s="15">
        <v>6415000</v>
      </c>
      <c r="D15" s="15">
        <v>932000</v>
      </c>
      <c r="E15" s="15">
        <v>7365000</v>
      </c>
      <c r="F15" s="1178">
        <v>6469000</v>
      </c>
      <c r="G15" s="1181">
        <v>337947000</v>
      </c>
      <c r="H15" s="376"/>
      <c r="I15" s="372"/>
      <c r="J15" s="372"/>
    </row>
    <row r="16" spans="1:10" ht="15" customHeight="1">
      <c r="A16" s="43">
        <v>2019</v>
      </c>
      <c r="B16" s="15">
        <v>372107000</v>
      </c>
      <c r="C16" s="15">
        <v>6738000</v>
      </c>
      <c r="D16" s="15">
        <v>191000</v>
      </c>
      <c r="E16" s="15">
        <v>5681000</v>
      </c>
      <c r="F16" s="1178">
        <v>6444000</v>
      </c>
      <c r="G16" s="1182">
        <v>382018000</v>
      </c>
      <c r="H16" s="377"/>
      <c r="I16" s="372"/>
      <c r="J16" s="372"/>
    </row>
    <row r="17" spans="1:10" ht="15" customHeight="1">
      <c r="A17" s="43">
        <v>2020</v>
      </c>
      <c r="B17" s="15">
        <f>ROUND(39715917.44+-6507.25+-48621.15+487130322.81+-59669923.88,-3)</f>
        <v>467121000</v>
      </c>
      <c r="C17" s="15">
        <f>ROUND(6074046.59+-46849.18+0+560500.22,-3)</f>
        <v>6588000</v>
      </c>
      <c r="D17" s="15">
        <f>ROUND(10996+69278.18,-3)</f>
        <v>80000</v>
      </c>
      <c r="E17" s="15">
        <f>ROUND(6772425.16,-3)</f>
        <v>6772000</v>
      </c>
      <c r="F17" s="1178">
        <f>ROUND(5794346.74+726593.281,-3)</f>
        <v>6521000</v>
      </c>
      <c r="G17" s="1182">
        <f>ROUND(603081210.21-242492835.9,-3)</f>
        <v>360588000</v>
      </c>
      <c r="H17" s="377"/>
      <c r="I17" s="377"/>
      <c r="J17" s="377"/>
    </row>
    <row r="18" spans="1:10" ht="15" customHeight="1">
      <c r="A18" s="43">
        <v>2021</v>
      </c>
      <c r="B18" s="15">
        <f>ROUND(656755933.34,-3)</f>
        <v>656756000</v>
      </c>
      <c r="C18" s="15">
        <f>ROUND(7768577.65,-3)</f>
        <v>7769000</v>
      </c>
      <c r="D18" s="15">
        <f>ROUND(810177.55,-3)</f>
        <v>810000</v>
      </c>
      <c r="E18" s="15">
        <f>ROUND(9398274.96,-3)</f>
        <v>9398000</v>
      </c>
      <c r="F18" s="1178">
        <f>ROUND(6050514.76,-3)</f>
        <v>6051000</v>
      </c>
      <c r="G18" s="1182">
        <f>ROUND(363104671.05,-3)</f>
        <v>363105000</v>
      </c>
      <c r="H18" s="377"/>
      <c r="I18" s="372"/>
      <c r="J18" s="372"/>
    </row>
    <row r="19" spans="1:10" ht="15" customHeight="1">
      <c r="A19" s="43">
        <v>2022</v>
      </c>
      <c r="B19" s="582">
        <v>634000000</v>
      </c>
      <c r="C19" s="582">
        <v>8542000</v>
      </c>
      <c r="D19" s="582">
        <v>27000</v>
      </c>
      <c r="E19" s="582">
        <v>9070000</v>
      </c>
      <c r="F19" s="1179">
        <v>6110000</v>
      </c>
      <c r="G19" s="1183">
        <v>426830000</v>
      </c>
      <c r="H19" s="373"/>
      <c r="I19" s="372"/>
      <c r="J19" s="372"/>
    </row>
    <row r="20" spans="1:10" ht="15" customHeight="1">
      <c r="A20" s="43">
        <v>2023</v>
      </c>
      <c r="B20" s="582">
        <v>415504000</v>
      </c>
      <c r="C20" s="582">
        <v>8465000</v>
      </c>
      <c r="D20" s="582">
        <v>0</v>
      </c>
      <c r="E20" s="582">
        <v>9306000</v>
      </c>
      <c r="F20" s="1179">
        <v>6681000</v>
      </c>
      <c r="G20" s="1183">
        <v>450877000</v>
      </c>
      <c r="H20" s="373"/>
      <c r="I20" s="372"/>
      <c r="J20" s="372"/>
    </row>
    <row r="21" spans="1:10" ht="15" customHeight="1">
      <c r="A21" s="43">
        <v>2024</v>
      </c>
      <c r="B21" s="582">
        <v>392017000</v>
      </c>
      <c r="C21" s="582">
        <v>8501000</v>
      </c>
      <c r="D21" s="582">
        <v>0</v>
      </c>
      <c r="E21" s="582">
        <v>8049000</v>
      </c>
      <c r="F21" s="1179">
        <v>7251000</v>
      </c>
      <c r="G21" s="1183">
        <v>468192000</v>
      </c>
      <c r="H21" s="373"/>
      <c r="I21" s="372"/>
      <c r="J21" s="372"/>
    </row>
    <row r="22" spans="1:10" s="666" customFormat="1" ht="13">
      <c r="A22" s="748"/>
      <c r="B22" s="747"/>
      <c r="C22" s="747"/>
      <c r="D22" s="747"/>
      <c r="E22" s="747"/>
      <c r="F22" s="747"/>
      <c r="G22" s="747"/>
      <c r="H22" s="748"/>
      <c r="I22" s="749" t="s">
        <v>729</v>
      </c>
    </row>
    <row r="23" spans="1:10" s="1157" customFormat="1" ht="14.5" customHeight="1">
      <c r="A23" s="1641" t="s">
        <v>1219</v>
      </c>
      <c r="B23" s="1641"/>
      <c r="C23" s="1641"/>
      <c r="D23" s="1641"/>
      <c r="E23" s="1641"/>
      <c r="F23" s="1641"/>
      <c r="G23" s="1641"/>
      <c r="H23" s="1641"/>
    </row>
    <row r="24" spans="1:10" s="1157" customFormat="1" ht="50" customHeight="1">
      <c r="A24" s="1642" t="s">
        <v>1266</v>
      </c>
      <c r="B24" s="1642"/>
      <c r="C24" s="1642"/>
      <c r="D24" s="1642"/>
      <c r="E24" s="1642"/>
      <c r="F24" s="1642"/>
      <c r="G24" s="1642"/>
      <c r="H24" s="1642"/>
    </row>
    <row r="25" spans="1:10" s="1157" customFormat="1" ht="27" customHeight="1">
      <c r="A25" s="1642" t="s">
        <v>1220</v>
      </c>
      <c r="B25" s="1642"/>
      <c r="C25" s="1642"/>
      <c r="D25" s="1642"/>
      <c r="E25" s="1642"/>
      <c r="F25" s="1642"/>
      <c r="G25" s="1642"/>
      <c r="H25" s="1642"/>
    </row>
    <row r="26" spans="1:10" s="1157" customFormat="1" ht="15" customHeight="1">
      <c r="A26" s="1641" t="s">
        <v>741</v>
      </c>
      <c r="B26" s="1641"/>
      <c r="C26" s="1641"/>
      <c r="D26" s="1641"/>
      <c r="E26" s="1641"/>
      <c r="F26" s="1641"/>
      <c r="G26" s="1641"/>
      <c r="H26" s="1641"/>
    </row>
    <row r="27" spans="1:10" s="1157" customFormat="1" ht="15" customHeight="1">
      <c r="A27" s="1641" t="s">
        <v>742</v>
      </c>
      <c r="B27" s="1641"/>
      <c r="C27" s="1641"/>
      <c r="D27" s="1641"/>
      <c r="E27" s="1641"/>
      <c r="F27" s="1641"/>
      <c r="G27" s="1641"/>
      <c r="H27" s="1641"/>
    </row>
    <row r="28" spans="1:10" s="1157" customFormat="1" ht="50" customHeight="1">
      <c r="A28" s="1641" t="s">
        <v>1182</v>
      </c>
      <c r="B28" s="1641"/>
      <c r="C28" s="1641"/>
      <c r="D28" s="1641"/>
      <c r="E28" s="1641"/>
      <c r="F28" s="1641"/>
      <c r="G28" s="1641"/>
      <c r="H28" s="1641"/>
    </row>
    <row r="29" spans="1:10" s="667" customFormat="1" ht="12.75" customHeight="1">
      <c r="A29" s="745" t="s">
        <v>927</v>
      </c>
      <c r="B29" s="668"/>
      <c r="C29" s="668"/>
      <c r="D29" s="668"/>
      <c r="E29" s="669"/>
    </row>
    <row r="37" spans="1:10" s="1424" customFormat="1" ht="11.5"/>
    <row r="38" spans="1:10" s="1424" customFormat="1" ht="11.5">
      <c r="A38" s="1425"/>
      <c r="B38" s="1425"/>
      <c r="C38" s="1425"/>
      <c r="D38" s="1425"/>
      <c r="E38" s="1425"/>
      <c r="F38" s="1425"/>
      <c r="G38" s="1425"/>
      <c r="H38" s="1425"/>
      <c r="I38" s="1275"/>
      <c r="J38" s="1275"/>
    </row>
    <row r="39" spans="1:10" s="1272" customFormat="1" ht="11.5">
      <c r="A39" s="1426"/>
      <c r="B39" s="1426"/>
      <c r="C39" s="1426"/>
      <c r="D39" s="1426"/>
      <c r="E39" s="1426"/>
      <c r="F39" s="1426"/>
      <c r="G39" s="1426"/>
      <c r="H39" s="1426"/>
    </row>
  </sheetData>
  <customSheetViews>
    <customSheetView guid="{E6BBE5A7-0B25-4EE8-BA45-5EA5DBAF3AD4}">
      <selection activeCell="A19" sqref="A19"/>
      <pageMargins left="0.75" right="0.75" top="0.75" bottom="1" header="0.5" footer="0.5"/>
      <printOptions horizontalCentered="1"/>
      <pageSetup scale="88" orientation="landscape" r:id="rId1"/>
      <headerFooter alignWithMargins="0"/>
    </customSheetView>
  </customSheetViews>
  <mergeCells count="6">
    <mergeCell ref="A23:H23"/>
    <mergeCell ref="A25:H25"/>
    <mergeCell ref="A24:H24"/>
    <mergeCell ref="A28:H28"/>
    <mergeCell ref="A26:H26"/>
    <mergeCell ref="A27:H27"/>
  </mergeCells>
  <phoneticPr fontId="14" type="noConversion"/>
  <hyperlinks>
    <hyperlink ref="I1" location="TOC!A1" display="Back" xr:uid="{00000000-0004-0000-1600-000000000000}"/>
  </hyperlinks>
  <pageMargins left="0.6" right="0.25" top="0.5" bottom="0.25" header="0.25" footer="0.25"/>
  <pageSetup orientation="landscape" r:id="rId2"/>
  <headerFooter scaleWithDoc="0">
    <oddHeader>&amp;R&amp;P</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9"/>
  <dimension ref="A1:Y68"/>
  <sheetViews>
    <sheetView zoomScaleNormal="100" workbookViewId="0"/>
  </sheetViews>
  <sheetFormatPr defaultRowHeight="12.5"/>
  <cols>
    <col min="1" max="1" width="12.6328125" customWidth="1"/>
    <col min="2" max="2" width="14.6328125" customWidth="1"/>
    <col min="3" max="5" width="13.7265625" customWidth="1"/>
    <col min="6" max="7" width="15.6328125" customWidth="1"/>
    <col min="8" max="8" width="14.6328125" customWidth="1"/>
    <col min="9" max="9" width="13.7265625" customWidth="1"/>
    <col min="10" max="10" width="8.7265625" customWidth="1"/>
    <col min="11" max="11" width="12.54296875" bestFit="1" customWidth="1"/>
    <col min="12" max="12" width="11.81640625" customWidth="1"/>
    <col min="13" max="13" width="12" customWidth="1"/>
    <col min="14" max="14" width="11.54296875" customWidth="1"/>
    <col min="15" max="15" width="12.26953125" customWidth="1"/>
    <col min="16" max="16" width="9.81640625" customWidth="1"/>
    <col min="17" max="17" width="9.81640625" bestFit="1" customWidth="1"/>
    <col min="18" max="18" width="11" customWidth="1"/>
    <col min="19" max="20" width="9.26953125" bestFit="1" customWidth="1"/>
    <col min="21" max="21" width="9.81640625" bestFit="1" customWidth="1"/>
    <col min="22" max="22" width="10.7265625" customWidth="1"/>
    <col min="23" max="24" width="9.26953125" bestFit="1" customWidth="1"/>
  </cols>
  <sheetData>
    <row r="1" spans="1:25" ht="17.5" customHeight="1">
      <c r="A1" s="44" t="s">
        <v>230</v>
      </c>
      <c r="B1" s="6"/>
      <c r="C1" s="6"/>
      <c r="D1" s="6"/>
      <c r="E1" s="6"/>
      <c r="F1" s="8"/>
      <c r="G1" s="6"/>
      <c r="H1" s="6"/>
      <c r="K1" s="811" t="s">
        <v>954</v>
      </c>
    </row>
    <row r="2" spans="1:25" ht="15.65" customHeight="1">
      <c r="A2" s="3" t="s">
        <v>739</v>
      </c>
      <c r="B2" s="6"/>
      <c r="C2" s="6"/>
      <c r="D2" s="6"/>
      <c r="E2" s="6"/>
      <c r="F2" s="8"/>
      <c r="G2" s="6"/>
      <c r="H2" s="6"/>
    </row>
    <row r="3" spans="1:25" ht="5" customHeight="1">
      <c r="A3" s="207"/>
      <c r="B3" s="222"/>
      <c r="C3" s="6"/>
      <c r="D3" s="6"/>
      <c r="E3" s="222"/>
      <c r="F3" s="6"/>
      <c r="G3" s="6"/>
      <c r="H3" s="222"/>
    </row>
    <row r="4" spans="1:25" ht="5" customHeight="1" thickBot="1">
      <c r="A4" s="1188"/>
      <c r="B4" s="1189"/>
      <c r="C4" s="1190"/>
      <c r="D4" s="1190"/>
      <c r="E4" s="1189"/>
      <c r="F4" s="1190"/>
      <c r="G4" s="1190"/>
      <c r="H4" s="1189"/>
    </row>
    <row r="5" spans="1:25" ht="27" customHeight="1" thickTop="1">
      <c r="A5" s="1191" t="s">
        <v>26</v>
      </c>
      <c r="B5" s="1191" t="s">
        <v>1187</v>
      </c>
      <c r="C5" s="1191" t="s">
        <v>1188</v>
      </c>
      <c r="D5" s="1192" t="s">
        <v>1189</v>
      </c>
      <c r="E5" s="1192" t="s">
        <v>1199</v>
      </c>
      <c r="F5" s="1192" t="s">
        <v>252</v>
      </c>
      <c r="G5" s="1192" t="s">
        <v>1191</v>
      </c>
      <c r="H5" s="1191" t="s">
        <v>1190</v>
      </c>
      <c r="I5" s="1290" t="s">
        <v>1225</v>
      </c>
      <c r="K5" s="71"/>
      <c r="L5" s="71"/>
      <c r="M5" s="71"/>
      <c r="N5" s="71"/>
      <c r="O5" s="71"/>
      <c r="P5" s="71"/>
      <c r="Q5" s="71"/>
      <c r="R5" s="71"/>
      <c r="S5" s="71"/>
      <c r="T5" s="71"/>
      <c r="U5" s="71"/>
      <c r="V5" s="71"/>
      <c r="W5" s="71"/>
      <c r="X5" s="71"/>
      <c r="Y5" s="71"/>
    </row>
    <row r="6" spans="1:25" ht="12.75" hidden="1" customHeight="1">
      <c r="A6" s="43">
        <v>2010</v>
      </c>
      <c r="B6" s="195">
        <v>5107000</v>
      </c>
      <c r="C6" s="195">
        <v>146000</v>
      </c>
      <c r="D6" s="195">
        <v>99000</v>
      </c>
      <c r="E6" s="195">
        <v>549000</v>
      </c>
      <c r="F6" s="329">
        <v>158389000</v>
      </c>
      <c r="G6" s="329">
        <v>17668000</v>
      </c>
      <c r="H6" s="195">
        <v>8309000</v>
      </c>
      <c r="I6" s="195"/>
      <c r="K6" s="71"/>
      <c r="L6" s="71"/>
      <c r="M6" s="71"/>
      <c r="N6" s="71"/>
      <c r="O6" s="71"/>
      <c r="P6" s="71"/>
      <c r="Q6" s="71"/>
      <c r="R6" s="71"/>
      <c r="S6" s="71"/>
      <c r="T6" s="71"/>
      <c r="U6" s="71"/>
      <c r="V6" s="71"/>
      <c r="W6" s="71"/>
      <c r="X6" s="71"/>
      <c r="Y6" s="71"/>
    </row>
    <row r="7" spans="1:25" ht="12.5" hidden="1" customHeight="1">
      <c r="A7" s="43">
        <v>2011</v>
      </c>
      <c r="B7" s="15">
        <v>5143000</v>
      </c>
      <c r="C7" s="15">
        <v>151000</v>
      </c>
      <c r="D7" s="15">
        <v>102000</v>
      </c>
      <c r="E7" s="15">
        <v>424000</v>
      </c>
      <c r="F7" s="15">
        <v>155719000</v>
      </c>
      <c r="G7" s="15">
        <v>18012000</v>
      </c>
      <c r="H7" s="15">
        <v>6449000</v>
      </c>
      <c r="I7" s="15"/>
      <c r="K7" s="71"/>
      <c r="L7" s="71"/>
      <c r="M7" s="71"/>
      <c r="N7" s="71"/>
      <c r="O7" s="71"/>
      <c r="P7" s="71"/>
      <c r="Q7" s="71"/>
      <c r="R7" s="71"/>
      <c r="S7" s="71"/>
      <c r="T7" s="71"/>
      <c r="U7" s="71"/>
      <c r="V7" s="71"/>
      <c r="W7" s="71"/>
      <c r="X7" s="71"/>
    </row>
    <row r="8" spans="1:25" ht="15" hidden="1" customHeight="1">
      <c r="A8" s="1187">
        <v>2012</v>
      </c>
      <c r="B8" s="15">
        <v>3412000</v>
      </c>
      <c r="C8" s="15">
        <v>149000</v>
      </c>
      <c r="D8" s="15">
        <v>172000</v>
      </c>
      <c r="E8" s="15">
        <v>596000</v>
      </c>
      <c r="F8" s="15">
        <v>173911000</v>
      </c>
      <c r="G8" s="15">
        <v>18542000</v>
      </c>
      <c r="H8" s="15">
        <v>4725000</v>
      </c>
      <c r="I8" s="15"/>
    </row>
    <row r="9" spans="1:25" ht="15" hidden="1" customHeight="1">
      <c r="A9" s="1187">
        <v>2013</v>
      </c>
      <c r="B9" s="15">
        <v>2544000</v>
      </c>
      <c r="C9" s="15">
        <v>160000</v>
      </c>
      <c r="D9" s="15">
        <v>265000</v>
      </c>
      <c r="E9" s="15">
        <v>895000</v>
      </c>
      <c r="F9" s="15">
        <v>169297000</v>
      </c>
      <c r="G9" s="15">
        <v>18577000</v>
      </c>
      <c r="H9" s="15">
        <v>5753000</v>
      </c>
      <c r="I9" s="15"/>
    </row>
    <row r="10" spans="1:25" ht="15" customHeight="1">
      <c r="A10" s="1187">
        <v>2014</v>
      </c>
      <c r="B10" s="195">
        <v>2611000</v>
      </c>
      <c r="C10" s="195">
        <v>152000</v>
      </c>
      <c r="D10" s="195">
        <v>224000</v>
      </c>
      <c r="E10" s="195">
        <v>811000</v>
      </c>
      <c r="F10" s="195">
        <v>161619000</v>
      </c>
      <c r="G10" s="195">
        <v>19007000</v>
      </c>
      <c r="H10" s="195">
        <v>2919000</v>
      </c>
      <c r="I10" s="195"/>
    </row>
    <row r="11" spans="1:25" ht="15" customHeight="1">
      <c r="A11" s="1187">
        <v>2015</v>
      </c>
      <c r="B11" s="15">
        <v>2738000</v>
      </c>
      <c r="C11" s="15">
        <v>175000</v>
      </c>
      <c r="D11" s="15">
        <v>289000</v>
      </c>
      <c r="E11" s="15">
        <v>735000</v>
      </c>
      <c r="F11" s="15">
        <v>159856000</v>
      </c>
      <c r="G11" s="15">
        <v>19141000</v>
      </c>
      <c r="H11" s="15">
        <v>5001000</v>
      </c>
      <c r="I11" s="15"/>
    </row>
    <row r="12" spans="1:25" ht="15" customHeight="1">
      <c r="A12" s="1187">
        <v>2016</v>
      </c>
      <c r="B12" s="15">
        <v>2871000</v>
      </c>
      <c r="C12" s="15">
        <v>183000</v>
      </c>
      <c r="D12" s="15">
        <v>320000</v>
      </c>
      <c r="E12" s="15">
        <v>1036000</v>
      </c>
      <c r="F12" s="15">
        <v>159286000</v>
      </c>
      <c r="G12" s="15">
        <v>19455000</v>
      </c>
      <c r="H12" s="15">
        <v>6056000</v>
      </c>
      <c r="I12" s="15" t="s">
        <v>1226</v>
      </c>
    </row>
    <row r="13" spans="1:25" ht="15" customHeight="1">
      <c r="A13" s="1187">
        <v>2017</v>
      </c>
      <c r="B13" s="15">
        <v>2769000</v>
      </c>
      <c r="C13" s="15">
        <v>207000</v>
      </c>
      <c r="D13" s="15">
        <v>265000</v>
      </c>
      <c r="E13" s="15">
        <v>1058000</v>
      </c>
      <c r="F13" s="15">
        <v>151117000</v>
      </c>
      <c r="G13" s="15">
        <v>20081000</v>
      </c>
      <c r="H13" s="15">
        <v>4273000</v>
      </c>
      <c r="I13" s="15" t="s">
        <v>1226</v>
      </c>
    </row>
    <row r="14" spans="1:25" ht="15" customHeight="1">
      <c r="A14" s="1187">
        <v>2018</v>
      </c>
      <c r="B14" s="15">
        <v>2795000</v>
      </c>
      <c r="C14" s="15">
        <v>201000</v>
      </c>
      <c r="D14" s="15">
        <v>357000</v>
      </c>
      <c r="E14" s="15">
        <v>1159000</v>
      </c>
      <c r="F14" s="15">
        <v>139202000</v>
      </c>
      <c r="G14" s="15">
        <v>21181000</v>
      </c>
      <c r="H14" s="15">
        <v>12015000</v>
      </c>
      <c r="I14" s="15" t="s">
        <v>1226</v>
      </c>
    </row>
    <row r="15" spans="1:25" ht="15" customHeight="1">
      <c r="A15" s="1187">
        <v>2019</v>
      </c>
      <c r="B15" s="15">
        <v>3060000</v>
      </c>
      <c r="C15" s="15">
        <v>205000</v>
      </c>
      <c r="D15" s="15">
        <v>309000</v>
      </c>
      <c r="E15" s="15">
        <v>1050000</v>
      </c>
      <c r="F15" s="15">
        <v>129451000</v>
      </c>
      <c r="G15" s="15">
        <v>21838000</v>
      </c>
      <c r="H15" s="15">
        <v>12577000</v>
      </c>
      <c r="I15" s="15">
        <v>136000</v>
      </c>
    </row>
    <row r="16" spans="1:25" ht="15" customHeight="1">
      <c r="A16" s="1187">
        <v>2020</v>
      </c>
      <c r="B16" s="15">
        <f>ROUND(3214035.05+0,-3)</f>
        <v>3214000</v>
      </c>
      <c r="C16" s="333">
        <f>ROUND(207801.87+0,-3)</f>
        <v>208000</v>
      </c>
      <c r="D16" s="333">
        <f>ROUND(365532.86,-3)</f>
        <v>366000</v>
      </c>
      <c r="E16" s="333">
        <f>ROUND(934707.14+0,-3)</f>
        <v>935000</v>
      </c>
      <c r="F16" s="15">
        <f>ROUND(131950330.82,-3)</f>
        <v>131950000</v>
      </c>
      <c r="G16" s="15">
        <f>ROUND(21687544.8,-3)</f>
        <v>21688000</v>
      </c>
      <c r="H16" s="333">
        <f>ROUND(7557161.83+0,-3)</f>
        <v>7557000</v>
      </c>
      <c r="I16" s="333">
        <v>341000</v>
      </c>
    </row>
    <row r="17" spans="1:10" ht="15" customHeight="1">
      <c r="A17" s="1187">
        <v>2021</v>
      </c>
      <c r="B17" s="15">
        <f>ROUND(2893448.35,-3)</f>
        <v>2893000</v>
      </c>
      <c r="C17" s="333">
        <f>ROUND(195393.74+0,-3)</f>
        <v>195000</v>
      </c>
      <c r="D17" s="333">
        <f>ROUND(353186.52,-3)</f>
        <v>353000</v>
      </c>
      <c r="E17" s="333">
        <f>ROUND(1362564.58,-3)</f>
        <v>1363000</v>
      </c>
      <c r="F17" s="15">
        <f>ROUND(234194399.6,-3)</f>
        <v>234194000</v>
      </c>
      <c r="G17" s="15">
        <f>ROUND(52437827.86,-3)</f>
        <v>52438000</v>
      </c>
      <c r="H17" s="333">
        <f>ROUND(7253196.86,-3)</f>
        <v>7253000</v>
      </c>
      <c r="I17" s="333">
        <v>353000</v>
      </c>
    </row>
    <row r="18" spans="1:10" ht="15" customHeight="1">
      <c r="A18" s="1187">
        <v>2022</v>
      </c>
      <c r="B18" s="15">
        <v>3195000</v>
      </c>
      <c r="C18" s="333">
        <v>202000</v>
      </c>
      <c r="D18" s="333">
        <v>376000</v>
      </c>
      <c r="E18" s="333">
        <v>1744000</v>
      </c>
      <c r="F18" s="15">
        <v>219818000</v>
      </c>
      <c r="G18" s="15">
        <v>58809000</v>
      </c>
      <c r="H18" s="333">
        <v>8495000</v>
      </c>
      <c r="I18" s="333">
        <v>349000</v>
      </c>
    </row>
    <row r="19" spans="1:10" ht="15" customHeight="1">
      <c r="A19" s="1187">
        <v>2023</v>
      </c>
      <c r="B19" s="15">
        <v>3436000</v>
      </c>
      <c r="C19" s="333">
        <v>196000</v>
      </c>
      <c r="D19" s="333">
        <v>309000</v>
      </c>
      <c r="E19" s="333">
        <v>1853000</v>
      </c>
      <c r="F19" s="15">
        <v>188683000</v>
      </c>
      <c r="G19" s="15">
        <v>57449000</v>
      </c>
      <c r="H19" s="333">
        <v>12881000</v>
      </c>
      <c r="I19" s="333">
        <v>336000</v>
      </c>
    </row>
    <row r="20" spans="1:10" ht="15" customHeight="1">
      <c r="A20" s="1187">
        <v>2024</v>
      </c>
      <c r="B20" s="15">
        <v>3484000</v>
      </c>
      <c r="C20" s="333">
        <v>206000</v>
      </c>
      <c r="D20" s="333">
        <v>340000</v>
      </c>
      <c r="E20" s="333">
        <v>1447000</v>
      </c>
      <c r="F20" s="15">
        <v>169889000</v>
      </c>
      <c r="G20" s="15">
        <v>55070000</v>
      </c>
      <c r="H20" s="333">
        <v>12126000</v>
      </c>
      <c r="I20" s="333">
        <v>355000</v>
      </c>
    </row>
    <row r="21" spans="1:10">
      <c r="A21" s="204"/>
      <c r="B21" s="583"/>
      <c r="C21" s="583"/>
      <c r="D21" s="583"/>
      <c r="E21" s="583"/>
      <c r="F21" s="583"/>
      <c r="G21" s="583"/>
      <c r="H21" s="583"/>
      <c r="I21" s="372"/>
    </row>
    <row r="22" spans="1:10" s="1079" customFormat="1" ht="11.5">
      <c r="A22" s="1079" t="s">
        <v>1186</v>
      </c>
      <c r="B22" s="1185"/>
      <c r="C22" s="1185"/>
      <c r="D22" s="1185"/>
      <c r="E22" s="1185"/>
      <c r="F22" s="1185"/>
      <c r="G22" s="1185"/>
      <c r="H22" s="1185"/>
      <c r="I22" s="1185"/>
    </row>
    <row r="23" spans="1:10" s="1081" customFormat="1" ht="15" customHeight="1">
      <c r="A23" s="1644" t="s">
        <v>1221</v>
      </c>
      <c r="B23" s="1644"/>
      <c r="C23" s="1644"/>
      <c r="D23" s="1644"/>
      <c r="E23" s="1644"/>
      <c r="F23" s="1644"/>
      <c r="G23" s="1644"/>
      <c r="H23" s="1644"/>
      <c r="I23" s="1644"/>
      <c r="J23" s="1184"/>
    </row>
    <row r="24" spans="1:10" s="1081" customFormat="1" ht="15" customHeight="1">
      <c r="A24" s="1643" t="s">
        <v>959</v>
      </c>
      <c r="B24" s="1643"/>
      <c r="C24" s="1643"/>
      <c r="D24" s="1643"/>
      <c r="E24" s="1643"/>
      <c r="F24" s="1643"/>
      <c r="G24" s="1643"/>
      <c r="H24" s="1643"/>
      <c r="I24" s="1643"/>
      <c r="J24" s="1184"/>
    </row>
    <row r="25" spans="1:10" s="1081" customFormat="1" ht="27" customHeight="1">
      <c r="A25" s="1643" t="s">
        <v>952</v>
      </c>
      <c r="B25" s="1643"/>
      <c r="C25" s="1643"/>
      <c r="D25" s="1643"/>
      <c r="E25" s="1643"/>
      <c r="F25" s="1643"/>
      <c r="G25" s="1643"/>
      <c r="H25" s="1643"/>
      <c r="I25" s="1643"/>
      <c r="J25" s="1184"/>
    </row>
    <row r="26" spans="1:10" s="1081" customFormat="1" ht="15" customHeight="1">
      <c r="A26" s="1643" t="s">
        <v>181</v>
      </c>
      <c r="B26" s="1643"/>
      <c r="C26" s="1643"/>
      <c r="D26" s="1643"/>
      <c r="E26" s="1643"/>
      <c r="F26" s="1643"/>
      <c r="G26" s="1643"/>
      <c r="H26" s="1643"/>
      <c r="I26" s="1643"/>
      <c r="J26" s="1184"/>
    </row>
    <row r="27" spans="1:10" s="1081" customFormat="1" ht="27" customHeight="1">
      <c r="A27" s="1641" t="s">
        <v>957</v>
      </c>
      <c r="B27" s="1643"/>
      <c r="C27" s="1643"/>
      <c r="D27" s="1643"/>
      <c r="E27" s="1643"/>
      <c r="F27" s="1643"/>
      <c r="G27" s="1643"/>
      <c r="H27" s="1643"/>
      <c r="I27" s="1643"/>
      <c r="J27" s="1184"/>
    </row>
    <row r="28" spans="1:10" s="1081" customFormat="1" ht="38" customHeight="1">
      <c r="A28" s="1643" t="s">
        <v>958</v>
      </c>
      <c r="B28" s="1643"/>
      <c r="C28" s="1643"/>
      <c r="D28" s="1643"/>
      <c r="E28" s="1643"/>
      <c r="F28" s="1643"/>
      <c r="G28" s="1643"/>
      <c r="H28" s="1643"/>
      <c r="I28" s="1643"/>
      <c r="J28" s="1184"/>
    </row>
    <row r="29" spans="1:10" s="1081" customFormat="1" ht="27" customHeight="1">
      <c r="A29" s="1643" t="s">
        <v>740</v>
      </c>
      <c r="B29" s="1643"/>
      <c r="C29" s="1643"/>
      <c r="D29" s="1643"/>
      <c r="E29" s="1643"/>
      <c r="F29" s="1643"/>
      <c r="G29" s="1643"/>
      <c r="H29" s="1643"/>
      <c r="I29" s="1643"/>
      <c r="J29" s="1184"/>
    </row>
    <row r="30" spans="1:10" s="1081" customFormat="1" ht="14" customHeight="1">
      <c r="A30" s="1643" t="s">
        <v>1227</v>
      </c>
      <c r="B30" s="1643"/>
      <c r="C30" s="1643"/>
      <c r="D30" s="1643"/>
      <c r="E30" s="1643"/>
      <c r="F30" s="1643"/>
      <c r="G30" s="1643"/>
      <c r="H30" s="1643"/>
      <c r="I30" s="1643"/>
      <c r="J30" s="1184"/>
    </row>
    <row r="31" spans="1:10" ht="18">
      <c r="A31" s="44" t="s">
        <v>231</v>
      </c>
      <c r="B31" s="6"/>
      <c r="C31" s="6"/>
      <c r="D31" s="6"/>
      <c r="E31" s="6"/>
      <c r="F31" s="8"/>
      <c r="G31" s="6"/>
      <c r="H31" s="6"/>
    </row>
    <row r="32" spans="1:10" ht="15.5">
      <c r="A32" s="3" t="s">
        <v>739</v>
      </c>
      <c r="B32" s="6"/>
      <c r="C32" s="6"/>
      <c r="D32" s="6"/>
      <c r="E32" s="6"/>
      <c r="F32" s="8"/>
      <c r="G32" s="6"/>
      <c r="H32" s="6"/>
    </row>
    <row r="33" spans="1:11" ht="5" customHeight="1">
      <c r="A33" s="207"/>
      <c r="B33" s="6"/>
      <c r="C33" s="6"/>
      <c r="D33" s="6"/>
      <c r="E33" s="6"/>
      <c r="F33" s="6"/>
      <c r="G33" s="6"/>
      <c r="H33" s="6"/>
      <c r="I33" s="6"/>
    </row>
    <row r="34" spans="1:11" ht="5" customHeight="1" thickBot="1">
      <c r="A34" s="1188"/>
      <c r="B34" s="1190"/>
      <c r="C34" s="1190"/>
      <c r="D34" s="1190"/>
      <c r="E34" s="1190"/>
      <c r="F34" s="1190"/>
      <c r="G34" s="1190"/>
      <c r="H34" s="1190"/>
      <c r="I34" s="1190"/>
    </row>
    <row r="35" spans="1:11" ht="27" customHeight="1" thickTop="1">
      <c r="A35" s="1191" t="s">
        <v>26</v>
      </c>
      <c r="B35" s="1191" t="s">
        <v>1192</v>
      </c>
      <c r="C35" s="1191" t="s">
        <v>1193</v>
      </c>
      <c r="D35" s="1191" t="s">
        <v>1194</v>
      </c>
      <c r="E35" s="1191" t="s">
        <v>1211</v>
      </c>
      <c r="F35" s="1191" t="s">
        <v>1198</v>
      </c>
      <c r="G35" s="1192" t="s">
        <v>1195</v>
      </c>
      <c r="H35" s="1191" t="s">
        <v>1196</v>
      </c>
      <c r="I35" s="1191" t="s">
        <v>1197</v>
      </c>
    </row>
    <row r="36" spans="1:11" ht="15" hidden="1" customHeight="1">
      <c r="A36" s="43">
        <v>2010</v>
      </c>
      <c r="B36" s="195">
        <v>287000</v>
      </c>
      <c r="C36" s="195">
        <v>117000</v>
      </c>
      <c r="D36" s="195">
        <v>272000</v>
      </c>
      <c r="E36" s="195">
        <v>1875000</v>
      </c>
      <c r="F36" s="195">
        <v>200000</v>
      </c>
      <c r="G36" s="195">
        <v>994000</v>
      </c>
      <c r="H36" s="195">
        <v>11000</v>
      </c>
      <c r="I36" s="329">
        <v>115000</v>
      </c>
    </row>
    <row r="37" spans="1:11" ht="15" hidden="1" customHeight="1">
      <c r="A37" s="43">
        <v>2011</v>
      </c>
      <c r="B37" s="15">
        <v>240000</v>
      </c>
      <c r="C37" s="15">
        <v>103000</v>
      </c>
      <c r="D37" s="15">
        <v>192000</v>
      </c>
      <c r="E37" s="15">
        <v>1849000</v>
      </c>
      <c r="F37" s="15">
        <v>174000</v>
      </c>
      <c r="G37" s="15">
        <v>888000</v>
      </c>
      <c r="H37" s="15">
        <v>9000</v>
      </c>
      <c r="I37" s="447">
        <v>94000</v>
      </c>
      <c r="J37" s="143"/>
    </row>
    <row r="38" spans="1:11" ht="15" hidden="1" customHeight="1">
      <c r="A38" s="1187">
        <v>2012</v>
      </c>
      <c r="B38" s="15">
        <v>301000</v>
      </c>
      <c r="C38" s="15">
        <v>131000</v>
      </c>
      <c r="D38" s="15">
        <v>537000</v>
      </c>
      <c r="E38" s="15">
        <v>1837000</v>
      </c>
      <c r="F38" s="15">
        <v>191000</v>
      </c>
      <c r="G38" s="15">
        <v>931000</v>
      </c>
      <c r="H38" s="15">
        <v>8000</v>
      </c>
      <c r="I38" s="447">
        <v>123000</v>
      </c>
      <c r="J38" s="143"/>
    </row>
    <row r="39" spans="1:11" ht="15" hidden="1" customHeight="1">
      <c r="A39" s="1187">
        <v>2013</v>
      </c>
      <c r="B39" s="15">
        <v>291000</v>
      </c>
      <c r="C39" s="15">
        <v>168000</v>
      </c>
      <c r="D39" s="15">
        <v>500000</v>
      </c>
      <c r="E39" s="15">
        <v>2036000</v>
      </c>
      <c r="F39" s="15">
        <v>194000</v>
      </c>
      <c r="G39" s="15">
        <v>844000</v>
      </c>
      <c r="H39" s="15">
        <v>9000</v>
      </c>
      <c r="I39" s="15">
        <v>93000</v>
      </c>
      <c r="J39" s="143"/>
    </row>
    <row r="40" spans="1:11" ht="15" customHeight="1">
      <c r="A40" s="1187">
        <v>2014</v>
      </c>
      <c r="B40" s="195">
        <v>401000</v>
      </c>
      <c r="C40" s="195">
        <v>129000</v>
      </c>
      <c r="D40" s="195">
        <v>516000</v>
      </c>
      <c r="E40" s="195">
        <v>2166000</v>
      </c>
      <c r="F40" s="195">
        <v>210000</v>
      </c>
      <c r="G40" s="195">
        <v>888000</v>
      </c>
      <c r="H40" s="195">
        <v>11000</v>
      </c>
      <c r="I40" s="195">
        <v>170000</v>
      </c>
      <c r="J40" s="143"/>
    </row>
    <row r="41" spans="1:11" ht="15" customHeight="1">
      <c r="A41" s="1187">
        <v>2015</v>
      </c>
      <c r="B41" s="15">
        <v>375000</v>
      </c>
      <c r="C41" s="15">
        <v>192000</v>
      </c>
      <c r="D41" s="15">
        <v>439000</v>
      </c>
      <c r="E41" s="15">
        <v>2385000</v>
      </c>
      <c r="F41" s="15">
        <v>213000</v>
      </c>
      <c r="G41" s="15">
        <v>927000</v>
      </c>
      <c r="H41" s="15">
        <v>11000</v>
      </c>
      <c r="I41" s="15">
        <v>125000</v>
      </c>
      <c r="J41" s="143"/>
    </row>
    <row r="42" spans="1:11" ht="15" customHeight="1">
      <c r="A42" s="1187">
        <v>2016</v>
      </c>
      <c r="B42" s="15">
        <v>401000</v>
      </c>
      <c r="C42" s="15">
        <v>126000</v>
      </c>
      <c r="D42" s="15">
        <v>291000</v>
      </c>
      <c r="E42" s="15">
        <v>2221000</v>
      </c>
      <c r="F42" s="15">
        <v>219000</v>
      </c>
      <c r="G42" s="15">
        <v>906000</v>
      </c>
      <c r="H42" s="15">
        <v>11000</v>
      </c>
      <c r="I42" s="15">
        <v>116000</v>
      </c>
      <c r="J42" s="143"/>
      <c r="K42" s="6"/>
    </row>
    <row r="43" spans="1:11" ht="15" customHeight="1">
      <c r="A43" s="1187">
        <v>2017</v>
      </c>
      <c r="B43" s="15">
        <v>451000</v>
      </c>
      <c r="C43" s="15">
        <v>88000</v>
      </c>
      <c r="D43" s="15">
        <v>167000</v>
      </c>
      <c r="E43" s="15">
        <v>2583000</v>
      </c>
      <c r="F43" s="15">
        <v>174000</v>
      </c>
      <c r="G43" s="15">
        <v>1004000</v>
      </c>
      <c r="H43" s="15">
        <v>12000</v>
      </c>
      <c r="I43" s="15">
        <v>99000</v>
      </c>
      <c r="J43" s="143"/>
    </row>
    <row r="44" spans="1:11" ht="15" customHeight="1">
      <c r="A44" s="1187">
        <v>2018</v>
      </c>
      <c r="B44" s="15">
        <v>395000</v>
      </c>
      <c r="C44" s="15">
        <v>173000</v>
      </c>
      <c r="D44" s="15">
        <v>173000</v>
      </c>
      <c r="E44" s="15">
        <v>2695000</v>
      </c>
      <c r="F44" s="15">
        <v>169000</v>
      </c>
      <c r="G44" s="15">
        <v>1109000</v>
      </c>
      <c r="H44" s="15">
        <v>12000</v>
      </c>
      <c r="I44" s="15">
        <v>121000</v>
      </c>
      <c r="J44" s="143"/>
    </row>
    <row r="45" spans="1:11" ht="15" customHeight="1">
      <c r="A45" s="1187">
        <v>2019</v>
      </c>
      <c r="B45" s="15">
        <v>398000</v>
      </c>
      <c r="C45" s="15">
        <v>178000</v>
      </c>
      <c r="D45" s="15">
        <v>179000</v>
      </c>
      <c r="E45" s="15">
        <v>2604000</v>
      </c>
      <c r="F45" s="15">
        <v>175000</v>
      </c>
      <c r="G45" s="15">
        <v>664000</v>
      </c>
      <c r="H45" s="15">
        <v>12000</v>
      </c>
      <c r="I45" s="15">
        <v>90000</v>
      </c>
      <c r="J45" s="143"/>
    </row>
    <row r="46" spans="1:11" ht="15" customHeight="1">
      <c r="A46" s="1187">
        <v>2020</v>
      </c>
      <c r="B46" s="15">
        <f>ROUND(460022.04+0,-3)</f>
        <v>460000</v>
      </c>
      <c r="C46" s="333">
        <f>ROUND(218257.13,-3)</f>
        <v>218000</v>
      </c>
      <c r="D46" s="15">
        <f>ROUND(142617.3+0,-3)</f>
        <v>143000</v>
      </c>
      <c r="E46" s="15">
        <f>ROUND(1840522.66+614428.88, -3)</f>
        <v>2455000</v>
      </c>
      <c r="F46" s="15">
        <f>ROUND(216842.49+0,-3)</f>
        <v>217000</v>
      </c>
      <c r="G46" s="15">
        <f>ROUND(878294.38+0,-3)</f>
        <v>878000</v>
      </c>
      <c r="H46" s="15">
        <f>ROUND(12296.11+0,-3)</f>
        <v>12000</v>
      </c>
      <c r="I46" s="15">
        <f>ROUND(87968.28,-3)</f>
        <v>88000</v>
      </c>
      <c r="J46" s="206" t="s">
        <v>851</v>
      </c>
    </row>
    <row r="47" spans="1:11" ht="15" customHeight="1">
      <c r="A47" s="1187">
        <v>2021</v>
      </c>
      <c r="B47" s="15">
        <f>ROUND(435319.53,-3)</f>
        <v>435000</v>
      </c>
      <c r="C47" s="333">
        <f>ROUND(114095.95,-3)</f>
        <v>114000</v>
      </c>
      <c r="D47" s="15">
        <f>ROUND(204881.54,-3)</f>
        <v>205000</v>
      </c>
      <c r="E47" s="15">
        <f>ROUND(2399547.09, -3)</f>
        <v>2400000</v>
      </c>
      <c r="F47" s="15">
        <f>ROUND(233425.8,-3)</f>
        <v>233000</v>
      </c>
      <c r="G47" s="15">
        <f>ROUND(1597402.6,-3)</f>
        <v>1597000</v>
      </c>
      <c r="H47" s="15">
        <f>ROUND(13309.03,-3)</f>
        <v>13000</v>
      </c>
      <c r="I47" s="15">
        <f>ROUND(81848.49,-3)</f>
        <v>82000</v>
      </c>
      <c r="J47" s="206" t="s">
        <v>851</v>
      </c>
    </row>
    <row r="48" spans="1:11" ht="15" customHeight="1">
      <c r="A48" s="1187">
        <v>2022</v>
      </c>
      <c r="B48" s="15">
        <v>557000</v>
      </c>
      <c r="C48" s="333">
        <v>159000</v>
      </c>
      <c r="D48" s="15">
        <v>159000</v>
      </c>
      <c r="E48" s="15">
        <v>2576000</v>
      </c>
      <c r="F48" s="15">
        <v>229000</v>
      </c>
      <c r="G48" s="15">
        <v>2314000</v>
      </c>
      <c r="H48" s="15">
        <v>16000</v>
      </c>
      <c r="I48" s="15">
        <v>109000</v>
      </c>
      <c r="J48" s="206"/>
    </row>
    <row r="49" spans="1:11" ht="15" customHeight="1">
      <c r="A49" s="1187">
        <v>2023</v>
      </c>
      <c r="B49" s="15">
        <v>508000</v>
      </c>
      <c r="C49" s="333">
        <v>192000</v>
      </c>
      <c r="D49" s="15">
        <v>338000</v>
      </c>
      <c r="E49" s="15">
        <v>2513000</v>
      </c>
      <c r="F49" s="15">
        <v>264000</v>
      </c>
      <c r="G49" s="15">
        <v>3203000</v>
      </c>
      <c r="H49" s="15">
        <v>18000</v>
      </c>
      <c r="I49" s="15">
        <v>105000</v>
      </c>
      <c r="J49" s="206"/>
    </row>
    <row r="50" spans="1:11" ht="15" customHeight="1">
      <c r="A50" s="1187">
        <v>2024</v>
      </c>
      <c r="B50" s="15">
        <v>512000</v>
      </c>
      <c r="C50" s="333">
        <v>177000</v>
      </c>
      <c r="D50" s="15">
        <v>270000</v>
      </c>
      <c r="E50" s="15">
        <v>2328000</v>
      </c>
      <c r="F50" s="15">
        <v>285000</v>
      </c>
      <c r="G50" s="15">
        <v>2241000</v>
      </c>
      <c r="H50" s="15">
        <v>20000</v>
      </c>
      <c r="I50" s="15">
        <v>83000</v>
      </c>
      <c r="J50" s="206"/>
    </row>
    <row r="51" spans="1:11">
      <c r="B51" s="583"/>
      <c r="C51" s="583"/>
      <c r="D51" s="583"/>
      <c r="E51" s="583"/>
      <c r="F51" s="583"/>
      <c r="G51" s="583"/>
      <c r="H51" s="583"/>
      <c r="I51" s="583"/>
      <c r="J51" s="374"/>
      <c r="K51" s="372"/>
    </row>
    <row r="52" spans="1:11" s="1079" customFormat="1" ht="11.5">
      <c r="A52" s="1079" t="s">
        <v>1186</v>
      </c>
      <c r="B52" s="1185"/>
      <c r="C52" s="1185"/>
      <c r="D52" s="1185"/>
      <c r="E52" s="1185"/>
      <c r="F52" s="1185"/>
      <c r="G52" s="1185"/>
      <c r="H52" s="1185"/>
      <c r="I52" s="1185"/>
    </row>
    <row r="53" spans="1:11" s="1079" customFormat="1" ht="15" customHeight="1">
      <c r="A53" s="1643" t="s">
        <v>1228</v>
      </c>
      <c r="B53" s="1643"/>
      <c r="C53" s="1643"/>
      <c r="D53" s="1643"/>
      <c r="E53" s="1643"/>
      <c r="F53" s="1643"/>
      <c r="G53" s="1643"/>
      <c r="H53" s="1643"/>
      <c r="I53" s="1643"/>
      <c r="J53" s="1186"/>
    </row>
    <row r="54" spans="1:11" s="1079" customFormat="1" ht="15" customHeight="1">
      <c r="A54" s="1643" t="s">
        <v>1229</v>
      </c>
      <c r="B54" s="1643"/>
      <c r="C54" s="1643"/>
      <c r="D54" s="1643"/>
      <c r="E54" s="1643"/>
      <c r="F54" s="1643"/>
      <c r="G54" s="1643"/>
      <c r="H54" s="1643"/>
      <c r="I54" s="1643"/>
      <c r="J54" s="1186"/>
    </row>
    <row r="55" spans="1:11" s="1079" customFormat="1" ht="15" customHeight="1">
      <c r="A55" s="1643" t="s">
        <v>1230</v>
      </c>
      <c r="B55" s="1643"/>
      <c r="C55" s="1643"/>
      <c r="D55" s="1643"/>
      <c r="E55" s="1643"/>
      <c r="F55" s="1643"/>
      <c r="G55" s="1643"/>
      <c r="H55" s="1643"/>
      <c r="I55" s="1643"/>
      <c r="J55" s="1186"/>
    </row>
    <row r="56" spans="1:11" s="1079" customFormat="1" ht="27" customHeight="1">
      <c r="A56" s="1643" t="s">
        <v>1231</v>
      </c>
      <c r="B56" s="1643"/>
      <c r="C56" s="1643"/>
      <c r="D56" s="1643"/>
      <c r="E56" s="1643"/>
      <c r="F56" s="1643"/>
      <c r="G56" s="1643"/>
      <c r="H56" s="1643"/>
      <c r="I56" s="1643"/>
      <c r="J56" s="1186"/>
    </row>
    <row r="57" spans="1:11" s="1079" customFormat="1" ht="15" customHeight="1">
      <c r="A57" s="1643" t="s">
        <v>1232</v>
      </c>
      <c r="B57" s="1643"/>
      <c r="C57" s="1643"/>
      <c r="D57" s="1643"/>
      <c r="E57" s="1643"/>
      <c r="F57" s="1643"/>
      <c r="G57" s="1643"/>
      <c r="H57" s="1643"/>
      <c r="I57" s="1643"/>
      <c r="J57" s="1186"/>
    </row>
    <row r="58" spans="1:11" s="1079" customFormat="1" ht="27" customHeight="1">
      <c r="A58" s="1643" t="s">
        <v>1233</v>
      </c>
      <c r="B58" s="1643"/>
      <c r="C58" s="1643"/>
      <c r="D58" s="1643"/>
      <c r="E58" s="1643"/>
      <c r="F58" s="1643"/>
      <c r="G58" s="1643"/>
      <c r="H58" s="1643"/>
      <c r="I58" s="1643"/>
      <c r="J58" s="1186"/>
    </row>
    <row r="59" spans="1:11" s="1079" customFormat="1" ht="15" customHeight="1">
      <c r="A59" s="1643" t="s">
        <v>1234</v>
      </c>
      <c r="B59" s="1643"/>
      <c r="C59" s="1643"/>
      <c r="D59" s="1643"/>
      <c r="E59" s="1643"/>
      <c r="F59" s="1643"/>
      <c r="G59" s="1643"/>
      <c r="H59" s="1643"/>
      <c r="I59" s="1643"/>
      <c r="J59" s="1186"/>
    </row>
    <row r="60" spans="1:11" s="1079" customFormat="1" ht="15" customHeight="1">
      <c r="A60" s="1643" t="s">
        <v>1235</v>
      </c>
      <c r="B60" s="1643"/>
      <c r="C60" s="1643"/>
      <c r="D60" s="1643"/>
      <c r="E60" s="1643"/>
      <c r="F60" s="1643"/>
      <c r="G60" s="1643"/>
      <c r="H60" s="1643"/>
      <c r="I60" s="1643"/>
      <c r="J60" s="1186"/>
    </row>
    <row r="61" spans="1:11" s="667" customFormat="1" ht="12.75" customHeight="1">
      <c r="A61" s="745" t="s">
        <v>927</v>
      </c>
      <c r="B61" s="668"/>
      <c r="C61" s="668"/>
      <c r="D61" s="668"/>
      <c r="E61" s="669"/>
    </row>
    <row r="66" spans="1:10" s="1079" customFormat="1" ht="11.5">
      <c r="B66" s="1185"/>
      <c r="C66" s="1185"/>
      <c r="D66" s="1185"/>
      <c r="E66" s="1185"/>
      <c r="F66" s="1185"/>
      <c r="G66" s="1185"/>
      <c r="H66" s="1185"/>
      <c r="I66" s="1185"/>
    </row>
    <row r="67" spans="1:10" s="1081" customFormat="1" ht="11.5">
      <c r="A67" s="1186"/>
      <c r="B67" s="1186"/>
      <c r="C67" s="1186"/>
      <c r="D67" s="1186"/>
      <c r="E67" s="1186"/>
      <c r="F67" s="1186"/>
      <c r="G67" s="1186"/>
      <c r="H67" s="1186"/>
      <c r="I67" s="1186"/>
      <c r="J67" s="1184"/>
    </row>
    <row r="68" spans="1:10" s="1079" customFormat="1" ht="11.5">
      <c r="A68" s="1186"/>
      <c r="B68" s="1186"/>
      <c r="C68" s="1186"/>
      <c r="D68" s="1186"/>
      <c r="E68" s="1186"/>
      <c r="F68" s="1186"/>
      <c r="G68" s="1186"/>
      <c r="H68" s="1186"/>
      <c r="I68" s="1186"/>
      <c r="J68" s="1186"/>
    </row>
  </sheetData>
  <sortState xmlns:xlrd2="http://schemas.microsoft.com/office/spreadsheetml/2017/richdata2" columnSort="1" ref="K4:Y8">
    <sortCondition ref="K4:Y4"/>
  </sortState>
  <customSheetViews>
    <customSheetView guid="{E6BBE5A7-0B25-4EE8-BA45-5EA5DBAF3AD4}">
      <selection activeCell="F16" sqref="F16"/>
      <rowBreaks count="1" manualBreakCount="1">
        <brk id="25" max="16383" man="1"/>
      </rowBreaks>
      <pageMargins left="0.75" right="0.75" top="1" bottom="1" header="0.5" footer="0.5"/>
      <printOptions horizontalCentered="1"/>
      <pageSetup scale="88" orientation="landscape" r:id="rId1"/>
      <headerFooter alignWithMargins="0"/>
    </customSheetView>
  </customSheetViews>
  <mergeCells count="16">
    <mergeCell ref="A57:I57"/>
    <mergeCell ref="A58:I58"/>
    <mergeCell ref="A59:I59"/>
    <mergeCell ref="A60:I60"/>
    <mergeCell ref="A29:I29"/>
    <mergeCell ref="A53:I53"/>
    <mergeCell ref="A54:I54"/>
    <mergeCell ref="A55:I55"/>
    <mergeCell ref="A56:I56"/>
    <mergeCell ref="A30:I30"/>
    <mergeCell ref="A28:I28"/>
    <mergeCell ref="A23:I23"/>
    <mergeCell ref="A24:I24"/>
    <mergeCell ref="A25:I25"/>
    <mergeCell ref="A26:I26"/>
    <mergeCell ref="A27:I27"/>
  </mergeCells>
  <phoneticPr fontId="14" type="noConversion"/>
  <hyperlinks>
    <hyperlink ref="K1" location="TOC!A1" display="Back" xr:uid="{00000000-0004-0000-1700-000000000000}"/>
  </hyperlinks>
  <pageMargins left="0.6" right="0.25" top="0.5" bottom="0.25" header="0.25" footer="0"/>
  <pageSetup orientation="landscape" r:id="rId2"/>
  <headerFooter scaleWithDoc="0">
    <oddHeader>&amp;R&amp;P</oddHeader>
  </headerFooter>
  <rowBreaks count="1" manualBreakCount="1">
    <brk id="30"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pageSetUpPr fitToPage="1"/>
  </sheetPr>
  <dimension ref="A1:H48"/>
  <sheetViews>
    <sheetView zoomScaleNormal="100" workbookViewId="0"/>
  </sheetViews>
  <sheetFormatPr defaultColWidth="9.26953125" defaultRowHeight="12.5"/>
  <cols>
    <col min="1" max="1" width="26" style="63" customWidth="1"/>
    <col min="2" max="2" width="27.26953125" style="63" customWidth="1"/>
    <col min="3" max="3" width="22.1796875" style="63" customWidth="1"/>
    <col min="4" max="5" width="16.453125" style="63" bestFit="1" customWidth="1"/>
    <col min="6" max="6" width="18.1796875" style="63" bestFit="1" customWidth="1"/>
    <col min="7" max="7" width="2.7265625" style="63" customWidth="1"/>
    <col min="8" max="16384" width="9.26953125" style="63"/>
  </cols>
  <sheetData>
    <row r="1" spans="1:8" s="1194" customFormat="1" ht="16" customHeight="1">
      <c r="A1" s="1197" t="s">
        <v>267</v>
      </c>
      <c r="B1" s="1197"/>
      <c r="C1" s="1197"/>
      <c r="H1" s="1198" t="s">
        <v>954</v>
      </c>
    </row>
    <row r="2" spans="1:8" s="1194" customFormat="1" ht="14" customHeight="1">
      <c r="A2" s="1199" t="s">
        <v>1290</v>
      </c>
      <c r="B2" s="1199"/>
      <c r="C2" s="1199"/>
    </row>
    <row r="3" spans="1:8" ht="5" customHeight="1"/>
    <row r="4" spans="1:8" s="1194" customFormat="1" ht="13">
      <c r="A4" s="1195"/>
      <c r="B4" s="1195"/>
      <c r="C4" s="1195"/>
      <c r="D4" s="1196" t="s">
        <v>268</v>
      </c>
      <c r="E4" s="1196" t="s">
        <v>269</v>
      </c>
      <c r="F4" s="1366" t="s">
        <v>13</v>
      </c>
    </row>
    <row r="5" spans="1:8" ht="12.5" customHeight="1">
      <c r="A5" s="361" t="s">
        <v>270</v>
      </c>
      <c r="D5" s="1533">
        <v>768917464876</v>
      </c>
      <c r="E5" s="1534">
        <v>580171410823</v>
      </c>
      <c r="F5" s="1533">
        <f>SUM(D5:E5)</f>
        <v>1349088875699</v>
      </c>
    </row>
    <row r="6" spans="1:8" ht="12.5" customHeight="1">
      <c r="A6" s="360" t="s">
        <v>735</v>
      </c>
      <c r="B6" s="64"/>
      <c r="C6" s="64"/>
      <c r="D6" s="1535">
        <v>29000211310.440002</v>
      </c>
      <c r="E6" s="1536">
        <v>15077292126</v>
      </c>
      <c r="F6" s="1535">
        <f t="shared" ref="F6:F14" si="0">D6+E6</f>
        <v>44077503436.440002</v>
      </c>
    </row>
    <row r="7" spans="1:8" ht="12.5" customHeight="1">
      <c r="A7" s="360" t="s">
        <v>271</v>
      </c>
      <c r="B7" s="64"/>
      <c r="C7" s="64"/>
      <c r="D7" s="1535">
        <v>6208229</v>
      </c>
      <c r="E7" s="1536">
        <v>3855000</v>
      </c>
      <c r="F7" s="1535">
        <f t="shared" si="0"/>
        <v>10063229</v>
      </c>
      <c r="G7" s="347"/>
    </row>
    <row r="8" spans="1:8" ht="12.5" customHeight="1">
      <c r="A8" s="361" t="s">
        <v>272</v>
      </c>
      <c r="D8" s="1535">
        <v>55728058579.860001</v>
      </c>
      <c r="E8" s="1536">
        <v>38865938850</v>
      </c>
      <c r="F8" s="1535">
        <f t="shared" si="0"/>
        <v>94593997429.860001</v>
      </c>
    </row>
    <row r="9" spans="1:8" ht="12.5" customHeight="1">
      <c r="A9" s="361" t="s">
        <v>273</v>
      </c>
      <c r="D9" s="1535">
        <v>236632946910</v>
      </c>
      <c r="E9" s="1536">
        <v>156943499314</v>
      </c>
      <c r="F9" s="1535">
        <f t="shared" si="0"/>
        <v>393576446224</v>
      </c>
    </row>
    <row r="10" spans="1:8" ht="12.5" customHeight="1">
      <c r="A10" s="361" t="s">
        <v>274</v>
      </c>
      <c r="D10" s="1535">
        <v>85555652025</v>
      </c>
      <c r="E10" s="1536">
        <v>93707442626</v>
      </c>
      <c r="F10" s="1535">
        <f t="shared" si="0"/>
        <v>179263094651</v>
      </c>
    </row>
    <row r="11" spans="1:8" ht="12.5" customHeight="1">
      <c r="A11" s="361" t="s">
        <v>736</v>
      </c>
      <c r="D11" s="1536">
        <v>-1716119584.47</v>
      </c>
      <c r="E11" s="1536">
        <v>0</v>
      </c>
      <c r="F11" s="1535">
        <f t="shared" si="0"/>
        <v>-1716119584.47</v>
      </c>
    </row>
    <row r="12" spans="1:8" ht="12.5" customHeight="1">
      <c r="A12" s="361" t="s">
        <v>737</v>
      </c>
      <c r="D12" s="1535">
        <f>D5+D6+D7-D8-D9-D10-D11</f>
        <v>421723346485.04993</v>
      </c>
      <c r="E12" s="1535">
        <f>E5+E6+E7-E8-E9-E10-E11</f>
        <v>305735677159</v>
      </c>
      <c r="F12" s="1535">
        <f t="shared" si="0"/>
        <v>727459023644.04993</v>
      </c>
    </row>
    <row r="13" spans="1:8" ht="12.5" customHeight="1">
      <c r="A13" s="361" t="s">
        <v>275</v>
      </c>
      <c r="D13" s="1535">
        <v>7925045312.2511301</v>
      </c>
      <c r="E13" s="1536">
        <v>18619189342.997154</v>
      </c>
      <c r="F13" s="1535">
        <f t="shared" si="0"/>
        <v>26544234655.248283</v>
      </c>
    </row>
    <row r="14" spans="1:8" ht="12.5" customHeight="1">
      <c r="A14" s="361" t="s">
        <v>276</v>
      </c>
      <c r="D14" s="1535">
        <v>1826257274</v>
      </c>
      <c r="E14" s="1537">
        <v>1713420034</v>
      </c>
      <c r="F14" s="1535">
        <f t="shared" si="0"/>
        <v>3539677308</v>
      </c>
    </row>
    <row r="15" spans="1:8" ht="12.5" customHeight="1">
      <c r="A15" s="361" t="s">
        <v>277</v>
      </c>
      <c r="D15" s="1535">
        <v>230927125.17000002</v>
      </c>
      <c r="E15" s="1537">
        <v>614001451</v>
      </c>
      <c r="F15" s="1538">
        <f>D15+E15</f>
        <v>844928576.17000008</v>
      </c>
    </row>
    <row r="16" spans="1:8" ht="12.5" customHeight="1">
      <c r="A16" s="1367" t="s">
        <v>278</v>
      </c>
      <c r="B16" s="1042"/>
      <c r="C16" s="1042"/>
      <c r="D16" s="1539">
        <f>D13-D14-D15</f>
        <v>5867860913.08113</v>
      </c>
      <c r="E16" s="1539">
        <f>E13-E14-E15</f>
        <v>16291767857.997154</v>
      </c>
      <c r="F16" s="1540">
        <f>SUM(D16:E16)</f>
        <v>22159628771.078285</v>
      </c>
    </row>
    <row r="17" spans="1:7" ht="5" customHeight="1">
      <c r="A17" s="361"/>
      <c r="D17" s="1533"/>
      <c r="E17" s="1534"/>
      <c r="F17" s="1533"/>
    </row>
    <row r="18" spans="1:7" ht="5" customHeight="1">
      <c r="A18" s="361"/>
      <c r="D18" s="1533"/>
      <c r="E18" s="1534"/>
      <c r="F18" s="1533"/>
    </row>
    <row r="19" spans="1:7" ht="12.5" customHeight="1">
      <c r="A19" s="361" t="s">
        <v>40</v>
      </c>
      <c r="D19" s="1533">
        <v>59051590.790396951</v>
      </c>
      <c r="E19" s="1541">
        <v>117186991.54740389</v>
      </c>
      <c r="F19" s="1533">
        <f>D19+E19</f>
        <v>176238582.33780083</v>
      </c>
    </row>
    <row r="20" spans="1:7" ht="12.5" customHeight="1">
      <c r="A20" s="361" t="s">
        <v>279</v>
      </c>
      <c r="D20" s="1535">
        <v>47243433.299053572</v>
      </c>
      <c r="E20" s="1535">
        <v>93749591.951845795</v>
      </c>
      <c r="F20" s="1535">
        <f>D20+E20</f>
        <v>140993025.25089937</v>
      </c>
    </row>
    <row r="21" spans="1:7" ht="12.5" customHeight="1">
      <c r="A21" s="361" t="s">
        <v>280</v>
      </c>
      <c r="D21" s="1535"/>
      <c r="E21" s="1535"/>
      <c r="F21" s="1535"/>
    </row>
    <row r="22" spans="1:7" ht="12.5" customHeight="1">
      <c r="A22" s="361" t="s">
        <v>717</v>
      </c>
      <c r="D22" s="1535">
        <v>15955</v>
      </c>
      <c r="E22" s="1535">
        <v>278072</v>
      </c>
      <c r="F22" s="1535">
        <f>D22+E22</f>
        <v>294027</v>
      </c>
    </row>
    <row r="23" spans="1:7" ht="12.5" customHeight="1">
      <c r="A23" s="361" t="s">
        <v>281</v>
      </c>
      <c r="D23" s="1535">
        <v>217714</v>
      </c>
      <c r="E23" s="1535">
        <v>0</v>
      </c>
      <c r="F23" s="1535">
        <f t="shared" ref="F23:F25" si="1">D23+E23</f>
        <v>217714</v>
      </c>
      <c r="G23" s="347"/>
    </row>
    <row r="24" spans="1:7" ht="12.5" customHeight="1">
      <c r="A24" s="361" t="s">
        <v>228</v>
      </c>
      <c r="D24" s="1535">
        <v>576658</v>
      </c>
      <c r="E24" s="1542">
        <v>1663958</v>
      </c>
      <c r="F24" s="1535">
        <f>D24+E24</f>
        <v>2240616</v>
      </c>
    </row>
    <row r="25" spans="1:7" ht="12.5" hidden="1" customHeight="1">
      <c r="A25" s="361" t="s">
        <v>738</v>
      </c>
      <c r="D25" s="1535">
        <v>0</v>
      </c>
      <c r="E25" s="1535">
        <v>0</v>
      </c>
      <c r="F25" s="1535">
        <f t="shared" si="1"/>
        <v>0</v>
      </c>
    </row>
    <row r="26" spans="1:7" ht="12.5" customHeight="1">
      <c r="A26" s="361" t="s">
        <v>714</v>
      </c>
      <c r="D26" s="1535">
        <v>0</v>
      </c>
      <c r="E26" s="1535">
        <v>0</v>
      </c>
      <c r="F26" s="1535">
        <f>D26+E26</f>
        <v>0</v>
      </c>
      <c r="G26" s="445"/>
    </row>
    <row r="27" spans="1:7" ht="12.5" customHeight="1">
      <c r="A27" s="361" t="s">
        <v>1291</v>
      </c>
      <c r="D27" s="1535">
        <v>1173757</v>
      </c>
      <c r="E27" s="1535">
        <v>0</v>
      </c>
      <c r="F27" s="1535">
        <f>D27+E27</f>
        <v>1173757</v>
      </c>
      <c r="G27" s="445"/>
    </row>
    <row r="28" spans="1:7" s="1194" customFormat="1" ht="12.5" customHeight="1">
      <c r="A28" s="1368" t="s">
        <v>282</v>
      </c>
      <c r="B28" s="1193"/>
      <c r="C28" s="1193"/>
      <c r="D28" s="1543">
        <f>D19-D20-D22-D23-D24-D25-D26-D27</f>
        <v>9824073.491343379</v>
      </c>
      <c r="E28" s="1543">
        <f>E19-E20-E22-E23-E24-E25-E26-E27</f>
        <v>21495369.595558092</v>
      </c>
      <c r="F28" s="1543">
        <f>SUM(D28:E28)</f>
        <v>31319443.086901471</v>
      </c>
    </row>
    <row r="29" spans="1:7" ht="6" customHeight="1"/>
    <row r="30" spans="1:7" ht="6" customHeight="1"/>
    <row r="31" spans="1:7" ht="18">
      <c r="A31" s="348" t="s">
        <v>283</v>
      </c>
      <c r="B31" s="348"/>
      <c r="C31" s="348"/>
      <c r="D31" s="349"/>
      <c r="E31" s="349"/>
      <c r="F31" s="350"/>
      <c r="G31" s="350"/>
    </row>
    <row r="32" spans="1:7" ht="15.5">
      <c r="A32" s="351" t="s">
        <v>284</v>
      </c>
      <c r="B32" s="351"/>
      <c r="C32" s="351"/>
      <c r="D32" s="352"/>
      <c r="E32" s="352"/>
      <c r="F32" s="350"/>
      <c r="G32" s="350"/>
    </row>
    <row r="33" spans="1:7" ht="9" customHeight="1" thickBot="1">
      <c r="A33" s="353"/>
      <c r="B33" s="353"/>
      <c r="C33" s="353"/>
      <c r="D33" s="352"/>
      <c r="E33" s="352"/>
      <c r="F33" s="350"/>
      <c r="G33" s="350"/>
    </row>
    <row r="34" spans="1:7" ht="16" customHeight="1">
      <c r="A34" s="670" t="s">
        <v>26</v>
      </c>
      <c r="B34" s="670" t="s">
        <v>285</v>
      </c>
      <c r="C34" s="354"/>
      <c r="E34" s="354"/>
      <c r="F34" s="350"/>
      <c r="G34" s="350"/>
    </row>
    <row r="35" spans="1:7">
      <c r="A35" s="355">
        <v>2017</v>
      </c>
      <c r="B35" s="1544">
        <v>23068000</v>
      </c>
      <c r="C35" s="355"/>
      <c r="E35" s="356"/>
      <c r="F35" s="350"/>
      <c r="G35" s="350"/>
    </row>
    <row r="36" spans="1:7">
      <c r="A36" s="355">
        <v>2018</v>
      </c>
      <c r="B36" s="1365">
        <v>23724800</v>
      </c>
      <c r="C36" s="355"/>
      <c r="E36" s="356"/>
      <c r="F36" s="350"/>
      <c r="G36" s="350"/>
    </row>
    <row r="37" spans="1:7">
      <c r="A37" s="355">
        <v>2019</v>
      </c>
      <c r="B37" s="1365">
        <v>29641360</v>
      </c>
      <c r="C37" s="355"/>
      <c r="E37" s="356"/>
      <c r="F37" s="350"/>
      <c r="G37" s="350"/>
    </row>
    <row r="38" spans="1:7">
      <c r="A38" s="355">
        <v>2020</v>
      </c>
      <c r="B38" s="1365">
        <v>25949060</v>
      </c>
      <c r="C38" s="350"/>
      <c r="D38" s="350"/>
      <c r="E38" s="350"/>
      <c r="F38" s="350"/>
      <c r="G38" s="350"/>
    </row>
    <row r="39" spans="1:7">
      <c r="A39" s="355">
        <v>2021</v>
      </c>
      <c r="B39" s="1365">
        <v>29336130</v>
      </c>
      <c r="C39" s="350"/>
      <c r="D39" s="350"/>
      <c r="E39" s="350"/>
      <c r="F39" s="350"/>
      <c r="G39" s="350"/>
    </row>
    <row r="40" spans="1:7">
      <c r="A40" s="355">
        <v>2022</v>
      </c>
      <c r="B40" s="1365">
        <v>30170420</v>
      </c>
      <c r="C40" s="350"/>
      <c r="D40" s="350"/>
      <c r="E40" s="350"/>
      <c r="F40" s="350"/>
      <c r="G40" s="350"/>
    </row>
    <row r="41" spans="1:7">
      <c r="A41" s="355">
        <v>2023</v>
      </c>
      <c r="B41" s="1365">
        <v>30120070</v>
      </c>
    </row>
    <row r="42" spans="1:7">
      <c r="A42" s="355">
        <f>A41+1</f>
        <v>2024</v>
      </c>
      <c r="B42" s="1365">
        <f>ROUND($F$28,-1)</f>
        <v>31319440</v>
      </c>
    </row>
    <row r="48" spans="1:7" s="667" customFormat="1" ht="12.75" customHeight="1">
      <c r="A48" s="745" t="s">
        <v>923</v>
      </c>
      <c r="B48" s="668"/>
      <c r="C48" s="668"/>
      <c r="D48" s="668"/>
      <c r="E48" s="669"/>
    </row>
  </sheetData>
  <customSheetViews>
    <customSheetView guid="{E6BBE5A7-0B25-4EE8-BA45-5EA5DBAF3AD4}" showPageBreaks="1" printArea="1">
      <selection activeCell="A43" sqref="A43"/>
      <pageMargins left="0.75" right="0.75" top="1" bottom="1" header="0.5" footer="0.5"/>
      <printOptions horizontalCentered="1"/>
      <pageSetup scale="81" orientation="landscape" r:id="rId1"/>
      <headerFooter alignWithMargins="0"/>
    </customSheetView>
  </customSheetViews>
  <hyperlinks>
    <hyperlink ref="H1" location="TOC!A1" display="Back" xr:uid="{00000000-0004-0000-1800-000000000000}"/>
  </hyperlinks>
  <pageMargins left="0.6" right="0.25" top="0.35" bottom="0.25" header="0.25" footer="0.25"/>
  <pageSetup orientation="landscape" r:id="rId2"/>
  <headerFooter scaleWithDoc="0">
    <oddHeader>&amp;R&amp;P</oddHeader>
  </headerFooter>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dimension ref="A1:H172"/>
  <sheetViews>
    <sheetView zoomScaleNormal="100" zoomScaleSheetLayoutView="90" workbookViewId="0"/>
  </sheetViews>
  <sheetFormatPr defaultColWidth="11.26953125" defaultRowHeight="12.5"/>
  <cols>
    <col min="1" max="5" width="14.6328125" style="79" customWidth="1"/>
    <col min="6" max="7" width="14.6328125" style="153" customWidth="1"/>
    <col min="8" max="8" width="4.81640625" style="79" bestFit="1" customWidth="1"/>
    <col min="9" max="16384" width="11.26953125" style="79"/>
  </cols>
  <sheetData>
    <row r="1" spans="1:8" s="312" customFormat="1" ht="17.5" customHeight="1">
      <c r="A1" s="311" t="s">
        <v>583</v>
      </c>
      <c r="B1" s="311"/>
      <c r="C1" s="311"/>
      <c r="D1" s="311"/>
      <c r="F1" s="313"/>
      <c r="G1" s="313"/>
      <c r="H1" s="811" t="s">
        <v>954</v>
      </c>
    </row>
    <row r="2" spans="1:8" s="312" customFormat="1" ht="15.65" customHeight="1">
      <c r="A2" s="314" t="s">
        <v>759</v>
      </c>
      <c r="B2" s="314"/>
      <c r="C2" s="314"/>
      <c r="D2" s="314"/>
      <c r="F2" s="313"/>
      <c r="G2" s="313"/>
    </row>
    <row r="3" spans="1:8" s="312" customFormat="1" ht="6" customHeight="1" thickBot="1">
      <c r="A3" s="292"/>
      <c r="B3" s="315"/>
      <c r="C3" s="315"/>
      <c r="D3" s="315"/>
      <c r="F3" s="313"/>
      <c r="G3" s="313"/>
    </row>
    <row r="4" spans="1:8" ht="26.5" thickTop="1">
      <c r="A4" s="542" t="s">
        <v>18</v>
      </c>
      <c r="B4" s="543" t="s">
        <v>879</v>
      </c>
      <c r="C4" s="1066" t="s">
        <v>880</v>
      </c>
      <c r="D4" s="1066" t="s">
        <v>911</v>
      </c>
      <c r="E4" s="1066" t="s">
        <v>1000</v>
      </c>
      <c r="F4" s="1066" t="s">
        <v>1261</v>
      </c>
      <c r="G4" s="1066" t="s">
        <v>1292</v>
      </c>
    </row>
    <row r="5" spans="1:8" ht="24" customHeight="1">
      <c r="A5" s="317" t="s">
        <v>47</v>
      </c>
      <c r="B5" s="317">
        <v>1023735.09</v>
      </c>
      <c r="C5" s="544">
        <v>1085444.9900000002</v>
      </c>
      <c r="D5" s="936">
        <v>1609351.07</v>
      </c>
      <c r="E5" s="936">
        <v>1723090.65</v>
      </c>
      <c r="F5" s="936">
        <v>1349437.24</v>
      </c>
      <c r="G5" s="936">
        <v>1168482.79</v>
      </c>
    </row>
    <row r="6" spans="1:8">
      <c r="A6" s="78" t="s">
        <v>49</v>
      </c>
      <c r="B6" s="78">
        <v>6783830.5199999996</v>
      </c>
      <c r="C6" s="545">
        <v>7677069.2299999986</v>
      </c>
      <c r="D6" s="937">
        <v>10783141.449999999</v>
      </c>
      <c r="E6" s="937">
        <v>10110250.65</v>
      </c>
      <c r="F6" s="937">
        <v>7733689.5899999999</v>
      </c>
      <c r="G6" s="937">
        <v>7672661.4000000004</v>
      </c>
    </row>
    <row r="7" spans="1:8">
      <c r="A7" s="78" t="s">
        <v>51</v>
      </c>
      <c r="B7" s="78">
        <v>203069.11</v>
      </c>
      <c r="C7" s="545">
        <v>291456.63</v>
      </c>
      <c r="D7" s="937">
        <v>322369.33</v>
      </c>
      <c r="E7" s="937">
        <v>368867.1</v>
      </c>
      <c r="F7" s="937">
        <v>392775.42</v>
      </c>
      <c r="G7" s="937">
        <v>322587.98</v>
      </c>
    </row>
    <row r="8" spans="1:8">
      <c r="A8" s="78" t="s">
        <v>53</v>
      </c>
      <c r="B8" s="78">
        <v>365922.63</v>
      </c>
      <c r="C8" s="545">
        <v>410504.98999999993</v>
      </c>
      <c r="D8" s="937">
        <v>560960.31000000006</v>
      </c>
      <c r="E8" s="937">
        <v>680485.66</v>
      </c>
      <c r="F8" s="937">
        <v>435482.48</v>
      </c>
      <c r="G8" s="937">
        <v>378141.94</v>
      </c>
    </row>
    <row r="9" spans="1:8">
      <c r="A9" s="78" t="s">
        <v>55</v>
      </c>
      <c r="B9" s="78">
        <v>604215.96</v>
      </c>
      <c r="C9" s="545">
        <v>777235.10999999964</v>
      </c>
      <c r="D9" s="937">
        <v>989743.54</v>
      </c>
      <c r="E9" s="937">
        <v>1128793.97</v>
      </c>
      <c r="F9" s="937">
        <v>906618.13</v>
      </c>
      <c r="G9" s="937">
        <v>824941.81</v>
      </c>
    </row>
    <row r="10" spans="1:8" ht="24" customHeight="1">
      <c r="A10" s="78" t="s">
        <v>57</v>
      </c>
      <c r="B10" s="78">
        <v>312322.24</v>
      </c>
      <c r="C10" s="545">
        <v>428932.31999999989</v>
      </c>
      <c r="D10" s="937">
        <v>542059.07999999996</v>
      </c>
      <c r="E10" s="937">
        <v>601369.59</v>
      </c>
      <c r="F10" s="937">
        <v>456661.17</v>
      </c>
      <c r="G10" s="937">
        <v>428251.29</v>
      </c>
    </row>
    <row r="11" spans="1:8">
      <c r="A11" s="78" t="s">
        <v>59</v>
      </c>
      <c r="B11" s="78">
        <v>20140024.699999999</v>
      </c>
      <c r="C11" s="545">
        <v>22966291.539999992</v>
      </c>
      <c r="D11" s="937">
        <v>31465024.09</v>
      </c>
      <c r="E11" s="937">
        <v>37330804.600000001</v>
      </c>
      <c r="F11" s="937">
        <v>15623673.82</v>
      </c>
      <c r="G11" s="937">
        <v>16129816.23</v>
      </c>
    </row>
    <row r="12" spans="1:8">
      <c r="A12" s="78" t="s">
        <v>61</v>
      </c>
      <c r="B12" s="78">
        <v>2172761</v>
      </c>
      <c r="C12" s="545">
        <v>2555788.8899999997</v>
      </c>
      <c r="D12" s="937">
        <v>3846710.28</v>
      </c>
      <c r="E12" s="937">
        <v>3650785.83</v>
      </c>
      <c r="F12" s="937">
        <v>2718510.66</v>
      </c>
      <c r="G12" s="937">
        <v>2591492.4500000002</v>
      </c>
    </row>
    <row r="13" spans="1:8">
      <c r="A13" s="78" t="s">
        <v>63</v>
      </c>
      <c r="B13" s="78">
        <v>114319.87</v>
      </c>
      <c r="C13" s="545">
        <v>99799.599999999991</v>
      </c>
      <c r="D13" s="937">
        <v>180720.6</v>
      </c>
      <c r="E13" s="937">
        <v>205394.6</v>
      </c>
      <c r="F13" s="938">
        <v>138453.57999999999</v>
      </c>
      <c r="G13" s="938">
        <v>130089.4</v>
      </c>
      <c r="H13" s="152"/>
    </row>
    <row r="14" spans="1:8">
      <c r="A14" s="318" t="s">
        <v>347</v>
      </c>
      <c r="B14" s="78">
        <v>2831336.91</v>
      </c>
      <c r="C14" s="545">
        <v>3621182.8</v>
      </c>
      <c r="D14" s="937">
        <v>5303106.54</v>
      </c>
      <c r="E14" s="937">
        <v>5601099.9500000002</v>
      </c>
      <c r="F14" s="937">
        <v>3722908.1</v>
      </c>
      <c r="G14" s="937">
        <v>3467536.26</v>
      </c>
    </row>
    <row r="15" spans="1:8" ht="24" customHeight="1">
      <c r="A15" s="78" t="s">
        <v>66</v>
      </c>
      <c r="B15" s="78">
        <v>76614.27</v>
      </c>
      <c r="C15" s="545">
        <v>69992.200000000012</v>
      </c>
      <c r="D15" s="937">
        <v>124373.19</v>
      </c>
      <c r="E15" s="937">
        <v>168844.41</v>
      </c>
      <c r="F15" s="937">
        <v>91723.81</v>
      </c>
      <c r="G15" s="937">
        <v>126836.35</v>
      </c>
    </row>
    <row r="16" spans="1:8">
      <c r="A16" s="78" t="s">
        <v>68</v>
      </c>
      <c r="B16" s="78">
        <v>1237799.42</v>
      </c>
      <c r="C16" s="545">
        <v>1384786.9600000004</v>
      </c>
      <c r="D16" s="937">
        <v>1881261.92</v>
      </c>
      <c r="E16" s="937">
        <v>1613406.33</v>
      </c>
      <c r="F16" s="937">
        <v>1436608.19</v>
      </c>
      <c r="G16" s="937">
        <v>1208740.52</v>
      </c>
    </row>
    <row r="17" spans="1:8">
      <c r="A17" s="78" t="s">
        <v>70</v>
      </c>
      <c r="B17" s="78">
        <v>238211.51</v>
      </c>
      <c r="C17" s="545">
        <v>338735.82</v>
      </c>
      <c r="D17" s="937">
        <v>372658.97</v>
      </c>
      <c r="E17" s="937">
        <v>516299.79</v>
      </c>
      <c r="F17" s="937">
        <v>407946.45</v>
      </c>
      <c r="G17" s="937">
        <v>329526.31</v>
      </c>
      <c r="H17" s="152"/>
    </row>
    <row r="18" spans="1:8">
      <c r="A18" s="78" t="s">
        <v>72</v>
      </c>
      <c r="B18" s="78">
        <v>211318.05</v>
      </c>
      <c r="C18" s="545">
        <v>221787.02999999997</v>
      </c>
      <c r="D18" s="937">
        <v>185409.94</v>
      </c>
      <c r="E18" s="937">
        <v>206391.39</v>
      </c>
      <c r="F18" s="939">
        <v>166922.28</v>
      </c>
      <c r="G18" s="939">
        <v>120970.64</v>
      </c>
      <c r="H18" s="155"/>
    </row>
    <row r="19" spans="1:8">
      <c r="A19" s="78" t="s">
        <v>74</v>
      </c>
      <c r="B19" s="78">
        <v>262685.05</v>
      </c>
      <c r="C19" s="545">
        <v>360367.95999999996</v>
      </c>
      <c r="D19" s="937">
        <v>433154.52</v>
      </c>
      <c r="E19" s="937">
        <v>449447.81</v>
      </c>
      <c r="F19" s="937">
        <v>405464.99</v>
      </c>
      <c r="G19" s="937">
        <v>412488.77</v>
      </c>
    </row>
    <row r="20" spans="1:8" ht="24" customHeight="1">
      <c r="A20" s="78" t="s">
        <v>76</v>
      </c>
      <c r="B20" s="78">
        <v>1193786.6399999999</v>
      </c>
      <c r="C20" s="545">
        <v>1599313.3999999992</v>
      </c>
      <c r="D20" s="937">
        <v>2290163.75</v>
      </c>
      <c r="E20" s="937">
        <v>2227666.79</v>
      </c>
      <c r="F20" s="937">
        <v>1902268.59</v>
      </c>
      <c r="G20" s="937">
        <v>1649697.43</v>
      </c>
    </row>
    <row r="21" spans="1:8">
      <c r="A21" s="78" t="s">
        <v>78</v>
      </c>
      <c r="B21" s="78">
        <v>1027898.34</v>
      </c>
      <c r="C21" s="545">
        <v>1286025.810000001</v>
      </c>
      <c r="D21" s="937">
        <v>1975227.45</v>
      </c>
      <c r="E21" s="937">
        <v>2320586.44</v>
      </c>
      <c r="F21" s="937">
        <v>2102643.5499999998</v>
      </c>
      <c r="G21" s="937">
        <v>1804396.89</v>
      </c>
    </row>
    <row r="22" spans="1:8">
      <c r="A22" s="78" t="s">
        <v>80</v>
      </c>
      <c r="B22" s="78">
        <v>504441.19</v>
      </c>
      <c r="C22" s="545">
        <v>563956.03999999992</v>
      </c>
      <c r="D22" s="937">
        <v>830616.78</v>
      </c>
      <c r="E22" s="937">
        <v>906639.28</v>
      </c>
      <c r="F22" s="937">
        <v>777631.18</v>
      </c>
      <c r="G22" s="937">
        <v>718663.12</v>
      </c>
    </row>
    <row r="23" spans="1:8">
      <c r="A23" s="78" t="s">
        <v>82</v>
      </c>
      <c r="B23" s="78">
        <v>178512.76</v>
      </c>
      <c r="C23" s="545">
        <v>225086.27</v>
      </c>
      <c r="D23" s="937">
        <v>320140.81</v>
      </c>
      <c r="E23" s="937">
        <v>304983.31</v>
      </c>
      <c r="F23" s="937">
        <v>206401.53</v>
      </c>
      <c r="G23" s="937">
        <v>239220.11</v>
      </c>
    </row>
    <row r="24" spans="1:8">
      <c r="A24" s="78" t="s">
        <v>84</v>
      </c>
      <c r="B24" s="78">
        <v>180717.68</v>
      </c>
      <c r="C24" s="545">
        <v>222549.5</v>
      </c>
      <c r="D24" s="937">
        <v>308541.71000000002</v>
      </c>
      <c r="E24" s="937">
        <v>296035</v>
      </c>
      <c r="F24" s="937">
        <v>195667.69</v>
      </c>
      <c r="G24" s="937">
        <v>201619.55</v>
      </c>
    </row>
    <row r="25" spans="1:8" ht="24" customHeight="1">
      <c r="A25" s="78" t="s">
        <v>86</v>
      </c>
      <c r="B25" s="78">
        <v>18302320.93</v>
      </c>
      <c r="C25" s="545">
        <v>21225125.040000003</v>
      </c>
      <c r="D25" s="937">
        <v>30462586.079999998</v>
      </c>
      <c r="E25" s="937">
        <v>29420781.420000002</v>
      </c>
      <c r="F25" s="937">
        <v>21051338.489999998</v>
      </c>
      <c r="G25" s="937">
        <v>20177634.300000001</v>
      </c>
    </row>
    <row r="26" spans="1:8">
      <c r="A26" s="78" t="s">
        <v>88</v>
      </c>
      <c r="B26" s="78">
        <v>757346.96</v>
      </c>
      <c r="C26" s="545">
        <v>882197.54999999993</v>
      </c>
      <c r="D26" s="937">
        <v>1503083.69</v>
      </c>
      <c r="E26" s="937">
        <v>1419606.68</v>
      </c>
      <c r="F26" s="937">
        <v>857933.74</v>
      </c>
      <c r="G26" s="937">
        <v>779370.14</v>
      </c>
    </row>
    <row r="27" spans="1:8">
      <c r="A27" s="78" t="s">
        <v>90</v>
      </c>
      <c r="B27" s="78">
        <v>117564.11</v>
      </c>
      <c r="C27" s="545">
        <v>99354.15</v>
      </c>
      <c r="D27" s="937">
        <v>169734.01</v>
      </c>
      <c r="E27" s="937">
        <v>145657.82999999999</v>
      </c>
      <c r="F27" s="937">
        <v>94625.36</v>
      </c>
      <c r="G27" s="937">
        <v>129688.98</v>
      </c>
    </row>
    <row r="28" spans="1:8">
      <c r="A28" s="78" t="s">
        <v>92</v>
      </c>
      <c r="B28" s="78">
        <v>2219808.7000000002</v>
      </c>
      <c r="C28" s="545">
        <v>2676410.46</v>
      </c>
      <c r="D28" s="937">
        <v>3948394.85</v>
      </c>
      <c r="E28" s="937">
        <v>3563539.67</v>
      </c>
      <c r="F28" s="937">
        <v>2746787.57</v>
      </c>
      <c r="G28" s="937">
        <v>2485534.1800000002</v>
      </c>
    </row>
    <row r="29" spans="1:8">
      <c r="A29" s="78" t="s">
        <v>94</v>
      </c>
      <c r="B29" s="78">
        <v>229777.33</v>
      </c>
      <c r="C29" s="545">
        <v>302178.89</v>
      </c>
      <c r="D29" s="937">
        <v>311021.46000000002</v>
      </c>
      <c r="E29" s="937">
        <v>361067.55</v>
      </c>
      <c r="F29" s="937">
        <v>321325.37</v>
      </c>
      <c r="G29" s="937">
        <v>348096.36</v>
      </c>
    </row>
    <row r="30" spans="1:8" ht="24" customHeight="1">
      <c r="A30" s="78" t="s">
        <v>96</v>
      </c>
      <c r="B30" s="78">
        <v>76371.22</v>
      </c>
      <c r="C30" s="545">
        <v>562230.54</v>
      </c>
      <c r="D30" s="937">
        <v>91030.89</v>
      </c>
      <c r="E30" s="937">
        <v>115745.48</v>
      </c>
      <c r="F30" s="937">
        <v>117450.54</v>
      </c>
      <c r="G30" s="937">
        <v>119778.32</v>
      </c>
    </row>
    <row r="31" spans="1:8">
      <c r="A31" s="78" t="s">
        <v>98</v>
      </c>
      <c r="B31" s="78">
        <v>736016.09</v>
      </c>
      <c r="C31" s="545">
        <v>907140.01999999979</v>
      </c>
      <c r="D31" s="937">
        <v>1040011.46</v>
      </c>
      <c r="E31" s="937">
        <v>1077572.31</v>
      </c>
      <c r="F31" s="937">
        <v>828183.64</v>
      </c>
      <c r="G31" s="937">
        <v>813041.02</v>
      </c>
    </row>
    <row r="32" spans="1:8">
      <c r="A32" s="78" t="s">
        <v>100</v>
      </c>
      <c r="B32" s="78">
        <v>360528.14</v>
      </c>
      <c r="C32" s="545">
        <v>345444.18</v>
      </c>
      <c r="D32" s="937">
        <v>551733.09</v>
      </c>
      <c r="E32" s="937">
        <v>558883.96</v>
      </c>
      <c r="F32" s="937">
        <v>428221.23</v>
      </c>
      <c r="G32" s="937">
        <v>337610.85</v>
      </c>
    </row>
    <row r="33" spans="1:7">
      <c r="A33" s="78" t="s">
        <v>102</v>
      </c>
      <c r="B33" s="78">
        <v>82100501.609999999</v>
      </c>
      <c r="C33" s="545">
        <v>106314702.31000006</v>
      </c>
      <c r="D33" s="937">
        <v>145339962.56999999</v>
      </c>
      <c r="E33" s="937">
        <v>125697445.23999999</v>
      </c>
      <c r="F33" s="937">
        <v>73283557.140000001</v>
      </c>
      <c r="G33" s="937">
        <v>67121074.430000007</v>
      </c>
    </row>
    <row r="34" spans="1:7">
      <c r="A34" s="78" t="s">
        <v>104</v>
      </c>
      <c r="B34" s="78">
        <v>4622955.63</v>
      </c>
      <c r="C34" s="545">
        <v>6240755.6200000048</v>
      </c>
      <c r="D34" s="937">
        <v>9271174.6300000008</v>
      </c>
      <c r="E34" s="937">
        <v>7890420.7599999998</v>
      </c>
      <c r="F34" s="937">
        <v>4447079.1500000004</v>
      </c>
      <c r="G34" s="937">
        <v>5632017.04</v>
      </c>
    </row>
    <row r="35" spans="1:7" ht="24" customHeight="1">
      <c r="A35" s="78" t="s">
        <v>106</v>
      </c>
      <c r="B35" s="151">
        <v>350741.73</v>
      </c>
      <c r="C35" s="937">
        <v>391111.7300000001</v>
      </c>
      <c r="D35" s="937">
        <v>576547.26</v>
      </c>
      <c r="E35" s="937">
        <v>547015.21</v>
      </c>
      <c r="F35" s="937">
        <v>447718.74</v>
      </c>
      <c r="G35" s="937">
        <v>452196.36</v>
      </c>
    </row>
    <row r="36" spans="1:7">
      <c r="A36" s="78" t="s">
        <v>108</v>
      </c>
      <c r="B36" s="151">
        <v>851679.42</v>
      </c>
      <c r="C36" s="937">
        <v>1166850.2100000002</v>
      </c>
      <c r="D36" s="937">
        <v>1855746.5</v>
      </c>
      <c r="E36" s="937">
        <v>1649271.52</v>
      </c>
      <c r="F36" s="937">
        <v>1409739.22</v>
      </c>
      <c r="G36" s="937">
        <v>1144269.56</v>
      </c>
    </row>
    <row r="37" spans="1:7">
      <c r="A37" s="78" t="s">
        <v>21</v>
      </c>
      <c r="B37" s="151">
        <v>1802646.31</v>
      </c>
      <c r="C37" s="937">
        <v>2343146.6399999992</v>
      </c>
      <c r="D37" s="937">
        <v>3891049.54</v>
      </c>
      <c r="E37" s="937">
        <v>3570115.63</v>
      </c>
      <c r="F37" s="937">
        <v>2430165.96</v>
      </c>
      <c r="G37" s="937">
        <v>2479304.65</v>
      </c>
    </row>
    <row r="38" spans="1:7">
      <c r="A38" s="78" t="s">
        <v>111</v>
      </c>
      <c r="B38" s="151">
        <v>4966022.1500000004</v>
      </c>
      <c r="C38" s="937">
        <v>5458785.2600000007</v>
      </c>
      <c r="D38" s="937">
        <v>7978901.7599999998</v>
      </c>
      <c r="E38" s="937">
        <v>7939076.4500000002</v>
      </c>
      <c r="F38" s="937">
        <v>6126300.1200000001</v>
      </c>
      <c r="G38" s="937">
        <v>5714023.2199999997</v>
      </c>
    </row>
    <row r="39" spans="1:7">
      <c r="A39" s="78" t="s">
        <v>113</v>
      </c>
      <c r="B39" s="151">
        <v>255777.01</v>
      </c>
      <c r="C39" s="937">
        <v>297823.99999999988</v>
      </c>
      <c r="D39" s="937">
        <v>433026.16</v>
      </c>
      <c r="E39" s="937">
        <v>430979.35</v>
      </c>
      <c r="F39" s="937">
        <v>339820.95</v>
      </c>
      <c r="G39" s="937">
        <v>364433.89</v>
      </c>
    </row>
    <row r="40" spans="1:7" ht="18">
      <c r="A40" s="1645" t="s">
        <v>584</v>
      </c>
      <c r="B40" s="1645"/>
      <c r="C40" s="1645"/>
      <c r="D40" s="1645"/>
    </row>
    <row r="41" spans="1:7" ht="15.5">
      <c r="A41" s="357" t="str">
        <f>A2</f>
        <v xml:space="preserve">Recordation Tax and Deeds of Conveyance Revenue Collections by Locality </v>
      </c>
      <c r="B41" s="357"/>
      <c r="C41" s="357"/>
      <c r="D41" s="357"/>
      <c r="F41" s="363"/>
      <c r="G41" s="363"/>
    </row>
    <row r="42" spans="1:7" ht="6" customHeight="1" thickBot="1">
      <c r="A42" s="319"/>
      <c r="B42" s="319"/>
      <c r="C42" s="319"/>
      <c r="D42" s="319"/>
    </row>
    <row r="43" spans="1:7" ht="26.5" thickTop="1">
      <c r="A43" s="542" t="s">
        <v>18</v>
      </c>
      <c r="B43" s="1066" t="str">
        <f t="shared" ref="B43:F43" si="0">B$4</f>
        <v>Fiscal Year 
2019</v>
      </c>
      <c r="C43" s="1066" t="str">
        <f t="shared" si="0"/>
        <v>Fiscal Year 
2020</v>
      </c>
      <c r="D43" s="1066" t="str">
        <f t="shared" si="0"/>
        <v>Fiscal Year 
2021</v>
      </c>
      <c r="E43" s="1066" t="str">
        <f t="shared" si="0"/>
        <v>Fiscal Year 
2022</v>
      </c>
      <c r="F43" s="1066" t="str">
        <f t="shared" si="0"/>
        <v>Fiscal Year 2023</v>
      </c>
      <c r="G43" s="1066" t="str">
        <f>G$4</f>
        <v>Fiscal Year 2024</v>
      </c>
    </row>
    <row r="44" spans="1:7" ht="24" customHeight="1">
      <c r="A44" s="78" t="s">
        <v>426</v>
      </c>
      <c r="B44" s="153">
        <v>1295330.24</v>
      </c>
      <c r="C44" s="936">
        <v>1641573.1400000008</v>
      </c>
      <c r="D44" s="936">
        <v>2376065.5</v>
      </c>
      <c r="E44" s="936">
        <v>2361135.9700000002</v>
      </c>
      <c r="F44" s="936">
        <v>1519527.13</v>
      </c>
      <c r="G44" s="936">
        <v>1764811.43</v>
      </c>
    </row>
    <row r="45" spans="1:7">
      <c r="A45" s="78" t="s">
        <v>428</v>
      </c>
      <c r="B45" s="151">
        <v>1721265.8</v>
      </c>
      <c r="C45" s="937">
        <v>2498348.4599999995</v>
      </c>
      <c r="D45" s="937">
        <v>2927588.87</v>
      </c>
      <c r="E45" s="937">
        <v>3219196.09</v>
      </c>
      <c r="F45" s="937">
        <v>2348137.64</v>
      </c>
      <c r="G45" s="937">
        <v>2867341.64</v>
      </c>
    </row>
    <row r="46" spans="1:7">
      <c r="A46" s="78" t="s">
        <v>430</v>
      </c>
      <c r="B46" s="151">
        <v>319890.40000000002</v>
      </c>
      <c r="C46" s="937">
        <v>363379.93999999994</v>
      </c>
      <c r="D46" s="937">
        <v>467611.27</v>
      </c>
      <c r="E46" s="937">
        <v>567726.01</v>
      </c>
      <c r="F46" s="937">
        <v>453670.45</v>
      </c>
      <c r="G46" s="937">
        <v>335578.94</v>
      </c>
    </row>
    <row r="47" spans="1:7">
      <c r="A47" s="78" t="s">
        <v>54</v>
      </c>
      <c r="B47" s="151">
        <v>815346.86</v>
      </c>
      <c r="C47" s="937">
        <v>919761.93999999971</v>
      </c>
      <c r="D47" s="937">
        <v>1325887.18</v>
      </c>
      <c r="E47" s="937">
        <v>1302309.82</v>
      </c>
      <c r="F47" s="937">
        <v>848465.8</v>
      </c>
      <c r="G47" s="937">
        <v>1012504.53</v>
      </c>
    </row>
    <row r="48" spans="1:7">
      <c r="A48" s="78" t="s">
        <v>436</v>
      </c>
      <c r="B48" s="151">
        <v>95004.58</v>
      </c>
      <c r="C48" s="937">
        <v>101834.98000000004</v>
      </c>
      <c r="D48" s="937">
        <v>171728.01</v>
      </c>
      <c r="E48" s="937">
        <v>272672.63</v>
      </c>
      <c r="F48" s="937">
        <v>192090.46</v>
      </c>
      <c r="G48" s="937">
        <v>159738.57</v>
      </c>
    </row>
    <row r="49" spans="1:7" ht="24" customHeight="1">
      <c r="A49" s="317" t="s">
        <v>585</v>
      </c>
      <c r="B49" s="151">
        <v>420193.85</v>
      </c>
      <c r="C49" s="937">
        <v>554097.90999999992</v>
      </c>
      <c r="D49" s="937">
        <v>719066.97</v>
      </c>
      <c r="E49" s="937">
        <v>792493.91</v>
      </c>
      <c r="F49" s="937">
        <v>1052664.2</v>
      </c>
      <c r="G49" s="937">
        <v>989175.13</v>
      </c>
    </row>
    <row r="50" spans="1:7">
      <c r="A50" s="78" t="s">
        <v>60</v>
      </c>
      <c r="B50" s="151">
        <v>5400252.2999999998</v>
      </c>
      <c r="C50" s="937">
        <v>6739040.0000000075</v>
      </c>
      <c r="D50" s="937">
        <v>9856129.4600000009</v>
      </c>
      <c r="E50" s="937">
        <v>9503388.1099999994</v>
      </c>
      <c r="F50" s="937">
        <v>6597644.2000000002</v>
      </c>
      <c r="G50" s="937">
        <v>6575659.1699999999</v>
      </c>
    </row>
    <row r="51" spans="1:7">
      <c r="A51" s="78" t="s">
        <v>62</v>
      </c>
      <c r="B51" s="151">
        <v>15947561.550000001</v>
      </c>
      <c r="C51" s="937">
        <v>19671754.030000005</v>
      </c>
      <c r="D51" s="937">
        <v>24630987.210000001</v>
      </c>
      <c r="E51" s="937">
        <v>26278413.440000001</v>
      </c>
      <c r="F51" s="937">
        <v>18549881.23</v>
      </c>
      <c r="G51" s="937">
        <v>19105205.52</v>
      </c>
    </row>
    <row r="52" spans="1:7">
      <c r="A52" s="78" t="s">
        <v>64</v>
      </c>
      <c r="B52" s="151">
        <v>484790.07</v>
      </c>
      <c r="C52" s="937">
        <v>574127.3200000003</v>
      </c>
      <c r="D52" s="937">
        <v>960304.22</v>
      </c>
      <c r="E52" s="937">
        <v>1112657.02</v>
      </c>
      <c r="F52" s="937">
        <v>1236086.75</v>
      </c>
      <c r="G52" s="937">
        <v>1022793.81</v>
      </c>
    </row>
    <row r="53" spans="1:7">
      <c r="A53" s="78" t="s">
        <v>65</v>
      </c>
      <c r="B53" s="151">
        <v>49289.98</v>
      </c>
      <c r="C53" s="937">
        <v>89084.74000000002</v>
      </c>
      <c r="D53" s="937">
        <v>145278.51999999999</v>
      </c>
      <c r="E53" s="937">
        <v>129505.19</v>
      </c>
      <c r="F53" s="937">
        <v>99633.82</v>
      </c>
      <c r="G53" s="937">
        <v>127414.32</v>
      </c>
    </row>
    <row r="54" spans="1:7" ht="24" customHeight="1">
      <c r="A54" s="78" t="s">
        <v>67</v>
      </c>
      <c r="B54" s="151">
        <v>1547333.72</v>
      </c>
      <c r="C54" s="937">
        <v>1959225.4899999998</v>
      </c>
      <c r="D54" s="937">
        <v>3098198.98</v>
      </c>
      <c r="E54" s="937">
        <v>2879705.89</v>
      </c>
      <c r="F54" s="937">
        <v>1913605.31</v>
      </c>
      <c r="G54" s="937">
        <v>1818906.44</v>
      </c>
    </row>
    <row r="55" spans="1:7">
      <c r="A55" s="78" t="s">
        <v>69</v>
      </c>
      <c r="B55" s="151">
        <v>3995299.62</v>
      </c>
      <c r="C55" s="937">
        <v>5282264.5499999989</v>
      </c>
      <c r="D55" s="937">
        <v>8005280.0300000003</v>
      </c>
      <c r="E55" s="937">
        <v>7428674.1500000004</v>
      </c>
      <c r="F55" s="937">
        <v>4932264.49</v>
      </c>
      <c r="G55" s="937">
        <v>4539817.0999999996</v>
      </c>
    </row>
    <row r="56" spans="1:7">
      <c r="A56" s="78" t="s">
        <v>71</v>
      </c>
      <c r="B56" s="151">
        <v>147799.13</v>
      </c>
      <c r="C56" s="937">
        <v>177906.49000000005</v>
      </c>
      <c r="D56" s="937">
        <v>251196.65</v>
      </c>
      <c r="E56" s="937">
        <v>268071.81</v>
      </c>
      <c r="F56" s="937">
        <v>170904.54</v>
      </c>
      <c r="G56" s="937">
        <v>211882.11</v>
      </c>
    </row>
    <row r="57" spans="1:7">
      <c r="A57" s="78" t="s">
        <v>73</v>
      </c>
      <c r="B57" s="151">
        <v>1015847.1</v>
      </c>
      <c r="C57" s="937">
        <v>1538333.5499999996</v>
      </c>
      <c r="D57" s="937">
        <v>2252647.92</v>
      </c>
      <c r="E57" s="937">
        <v>2239870.3199999998</v>
      </c>
      <c r="F57" s="937">
        <v>1331932.45</v>
      </c>
      <c r="G57" s="937">
        <v>1815602.61</v>
      </c>
    </row>
    <row r="58" spans="1:7">
      <c r="A58" s="78" t="s">
        <v>75</v>
      </c>
      <c r="B58" s="151">
        <v>622618</v>
      </c>
      <c r="C58" s="937">
        <v>796261.98999999964</v>
      </c>
      <c r="D58" s="937">
        <v>1048178.42</v>
      </c>
      <c r="E58" s="937">
        <v>1185230.58</v>
      </c>
      <c r="F58" s="937">
        <v>788247.93</v>
      </c>
      <c r="G58" s="937">
        <v>761309.17</v>
      </c>
    </row>
    <row r="59" spans="1:7" ht="24" customHeight="1">
      <c r="A59" s="78" t="s">
        <v>77</v>
      </c>
      <c r="B59" s="151">
        <v>554427.6</v>
      </c>
      <c r="C59" s="937">
        <v>806809.46</v>
      </c>
      <c r="D59" s="937">
        <v>1362347.36</v>
      </c>
      <c r="E59" s="937">
        <v>1148480.8799999999</v>
      </c>
      <c r="F59" s="937">
        <v>973493.06</v>
      </c>
      <c r="G59" s="937">
        <v>822604.25</v>
      </c>
    </row>
    <row r="60" spans="1:7">
      <c r="A60" s="78" t="s">
        <v>79</v>
      </c>
      <c r="B60" s="151">
        <v>178436.21</v>
      </c>
      <c r="C60" s="937">
        <v>178872.96000000002</v>
      </c>
      <c r="D60" s="937">
        <v>290550.92</v>
      </c>
      <c r="E60" s="937">
        <v>315031.52</v>
      </c>
      <c r="F60" s="937">
        <v>259549.65</v>
      </c>
      <c r="G60" s="937">
        <v>301327.92</v>
      </c>
    </row>
    <row r="61" spans="1:7">
      <c r="A61" s="78" t="s">
        <v>81</v>
      </c>
      <c r="B61" s="151">
        <v>39688170.950000003</v>
      </c>
      <c r="C61" s="937">
        <v>53157736.380000003</v>
      </c>
      <c r="D61" s="937">
        <v>77452544.010000005</v>
      </c>
      <c r="E61" s="937">
        <v>68964866.620000005</v>
      </c>
      <c r="F61" s="937">
        <v>41688679.030000001</v>
      </c>
      <c r="G61" s="937">
        <v>44221861.130000003</v>
      </c>
    </row>
    <row r="62" spans="1:7">
      <c r="A62" s="78" t="s">
        <v>83</v>
      </c>
      <c r="B62" s="151">
        <v>1757392.81</v>
      </c>
      <c r="C62" s="937">
        <v>2198231.9300000006</v>
      </c>
      <c r="D62" s="937">
        <v>3488527.53</v>
      </c>
      <c r="E62" s="937">
        <v>3490787.71</v>
      </c>
      <c r="F62" s="937">
        <v>3093140.3</v>
      </c>
      <c r="G62" s="937">
        <v>2855252.98</v>
      </c>
    </row>
    <row r="63" spans="1:7">
      <c r="A63" s="78" t="s">
        <v>85</v>
      </c>
      <c r="B63" s="151">
        <v>148868.70000000001</v>
      </c>
      <c r="C63" s="937">
        <v>190064.47000000003</v>
      </c>
      <c r="D63" s="937">
        <v>221420.32</v>
      </c>
      <c r="E63" s="937">
        <v>239459.88</v>
      </c>
      <c r="F63" s="937">
        <v>226645.66</v>
      </c>
      <c r="G63" s="937">
        <v>236100.76</v>
      </c>
    </row>
    <row r="64" spans="1:7" ht="24" customHeight="1">
      <c r="A64" s="78" t="s">
        <v>87</v>
      </c>
      <c r="B64" s="151">
        <v>405910.12</v>
      </c>
      <c r="C64" s="937">
        <v>460587.42999999993</v>
      </c>
      <c r="D64" s="937">
        <v>817720.99</v>
      </c>
      <c r="E64" s="937">
        <v>744153.3</v>
      </c>
      <c r="F64" s="937">
        <v>453699.48</v>
      </c>
      <c r="G64" s="937">
        <v>521232.14</v>
      </c>
    </row>
    <row r="65" spans="1:7">
      <c r="A65" s="78" t="s">
        <v>89</v>
      </c>
      <c r="B65" s="151">
        <v>312730.06</v>
      </c>
      <c r="C65" s="937">
        <v>388892.24999999988</v>
      </c>
      <c r="D65" s="937">
        <v>728834.36</v>
      </c>
      <c r="E65" s="937">
        <v>722974.04</v>
      </c>
      <c r="F65" s="937">
        <v>417017.86</v>
      </c>
      <c r="G65" s="937">
        <v>460584.45</v>
      </c>
    </row>
    <row r="66" spans="1:7">
      <c r="A66" s="78" t="s">
        <v>91</v>
      </c>
      <c r="B66" s="151">
        <v>913997.9</v>
      </c>
      <c r="C66" s="937">
        <v>910756.09</v>
      </c>
      <c r="D66" s="937">
        <v>1581306.9</v>
      </c>
      <c r="E66" s="937">
        <v>1397308.98</v>
      </c>
      <c r="F66" s="937">
        <v>994197.91</v>
      </c>
      <c r="G66" s="937">
        <v>1165315.75</v>
      </c>
    </row>
    <row r="67" spans="1:7">
      <c r="A67" s="78" t="s">
        <v>93</v>
      </c>
      <c r="B67" s="151">
        <v>384709.92</v>
      </c>
      <c r="C67" s="937">
        <v>592423.35</v>
      </c>
      <c r="D67" s="937">
        <v>941776.47</v>
      </c>
      <c r="E67" s="937">
        <v>825371.66</v>
      </c>
      <c r="F67" s="937">
        <v>639506.76</v>
      </c>
      <c r="G67" s="937">
        <v>512800.81</v>
      </c>
    </row>
    <row r="68" spans="1:7">
      <c r="A68" s="78" t="s">
        <v>95</v>
      </c>
      <c r="B68" s="151">
        <v>3078167.35</v>
      </c>
      <c r="C68" s="937">
        <v>4494921.7700000033</v>
      </c>
      <c r="D68" s="937">
        <v>5220241.55</v>
      </c>
      <c r="E68" s="937">
        <v>5006185.6900000004</v>
      </c>
      <c r="F68" s="937">
        <v>4769623.5599999996</v>
      </c>
      <c r="G68" s="937">
        <v>2991646.96</v>
      </c>
    </row>
    <row r="69" spans="1:7" ht="24" customHeight="1">
      <c r="A69" s="78" t="s">
        <v>97</v>
      </c>
      <c r="B69" s="151">
        <v>629995.38</v>
      </c>
      <c r="C69" s="937">
        <v>729977.74999999977</v>
      </c>
      <c r="D69" s="937">
        <v>1451600.96</v>
      </c>
      <c r="E69" s="937">
        <v>1426099.21</v>
      </c>
      <c r="F69" s="937">
        <v>897113.28</v>
      </c>
      <c r="G69" s="937">
        <v>941119.61</v>
      </c>
    </row>
    <row r="70" spans="1:7">
      <c r="A70" s="78" t="s">
        <v>99</v>
      </c>
      <c r="B70" s="151">
        <v>1189610.2</v>
      </c>
      <c r="C70" s="937">
        <v>1467213.74</v>
      </c>
      <c r="D70" s="937">
        <v>2237700.41</v>
      </c>
      <c r="E70" s="937">
        <v>2285095.4700000002</v>
      </c>
      <c r="F70" s="937">
        <v>2153688.73</v>
      </c>
      <c r="G70" s="937">
        <v>2026841.07</v>
      </c>
    </row>
    <row r="71" spans="1:7">
      <c r="A71" s="78" t="s">
        <v>101</v>
      </c>
      <c r="B71" s="151">
        <v>496579.51</v>
      </c>
      <c r="C71" s="937">
        <v>583901.90000000014</v>
      </c>
      <c r="D71" s="937">
        <v>1240419.83</v>
      </c>
      <c r="E71" s="937">
        <v>1071061.58</v>
      </c>
      <c r="F71" s="937">
        <v>1004737.76</v>
      </c>
      <c r="G71" s="937">
        <v>974834.65</v>
      </c>
    </row>
    <row r="72" spans="1:7">
      <c r="A72" s="78" t="s">
        <v>103</v>
      </c>
      <c r="B72" s="151">
        <v>555922.09</v>
      </c>
      <c r="C72" s="937">
        <v>755409.69000000006</v>
      </c>
      <c r="D72" s="937">
        <v>1412853.03</v>
      </c>
      <c r="E72" s="937">
        <v>1161335.1299999999</v>
      </c>
      <c r="F72" s="937">
        <v>883254.11</v>
      </c>
      <c r="G72" s="937">
        <v>806965.24</v>
      </c>
    </row>
    <row r="73" spans="1:7">
      <c r="A73" s="78" t="s">
        <v>105</v>
      </c>
      <c r="B73" s="151">
        <v>280242.59000000003</v>
      </c>
      <c r="C73" s="937">
        <v>219470.27</v>
      </c>
      <c r="D73" s="937">
        <v>304820.94</v>
      </c>
      <c r="E73" s="937">
        <v>432431.43</v>
      </c>
      <c r="F73" s="937">
        <v>339010.5</v>
      </c>
      <c r="G73" s="937">
        <v>304916.51</v>
      </c>
    </row>
    <row r="74" spans="1:7" ht="24" customHeight="1">
      <c r="A74" s="78" t="s">
        <v>107</v>
      </c>
      <c r="B74" s="151">
        <v>1441701.75</v>
      </c>
      <c r="C74" s="937">
        <v>1823120.6799999995</v>
      </c>
      <c r="D74" s="937">
        <v>2801675.59</v>
      </c>
      <c r="E74" s="937">
        <v>3000361.77</v>
      </c>
      <c r="F74" s="937">
        <v>1961065.42</v>
      </c>
      <c r="G74" s="937">
        <v>2093348.1</v>
      </c>
    </row>
    <row r="75" spans="1:7">
      <c r="A75" s="78" t="s">
        <v>109</v>
      </c>
      <c r="B75" s="151">
        <v>457027.59</v>
      </c>
      <c r="C75" s="937">
        <v>585266.57000000018</v>
      </c>
      <c r="D75" s="937">
        <v>879482.51</v>
      </c>
      <c r="E75" s="937">
        <v>967729.73</v>
      </c>
      <c r="F75" s="937">
        <v>873864.52</v>
      </c>
      <c r="G75" s="937">
        <v>878778.14</v>
      </c>
    </row>
    <row r="76" spans="1:7">
      <c r="A76" s="78" t="s">
        <v>110</v>
      </c>
      <c r="B76" s="151">
        <v>241251.87</v>
      </c>
      <c r="C76" s="937">
        <v>387569.0799999999</v>
      </c>
      <c r="D76" s="937">
        <v>478785.61</v>
      </c>
      <c r="E76" s="937">
        <v>471696.05</v>
      </c>
      <c r="F76" s="937">
        <v>436590.33</v>
      </c>
      <c r="G76" s="937">
        <v>380638.39</v>
      </c>
    </row>
    <row r="77" spans="1:7">
      <c r="A77" s="78" t="s">
        <v>112</v>
      </c>
      <c r="B77" s="151">
        <v>892836.42</v>
      </c>
      <c r="C77" s="937">
        <v>1075072.7400000002</v>
      </c>
      <c r="D77" s="937">
        <v>1326805.08</v>
      </c>
      <c r="E77" s="937">
        <v>1419187.81</v>
      </c>
      <c r="F77" s="937">
        <v>1410682.1</v>
      </c>
      <c r="G77" s="937">
        <v>1111658.56</v>
      </c>
    </row>
    <row r="78" spans="1:7">
      <c r="A78" s="78" t="s">
        <v>114</v>
      </c>
      <c r="B78" s="151">
        <v>1487227.55</v>
      </c>
      <c r="C78" s="937">
        <v>1972535.7900000005</v>
      </c>
      <c r="D78" s="937">
        <v>2455836.9700000002</v>
      </c>
      <c r="E78" s="937">
        <v>2620953.88</v>
      </c>
      <c r="F78" s="937">
        <v>1505250.05</v>
      </c>
      <c r="G78" s="937">
        <v>1512621.06</v>
      </c>
    </row>
    <row r="79" spans="1:7" ht="18">
      <c r="A79" s="1645" t="s">
        <v>584</v>
      </c>
      <c r="B79" s="1645"/>
      <c r="C79" s="1645"/>
      <c r="D79" s="1645"/>
      <c r="E79" s="320"/>
    </row>
    <row r="80" spans="1:7" ht="15.5">
      <c r="A80" s="357" t="str">
        <f>A41</f>
        <v xml:space="preserve">Recordation Tax and Deeds of Conveyance Revenue Collections by Locality </v>
      </c>
      <c r="B80" s="357"/>
      <c r="C80" s="357"/>
      <c r="D80" s="357"/>
      <c r="F80" s="363"/>
      <c r="G80" s="363"/>
    </row>
    <row r="81" spans="1:7" ht="6" customHeight="1" thickBot="1">
      <c r="A81" s="319"/>
      <c r="B81" s="319"/>
      <c r="C81" s="1067"/>
      <c r="D81" s="1067"/>
      <c r="E81" s="1068"/>
      <c r="F81" s="1069"/>
      <c r="G81" s="1069"/>
    </row>
    <row r="82" spans="1:7" ht="26.5" thickTop="1">
      <c r="A82" s="542" t="s">
        <v>18</v>
      </c>
      <c r="B82" s="1066" t="str">
        <f t="shared" ref="B82:F82" si="1">B$4</f>
        <v>Fiscal Year 
2019</v>
      </c>
      <c r="C82" s="1066" t="str">
        <f t="shared" si="1"/>
        <v>Fiscal Year 
2020</v>
      </c>
      <c r="D82" s="1066" t="str">
        <f t="shared" si="1"/>
        <v>Fiscal Year 
2021</v>
      </c>
      <c r="E82" s="1066" t="str">
        <f t="shared" si="1"/>
        <v>Fiscal Year 
2022</v>
      </c>
      <c r="F82" s="1066" t="str">
        <f t="shared" si="1"/>
        <v>Fiscal Year 2023</v>
      </c>
      <c r="G82" s="1066" t="str">
        <f>G$4</f>
        <v>Fiscal Year 2024</v>
      </c>
    </row>
    <row r="83" spans="1:7" ht="24" customHeight="1">
      <c r="A83" s="78" t="s">
        <v>115</v>
      </c>
      <c r="B83" s="153">
        <v>402026.12</v>
      </c>
      <c r="C83" s="936">
        <v>453222.7199999998</v>
      </c>
      <c r="D83" s="936">
        <v>672030.62</v>
      </c>
      <c r="E83" s="936">
        <v>841084.94</v>
      </c>
      <c r="F83" s="936">
        <v>631206.54</v>
      </c>
      <c r="G83" s="936">
        <v>641588.37</v>
      </c>
    </row>
    <row r="84" spans="1:7">
      <c r="A84" s="78" t="s">
        <v>117</v>
      </c>
      <c r="B84" s="151">
        <v>1006178.59</v>
      </c>
      <c r="C84" s="937">
        <v>1184889.1199999996</v>
      </c>
      <c r="D84" s="937">
        <v>1510833.5</v>
      </c>
      <c r="E84" s="937">
        <v>1856565.04</v>
      </c>
      <c r="F84" s="937">
        <v>1323845.3500000001</v>
      </c>
      <c r="G84" s="937">
        <v>1205838.55</v>
      </c>
    </row>
    <row r="85" spans="1:7">
      <c r="A85" s="78" t="s">
        <v>119</v>
      </c>
      <c r="B85" s="151">
        <v>26801684.57</v>
      </c>
      <c r="C85" s="937">
        <v>35560843.670000002</v>
      </c>
      <c r="D85" s="937">
        <v>57077748.280000001</v>
      </c>
      <c r="E85" s="937">
        <v>47850203.479999997</v>
      </c>
      <c r="F85" s="937">
        <v>29341732.190000001</v>
      </c>
      <c r="G85" s="937">
        <v>28925268.379999999</v>
      </c>
    </row>
    <row r="86" spans="1:7">
      <c r="A86" s="78" t="s">
        <v>121</v>
      </c>
      <c r="B86" s="151">
        <v>679119.52</v>
      </c>
      <c r="C86" s="937">
        <v>861117.0499999997</v>
      </c>
      <c r="D86" s="937">
        <v>1209774.8</v>
      </c>
      <c r="E86" s="937">
        <v>1204760.31</v>
      </c>
      <c r="F86" s="937">
        <v>915854.61</v>
      </c>
      <c r="G86" s="937">
        <v>875656.2</v>
      </c>
    </row>
    <row r="87" spans="1:7">
      <c r="A87" s="78" t="s">
        <v>123</v>
      </c>
      <c r="B87" s="151">
        <v>363968.27</v>
      </c>
      <c r="C87" s="937">
        <v>436841.67000000004</v>
      </c>
      <c r="D87" s="937">
        <v>792558.93</v>
      </c>
      <c r="E87" s="937">
        <v>936800.21</v>
      </c>
      <c r="F87" s="937">
        <v>461650.52</v>
      </c>
      <c r="G87" s="937">
        <v>424111.35</v>
      </c>
    </row>
    <row r="88" spans="1:7" ht="24" customHeight="1">
      <c r="A88" s="78" t="s">
        <v>125</v>
      </c>
      <c r="B88" s="151">
        <v>205167.83</v>
      </c>
      <c r="C88" s="937">
        <v>226953.80000000008</v>
      </c>
      <c r="D88" s="937">
        <v>309660.08</v>
      </c>
      <c r="E88" s="937">
        <v>254910.79</v>
      </c>
      <c r="F88" s="937">
        <v>366530.77</v>
      </c>
      <c r="G88" s="937">
        <v>211714.4</v>
      </c>
    </row>
    <row r="89" spans="1:7">
      <c r="A89" s="78" t="s">
        <v>22</v>
      </c>
      <c r="B89" s="151">
        <v>3502787.52</v>
      </c>
      <c r="C89" s="937">
        <v>3746993.8600000017</v>
      </c>
      <c r="D89" s="937">
        <v>5377044.7000000002</v>
      </c>
      <c r="E89" s="937">
        <v>4904476.17</v>
      </c>
      <c r="F89" s="937">
        <v>4012237.62</v>
      </c>
      <c r="G89" s="937">
        <v>3304075.39</v>
      </c>
    </row>
    <row r="90" spans="1:7">
      <c r="A90" s="78" t="s">
        <v>127</v>
      </c>
      <c r="B90" s="151">
        <v>546408.62</v>
      </c>
      <c r="C90" s="937">
        <v>770962.09000000008</v>
      </c>
      <c r="D90" s="937">
        <v>1083678.8799999999</v>
      </c>
      <c r="E90" s="937">
        <v>1151022.3400000001</v>
      </c>
      <c r="F90" s="937">
        <v>730210.7</v>
      </c>
      <c r="G90" s="937">
        <v>774547.66</v>
      </c>
    </row>
    <row r="91" spans="1:7">
      <c r="A91" s="78" t="s">
        <v>128</v>
      </c>
      <c r="B91" s="151">
        <v>2677530.62</v>
      </c>
      <c r="C91" s="937">
        <v>3308695.16</v>
      </c>
      <c r="D91" s="937">
        <v>4754630.32</v>
      </c>
      <c r="E91" s="937">
        <v>4540865.68</v>
      </c>
      <c r="F91" s="937">
        <v>3976664.63</v>
      </c>
      <c r="G91" s="937">
        <v>3910170.06</v>
      </c>
    </row>
    <row r="92" spans="1:7">
      <c r="A92" s="78" t="s">
        <v>130</v>
      </c>
      <c r="B92" s="151">
        <v>260062.76</v>
      </c>
      <c r="C92" s="937">
        <v>338693.87999999995</v>
      </c>
      <c r="D92" s="937">
        <v>379173.09</v>
      </c>
      <c r="E92" s="937">
        <v>375293.53</v>
      </c>
      <c r="F92" s="937">
        <v>272979.89</v>
      </c>
      <c r="G92" s="937">
        <v>355135.9</v>
      </c>
    </row>
    <row r="93" spans="1:7" ht="24" customHeight="1">
      <c r="A93" s="317" t="s">
        <v>132</v>
      </c>
      <c r="B93" s="151">
        <v>218240.83</v>
      </c>
      <c r="C93" s="937">
        <v>278006.08</v>
      </c>
      <c r="D93" s="937">
        <v>319019.11</v>
      </c>
      <c r="E93" s="937">
        <v>442924.61</v>
      </c>
      <c r="F93" s="937">
        <v>293617.58</v>
      </c>
      <c r="G93" s="937">
        <v>313998.94</v>
      </c>
    </row>
    <row r="94" spans="1:7">
      <c r="A94" s="78" t="s">
        <v>134</v>
      </c>
      <c r="B94" s="151">
        <v>1402357.87</v>
      </c>
      <c r="C94" s="937">
        <v>1589540.57</v>
      </c>
      <c r="D94" s="937">
        <v>2281469.62</v>
      </c>
      <c r="E94" s="937">
        <v>2386505.7999999998</v>
      </c>
      <c r="F94" s="937">
        <v>1776145.89</v>
      </c>
      <c r="G94" s="937">
        <v>1846746.04</v>
      </c>
    </row>
    <row r="95" spans="1:7">
      <c r="A95" s="78" t="s">
        <v>136</v>
      </c>
      <c r="B95" s="151">
        <v>371161.79</v>
      </c>
      <c r="C95" s="937">
        <v>439458.13999999996</v>
      </c>
      <c r="D95" s="937">
        <v>491456.93</v>
      </c>
      <c r="E95" s="937">
        <v>587659.72</v>
      </c>
      <c r="F95" s="937">
        <v>526995.52</v>
      </c>
      <c r="G95" s="937">
        <v>471451.88</v>
      </c>
    </row>
    <row r="96" spans="1:7">
      <c r="A96" s="78" t="s">
        <v>138</v>
      </c>
      <c r="B96" s="151">
        <v>323211.2</v>
      </c>
      <c r="C96" s="937">
        <v>412789.25999999989</v>
      </c>
      <c r="D96" s="937">
        <v>541911.36</v>
      </c>
      <c r="E96" s="937">
        <v>645800.04</v>
      </c>
      <c r="F96" s="937">
        <v>489856.19</v>
      </c>
      <c r="G96" s="937">
        <v>400387</v>
      </c>
    </row>
    <row r="97" spans="1:7">
      <c r="A97" s="78" t="s">
        <v>140</v>
      </c>
      <c r="B97" s="151">
        <v>6988282.0599999996</v>
      </c>
      <c r="C97" s="937">
        <v>9502487.5299999993</v>
      </c>
      <c r="D97" s="937">
        <v>14511881.59</v>
      </c>
      <c r="E97" s="937">
        <v>13677307.140000001</v>
      </c>
      <c r="F97" s="937">
        <v>9147765.9600000009</v>
      </c>
      <c r="G97" s="937">
        <v>8565051.9700000007</v>
      </c>
    </row>
    <row r="98" spans="1:7" ht="24" customHeight="1">
      <c r="A98" s="78" t="s">
        <v>142</v>
      </c>
      <c r="B98" s="151">
        <v>9093558.5</v>
      </c>
      <c r="C98" s="937">
        <v>12880841.900000004</v>
      </c>
      <c r="D98" s="937">
        <v>19935747.370000001</v>
      </c>
      <c r="E98" s="937">
        <v>16931728.18</v>
      </c>
      <c r="F98" s="937">
        <v>10354416.24</v>
      </c>
      <c r="G98" s="937">
        <v>9540156.6400000006</v>
      </c>
    </row>
    <row r="99" spans="1:7">
      <c r="A99" s="78" t="s">
        <v>144</v>
      </c>
      <c r="B99" s="151">
        <v>240997.16</v>
      </c>
      <c r="C99" s="937">
        <v>213988.37</v>
      </c>
      <c r="D99" s="937">
        <v>258408.48</v>
      </c>
      <c r="E99" s="937">
        <v>313146.25</v>
      </c>
      <c r="F99" s="937">
        <v>267305.03999999998</v>
      </c>
      <c r="G99" s="937">
        <v>203284.57</v>
      </c>
    </row>
    <row r="100" spans="1:7">
      <c r="A100" s="78" t="s">
        <v>146</v>
      </c>
      <c r="B100" s="151">
        <v>169532.11</v>
      </c>
      <c r="C100" s="937">
        <v>219052.22999999998</v>
      </c>
      <c r="D100" s="937">
        <v>284327.19</v>
      </c>
      <c r="E100" s="937">
        <v>394364</v>
      </c>
      <c r="F100" s="937">
        <v>316624.52</v>
      </c>
      <c r="G100" s="937">
        <v>266227.14</v>
      </c>
    </row>
    <row r="101" spans="1:7">
      <c r="A101" s="78" t="s">
        <v>148</v>
      </c>
      <c r="B101" s="151">
        <v>551970.11</v>
      </c>
      <c r="C101" s="937">
        <v>619201.65000000014</v>
      </c>
      <c r="D101" s="937">
        <v>785964.35</v>
      </c>
      <c r="E101" s="937">
        <v>779113.96</v>
      </c>
      <c r="F101" s="937">
        <v>716029.78</v>
      </c>
      <c r="G101" s="937">
        <v>766882.8</v>
      </c>
    </row>
    <row r="102" spans="1:7">
      <c r="A102" s="78" t="s">
        <v>150</v>
      </c>
      <c r="B102" s="151">
        <v>1584618.26</v>
      </c>
      <c r="C102" s="937">
        <v>2053348.3400000003</v>
      </c>
      <c r="D102" s="937">
        <v>3248221.89</v>
      </c>
      <c r="E102" s="937">
        <v>3248965.47</v>
      </c>
      <c r="F102" s="937">
        <v>2064113.36</v>
      </c>
      <c r="G102" s="937">
        <v>1862556.65</v>
      </c>
    </row>
    <row r="103" spans="1:7" ht="24" customHeight="1">
      <c r="A103" s="78" t="s">
        <v>152</v>
      </c>
      <c r="B103" s="151">
        <v>1231828.01</v>
      </c>
      <c r="C103" s="937">
        <v>1529182.9100000001</v>
      </c>
      <c r="D103" s="937">
        <v>1979827.95</v>
      </c>
      <c r="E103" s="937">
        <v>2110386.25</v>
      </c>
      <c r="F103" s="937">
        <v>1910859.45</v>
      </c>
      <c r="G103" s="937">
        <v>1635103.07</v>
      </c>
    </row>
    <row r="104" spans="1:7">
      <c r="A104" s="78" t="s">
        <v>154</v>
      </c>
      <c r="B104" s="151">
        <v>748660.67</v>
      </c>
      <c r="C104" s="937">
        <v>823366.21999999974</v>
      </c>
      <c r="D104" s="937">
        <v>1470104.13</v>
      </c>
      <c r="E104" s="937">
        <v>1436592.26</v>
      </c>
      <c r="F104" s="937">
        <v>1139541.25</v>
      </c>
      <c r="G104" s="937">
        <v>1073395.1100000001</v>
      </c>
    </row>
    <row r="105" spans="1:7">
      <c r="A105" s="78" t="s">
        <v>156</v>
      </c>
      <c r="B105" s="151">
        <v>292391.27</v>
      </c>
      <c r="C105" s="937">
        <v>446724.17999999993</v>
      </c>
      <c r="D105" s="937">
        <v>418524.9</v>
      </c>
      <c r="E105" s="937">
        <v>572201.34</v>
      </c>
      <c r="F105" s="937">
        <v>471792.42</v>
      </c>
      <c r="G105" s="937">
        <v>686400.56</v>
      </c>
    </row>
    <row r="106" spans="1:7">
      <c r="A106" s="78" t="s">
        <v>158</v>
      </c>
      <c r="B106" s="151">
        <v>510930.62</v>
      </c>
      <c r="C106" s="937">
        <v>789534.61</v>
      </c>
      <c r="D106" s="937">
        <v>804919.76</v>
      </c>
      <c r="E106" s="937">
        <v>1010772.84</v>
      </c>
      <c r="F106" s="937">
        <v>943531.54</v>
      </c>
      <c r="G106" s="937">
        <v>882179.61</v>
      </c>
    </row>
    <row r="107" spans="1:7">
      <c r="A107" s="78" t="s">
        <v>160</v>
      </c>
      <c r="B107" s="151">
        <v>3426230.59</v>
      </c>
      <c r="C107" s="937">
        <v>4207435.660000002</v>
      </c>
      <c r="D107" s="937">
        <v>6062372.7599999998</v>
      </c>
      <c r="E107" s="937">
        <v>5661666.9199999999</v>
      </c>
      <c r="F107" s="937">
        <v>3611717.36</v>
      </c>
      <c r="G107" s="937">
        <v>3415890.73</v>
      </c>
    </row>
    <row r="108" spans="1:7" ht="10.75" customHeight="1">
      <c r="A108" s="321"/>
      <c r="B108" s="321"/>
      <c r="C108" s="321"/>
      <c r="D108" s="321"/>
      <c r="E108" s="316"/>
      <c r="F108" s="316"/>
      <c r="G108" s="316"/>
    </row>
    <row r="109" spans="1:7" ht="13">
      <c r="A109" s="322" t="s">
        <v>19</v>
      </c>
      <c r="B109" s="323">
        <f t="shared" ref="B109:G109" si="2">SUM(B5:B39,B44:B78,B83:B107)</f>
        <v>309985515.51999992</v>
      </c>
      <c r="C109" s="323">
        <f t="shared" si="2"/>
        <v>394179563.19000024</v>
      </c>
      <c r="D109" s="323">
        <f t="shared" si="2"/>
        <v>563241430.41999996</v>
      </c>
      <c r="E109" s="323">
        <f t="shared" si="2"/>
        <v>526165162.75999999</v>
      </c>
      <c r="F109" s="323">
        <f t="shared" si="2"/>
        <v>339180527.05999988</v>
      </c>
      <c r="G109" s="323">
        <f t="shared" si="2"/>
        <v>328810242.47999996</v>
      </c>
    </row>
    <row r="110" spans="1:7" ht="17.5" customHeight="1">
      <c r="A110" s="905" t="s">
        <v>584</v>
      </c>
      <c r="B110" s="905"/>
      <c r="C110" s="905"/>
      <c r="D110" s="905"/>
    </row>
    <row r="111" spans="1:7" ht="15.5" customHeight="1">
      <c r="A111" s="357" t="str">
        <f>A80</f>
        <v xml:space="preserve">Recordation Tax and Deeds of Conveyance Revenue Collections by Locality </v>
      </c>
      <c r="B111" s="357"/>
      <c r="C111" s="357"/>
      <c r="D111" s="357"/>
      <c r="F111" s="363"/>
      <c r="G111" s="363"/>
    </row>
    <row r="112" spans="1:7" ht="6" customHeight="1" thickBot="1">
      <c r="A112" s="319"/>
      <c r="B112" s="319"/>
      <c r="C112" s="319"/>
      <c r="D112" s="319"/>
    </row>
    <row r="113" spans="1:8" ht="26.5" customHeight="1" thickTop="1">
      <c r="A113" s="1364" t="s">
        <v>20</v>
      </c>
      <c r="B113" s="1066" t="str">
        <f t="shared" ref="B113:F113" si="3">B$4</f>
        <v>Fiscal Year 
2019</v>
      </c>
      <c r="C113" s="1066" t="str">
        <f t="shared" si="3"/>
        <v>Fiscal Year 
2020</v>
      </c>
      <c r="D113" s="1066" t="str">
        <f t="shared" si="3"/>
        <v>Fiscal Year 
2021</v>
      </c>
      <c r="E113" s="1066" t="str">
        <f t="shared" si="3"/>
        <v>Fiscal Year 
2022</v>
      </c>
      <c r="F113" s="1066" t="str">
        <f t="shared" si="3"/>
        <v>Fiscal Year 2023</v>
      </c>
      <c r="G113" s="1066" t="str">
        <f>G$4</f>
        <v>Fiscal Year 2024</v>
      </c>
    </row>
    <row r="114" spans="1:8" ht="20" customHeight="1">
      <c r="A114" s="544" t="s">
        <v>165</v>
      </c>
      <c r="B114" s="317">
        <v>15829535.57</v>
      </c>
      <c r="C114" s="936">
        <v>19647871.479999997</v>
      </c>
      <c r="D114" s="936">
        <v>24486952.300000001</v>
      </c>
      <c r="E114" s="936">
        <v>23162078.210000001</v>
      </c>
      <c r="F114" s="936">
        <v>11623034.76</v>
      </c>
      <c r="G114" s="936">
        <v>11311298.130000001</v>
      </c>
      <c r="H114" s="152"/>
    </row>
    <row r="115" spans="1:8" ht="12" customHeight="1">
      <c r="A115" s="545" t="s">
        <v>167</v>
      </c>
      <c r="B115" s="78">
        <v>436365.84</v>
      </c>
      <c r="C115" s="937">
        <v>402796.44000000006</v>
      </c>
      <c r="D115" s="937">
        <v>537783</v>
      </c>
      <c r="E115" s="937">
        <v>957747.95</v>
      </c>
      <c r="F115" s="937">
        <v>653498.36</v>
      </c>
      <c r="G115" s="937">
        <v>860233.7</v>
      </c>
    </row>
    <row r="116" spans="1:8" ht="12" customHeight="1">
      <c r="A116" s="545" t="s">
        <v>169</v>
      </c>
      <c r="B116" s="78">
        <v>103927</v>
      </c>
      <c r="C116" s="937">
        <v>99939.260000000009</v>
      </c>
      <c r="D116" s="937">
        <v>196730.71</v>
      </c>
      <c r="E116" s="937">
        <v>188967.9</v>
      </c>
      <c r="F116" s="937">
        <v>122883.39</v>
      </c>
      <c r="G116" s="937">
        <v>130806.81</v>
      </c>
    </row>
    <row r="117" spans="1:8" ht="12" customHeight="1">
      <c r="A117" s="545" t="s">
        <v>171</v>
      </c>
      <c r="B117" s="78">
        <v>2448300.54</v>
      </c>
      <c r="C117" s="937">
        <v>2810244.3499999992</v>
      </c>
      <c r="D117" s="937">
        <v>2912301.01</v>
      </c>
      <c r="E117" s="937">
        <v>3662574.31</v>
      </c>
      <c r="F117" s="937">
        <v>2346414.0099999998</v>
      </c>
      <c r="G117" s="937">
        <v>2173522.91</v>
      </c>
    </row>
    <row r="118" spans="1:8" ht="20" customHeight="1">
      <c r="A118" s="545" t="s">
        <v>116</v>
      </c>
      <c r="B118" s="78">
        <v>11711127.99</v>
      </c>
      <c r="C118" s="937">
        <v>14401491.530000003</v>
      </c>
      <c r="D118" s="937">
        <v>21603249.43</v>
      </c>
      <c r="E118" s="937">
        <v>20379848.98</v>
      </c>
      <c r="F118" s="937">
        <v>13730503.27</v>
      </c>
      <c r="G118" s="937">
        <v>11670735.43</v>
      </c>
    </row>
    <row r="119" spans="1:8" ht="12" customHeight="1">
      <c r="A119" s="545" t="s">
        <v>118</v>
      </c>
      <c r="B119" s="78">
        <v>504463.35999999999</v>
      </c>
      <c r="C119" s="937">
        <v>577847.50999999989</v>
      </c>
      <c r="D119" s="937">
        <v>826821.67</v>
      </c>
      <c r="E119" s="937">
        <v>1113415.6599999999</v>
      </c>
      <c r="F119" s="937">
        <v>742587.73</v>
      </c>
      <c r="G119" s="937">
        <v>570823.46</v>
      </c>
      <c r="H119" s="152"/>
    </row>
    <row r="120" spans="1:8" ht="12" customHeight="1">
      <c r="A120" s="545" t="s">
        <v>406</v>
      </c>
      <c r="B120" s="78">
        <v>88998.17</v>
      </c>
      <c r="C120" s="937">
        <v>52182.38</v>
      </c>
      <c r="D120" s="937">
        <v>53116.639999999999</v>
      </c>
      <c r="E120" s="937">
        <v>109577.24</v>
      </c>
      <c r="F120" s="937">
        <v>73147.37</v>
      </c>
      <c r="G120" s="937">
        <v>86463.7</v>
      </c>
      <c r="H120" s="152"/>
    </row>
    <row r="121" spans="1:8" ht="12" customHeight="1">
      <c r="A121" s="545" t="s">
        <v>122</v>
      </c>
      <c r="B121" s="78">
        <v>510855.9</v>
      </c>
      <c r="C121" s="937">
        <v>876366.90999999992</v>
      </c>
      <c r="D121" s="937">
        <v>1418132.05</v>
      </c>
      <c r="E121" s="937">
        <v>1265371.1399999999</v>
      </c>
      <c r="F121" s="937">
        <v>1172279.02</v>
      </c>
      <c r="G121" s="937">
        <v>2071534.84</v>
      </c>
    </row>
    <row r="122" spans="1:8" ht="12" customHeight="1">
      <c r="A122" s="545" t="s">
        <v>412</v>
      </c>
      <c r="B122" s="78">
        <v>159810.54</v>
      </c>
      <c r="C122" s="937">
        <v>155399.96000000002</v>
      </c>
      <c r="D122" s="937">
        <v>83820.53</v>
      </c>
      <c r="E122" s="937">
        <v>124845.06</v>
      </c>
      <c r="F122" s="938">
        <v>63507.56</v>
      </c>
      <c r="G122" s="938">
        <v>130922.99</v>
      </c>
      <c r="H122" s="152"/>
    </row>
    <row r="123" spans="1:8" ht="20" customHeight="1">
      <c r="A123" s="545" t="s">
        <v>407</v>
      </c>
      <c r="B123" s="78">
        <v>1652558.97</v>
      </c>
      <c r="C123" s="937">
        <v>1761827.9100000001</v>
      </c>
      <c r="D123" s="937">
        <v>3270225.01</v>
      </c>
      <c r="E123" s="937">
        <v>2892330.48</v>
      </c>
      <c r="F123" s="937">
        <v>2612342.62</v>
      </c>
      <c r="G123" s="937">
        <v>2019101.7</v>
      </c>
      <c r="H123" s="152"/>
    </row>
    <row r="124" spans="1:8" ht="12" customHeight="1">
      <c r="A124" s="545" t="s">
        <v>417</v>
      </c>
      <c r="B124" s="78">
        <v>1369851.41</v>
      </c>
      <c r="C124" s="937">
        <v>1304917.4099999999</v>
      </c>
      <c r="D124" s="937">
        <v>2180925.83</v>
      </c>
      <c r="E124" s="937">
        <v>1953884.13</v>
      </c>
      <c r="F124" s="937">
        <v>1217693.02</v>
      </c>
      <c r="G124" s="937">
        <v>870124.82</v>
      </c>
    </row>
    <row r="125" spans="1:8" ht="12" customHeight="1">
      <c r="A125" s="545" t="s">
        <v>418</v>
      </c>
      <c r="B125" s="78">
        <v>158255.09</v>
      </c>
      <c r="C125" s="937">
        <v>243652.99</v>
      </c>
      <c r="D125" s="937">
        <v>241542.23</v>
      </c>
      <c r="E125" s="937">
        <v>315630.93</v>
      </c>
      <c r="F125" s="937">
        <v>341286.64</v>
      </c>
      <c r="G125" s="937">
        <v>424762.19</v>
      </c>
    </row>
    <row r="126" spans="1:8" ht="12" customHeight="1">
      <c r="A126" s="545" t="s">
        <v>129</v>
      </c>
      <c r="B126" s="78">
        <v>1696546.03</v>
      </c>
      <c r="C126" s="937">
        <v>1626979.4599999997</v>
      </c>
      <c r="D126" s="937">
        <v>2786419.69</v>
      </c>
      <c r="E126" s="937">
        <v>2986181.56</v>
      </c>
      <c r="F126" s="937">
        <v>1723722.36</v>
      </c>
      <c r="G126" s="937">
        <v>1293498.52</v>
      </c>
    </row>
    <row r="127" spans="1:8" ht="12" customHeight="1">
      <c r="A127" s="545" t="s">
        <v>425</v>
      </c>
      <c r="B127" s="78">
        <v>99133.22</v>
      </c>
      <c r="C127" s="937">
        <v>111115.28</v>
      </c>
      <c r="D127" s="937">
        <v>151962.9</v>
      </c>
      <c r="E127" s="937">
        <v>219606.13</v>
      </c>
      <c r="F127" s="937">
        <v>110086.98</v>
      </c>
      <c r="G127" s="937">
        <v>198690.56</v>
      </c>
      <c r="H127" s="152"/>
    </row>
    <row r="128" spans="1:8" ht="20" customHeight="1">
      <c r="A128" s="545" t="s">
        <v>133</v>
      </c>
      <c r="B128" s="78">
        <v>4137072.97</v>
      </c>
      <c r="C128" s="937">
        <v>4541384.6399999997</v>
      </c>
      <c r="D128" s="937">
        <v>7433561.79</v>
      </c>
      <c r="E128" s="937">
        <v>8715383.8699999992</v>
      </c>
      <c r="F128" s="937">
        <v>6084170.71</v>
      </c>
      <c r="G128" s="937">
        <v>4190268.89</v>
      </c>
    </row>
    <row r="129" spans="1:8" ht="12" customHeight="1">
      <c r="A129" s="545" t="s">
        <v>429</v>
      </c>
      <c r="B129" s="78">
        <v>1442392.46</v>
      </c>
      <c r="C129" s="937">
        <v>1355427.92</v>
      </c>
      <c r="D129" s="937">
        <v>1565376.98</v>
      </c>
      <c r="E129" s="937">
        <v>2184193.65</v>
      </c>
      <c r="F129" s="937">
        <v>1899175.79</v>
      </c>
      <c r="G129" s="937">
        <v>1797181.77</v>
      </c>
    </row>
    <row r="130" spans="1:8" ht="12" customHeight="1">
      <c r="A130" s="545" t="s">
        <v>137</v>
      </c>
      <c r="B130" s="78">
        <v>630403.68000000005</v>
      </c>
      <c r="C130" s="937">
        <v>509234.80000000005</v>
      </c>
      <c r="D130" s="937">
        <v>765449.01</v>
      </c>
      <c r="E130" s="937">
        <v>844344.73</v>
      </c>
      <c r="F130" s="937">
        <v>923422.22</v>
      </c>
      <c r="G130" s="937">
        <v>608281.96</v>
      </c>
    </row>
    <row r="131" spans="1:8" ht="12" customHeight="1">
      <c r="A131" s="545" t="s">
        <v>435</v>
      </c>
      <c r="B131" s="78">
        <v>132509.29</v>
      </c>
      <c r="C131" s="937">
        <v>211225.4</v>
      </c>
      <c r="D131" s="937">
        <v>264106.92</v>
      </c>
      <c r="E131" s="937">
        <v>354845.96</v>
      </c>
      <c r="F131" s="937">
        <v>185356.06</v>
      </c>
      <c r="G131" s="937">
        <v>161089.29999999999</v>
      </c>
    </row>
    <row r="132" spans="1:8" ht="12" customHeight="1">
      <c r="A132" s="544" t="s">
        <v>141</v>
      </c>
      <c r="B132" s="78">
        <v>2123538.7200000002</v>
      </c>
      <c r="C132" s="937">
        <v>2428911.4400000013</v>
      </c>
      <c r="D132" s="937">
        <v>3357043.08</v>
      </c>
      <c r="E132" s="937">
        <v>3943640.4</v>
      </c>
      <c r="F132" s="937">
        <v>3311558.15</v>
      </c>
      <c r="G132" s="937">
        <v>3016111.17</v>
      </c>
    </row>
    <row r="133" spans="1:8" ht="20" customHeight="1">
      <c r="A133" s="545" t="s">
        <v>314</v>
      </c>
      <c r="B133" s="151">
        <v>2586803.04</v>
      </c>
      <c r="C133" s="937">
        <v>2758790.26</v>
      </c>
      <c r="D133" s="937">
        <v>2147458.87</v>
      </c>
      <c r="E133" s="937">
        <v>2644967.39</v>
      </c>
      <c r="F133" s="937">
        <v>2487237.6</v>
      </c>
      <c r="G133" s="937">
        <v>3092889.93</v>
      </c>
      <c r="H133" s="154"/>
    </row>
    <row r="134" spans="1:8" ht="12" customHeight="1">
      <c r="A134" s="545" t="s">
        <v>318</v>
      </c>
      <c r="B134" s="151">
        <v>764771.03</v>
      </c>
      <c r="C134" s="937">
        <v>894547.54999999993</v>
      </c>
      <c r="D134" s="937">
        <v>876560.21</v>
      </c>
      <c r="E134" s="937">
        <v>1397666.44</v>
      </c>
      <c r="F134" s="937">
        <v>954019.22</v>
      </c>
      <c r="G134" s="937">
        <v>1448685.73</v>
      </c>
    </row>
    <row r="135" spans="1:8" ht="12" customHeight="1">
      <c r="A135" s="545" t="s">
        <v>147</v>
      </c>
      <c r="B135" s="151">
        <v>171912.79</v>
      </c>
      <c r="C135" s="937">
        <v>353097.32</v>
      </c>
      <c r="D135" s="937">
        <v>399930.35</v>
      </c>
      <c r="E135" s="937">
        <v>343631.08</v>
      </c>
      <c r="F135" s="937">
        <v>294914.28000000003</v>
      </c>
      <c r="G135" s="937">
        <v>579142.26</v>
      </c>
      <c r="H135" s="155"/>
    </row>
    <row r="136" spans="1:8" ht="12" customHeight="1">
      <c r="A136" s="545" t="s">
        <v>149</v>
      </c>
      <c r="B136" s="151">
        <v>4623860.3499999996</v>
      </c>
      <c r="C136" s="937">
        <v>6204195.7899999991</v>
      </c>
      <c r="D136" s="937">
        <v>8174002.79</v>
      </c>
      <c r="E136" s="937">
        <v>9714162.6999999993</v>
      </c>
      <c r="F136" s="937">
        <v>6873758.1799999997</v>
      </c>
      <c r="G136" s="937">
        <v>5437071.2000000002</v>
      </c>
    </row>
    <row r="137" spans="1:8" ht="12" customHeight="1">
      <c r="A137" s="545" t="s">
        <v>151</v>
      </c>
      <c r="B137" s="151">
        <v>8958525.0299999993</v>
      </c>
      <c r="C137" s="937">
        <v>10219944.739999998</v>
      </c>
      <c r="D137" s="937">
        <v>12853020.970000001</v>
      </c>
      <c r="E137" s="937">
        <v>16027711.1</v>
      </c>
      <c r="F137" s="937">
        <v>9514522.0999999996</v>
      </c>
      <c r="G137" s="937">
        <v>8973096.1999999993</v>
      </c>
    </row>
    <row r="138" spans="1:8" ht="20" customHeight="1">
      <c r="A138" s="545" t="s">
        <v>334</v>
      </c>
      <c r="B138" s="151">
        <v>33539.14</v>
      </c>
      <c r="C138" s="937">
        <v>34126.039999999994</v>
      </c>
      <c r="D138" s="937">
        <v>76756.63</v>
      </c>
      <c r="E138" s="937">
        <v>59418.39</v>
      </c>
      <c r="F138" s="937">
        <v>156541.54999999999</v>
      </c>
      <c r="G138" s="937">
        <v>67538.42</v>
      </c>
      <c r="H138" s="152"/>
    </row>
    <row r="139" spans="1:8" ht="12" customHeight="1">
      <c r="A139" s="545" t="s">
        <v>155</v>
      </c>
      <c r="B139" s="151">
        <v>689506.03</v>
      </c>
      <c r="C139" s="937">
        <v>994761.70999999973</v>
      </c>
      <c r="D139" s="937">
        <v>1014291.33</v>
      </c>
      <c r="E139" s="937">
        <v>1773222.3</v>
      </c>
      <c r="F139" s="937">
        <v>1364195.72</v>
      </c>
      <c r="G139" s="937">
        <v>1449797.62</v>
      </c>
    </row>
    <row r="140" spans="1:8" ht="12" customHeight="1">
      <c r="A140" s="545" t="s">
        <v>342</v>
      </c>
      <c r="B140" s="151">
        <v>481022.93</v>
      </c>
      <c r="C140" s="937">
        <v>656793.40999999992</v>
      </c>
      <c r="D140" s="937">
        <v>1173413.32</v>
      </c>
      <c r="E140" s="937">
        <v>978126.41</v>
      </c>
      <c r="F140" s="937">
        <v>668170.31999999995</v>
      </c>
      <c r="G140" s="937">
        <v>867918.51</v>
      </c>
    </row>
    <row r="141" spans="1:8" ht="12" customHeight="1">
      <c r="A141" s="545" t="s">
        <v>159</v>
      </c>
      <c r="B141" s="151">
        <v>2715464.43</v>
      </c>
      <c r="C141" s="937">
        <v>3434800.6300000004</v>
      </c>
      <c r="D141" s="937">
        <v>4940637.78</v>
      </c>
      <c r="E141" s="937">
        <v>6108286.46</v>
      </c>
      <c r="F141" s="937">
        <v>3953453.79</v>
      </c>
      <c r="G141" s="937">
        <v>3735033.49</v>
      </c>
    </row>
    <row r="142" spans="1:8" ht="12" customHeight="1">
      <c r="A142" s="545" t="s">
        <v>161</v>
      </c>
      <c r="B142" s="151">
        <v>208553.1</v>
      </c>
      <c r="C142" s="937">
        <v>508418.05000000016</v>
      </c>
      <c r="D142" s="937">
        <v>576192.88</v>
      </c>
      <c r="E142" s="937">
        <v>433478.25</v>
      </c>
      <c r="F142" s="937">
        <v>325224.06</v>
      </c>
      <c r="G142" s="937">
        <v>367080.35</v>
      </c>
    </row>
    <row r="143" spans="1:8" ht="20" customHeight="1">
      <c r="A143" s="545" t="s">
        <v>125</v>
      </c>
      <c r="B143" s="151">
        <v>11089877.02</v>
      </c>
      <c r="C143" s="937">
        <v>13287241.229999999</v>
      </c>
      <c r="D143" s="937">
        <v>16775543.460000001</v>
      </c>
      <c r="E143" s="937">
        <v>17729445.77</v>
      </c>
      <c r="F143" s="937">
        <v>13917299.619999999</v>
      </c>
      <c r="G143" s="937">
        <v>10370391.92</v>
      </c>
    </row>
    <row r="144" spans="1:8" ht="12" customHeight="1">
      <c r="A144" s="545" t="s">
        <v>22</v>
      </c>
      <c r="B144" s="151">
        <v>2734246.68</v>
      </c>
      <c r="C144" s="937">
        <v>3350488.7399999993</v>
      </c>
      <c r="D144" s="937">
        <v>3969025.86</v>
      </c>
      <c r="E144" s="937">
        <v>4679861.6100000003</v>
      </c>
      <c r="F144" s="937">
        <v>3983334.23</v>
      </c>
      <c r="G144" s="937">
        <v>3208415.67</v>
      </c>
    </row>
    <row r="145" spans="1:7" ht="12" customHeight="1">
      <c r="A145" s="545" t="s">
        <v>162</v>
      </c>
      <c r="B145" s="151">
        <v>714536.46</v>
      </c>
      <c r="C145" s="937">
        <v>807080.85</v>
      </c>
      <c r="D145" s="937">
        <v>1205161.92</v>
      </c>
      <c r="E145" s="937">
        <v>1524768.67</v>
      </c>
      <c r="F145" s="937">
        <v>971539.39</v>
      </c>
      <c r="G145" s="937">
        <v>844305.55</v>
      </c>
    </row>
    <row r="146" spans="1:7" ht="12" customHeight="1">
      <c r="A146" s="545" t="s">
        <v>163</v>
      </c>
      <c r="B146" s="151">
        <v>753257.27</v>
      </c>
      <c r="C146" s="937">
        <v>787650.24</v>
      </c>
      <c r="D146" s="937">
        <v>1078578.3500000001</v>
      </c>
      <c r="E146" s="937">
        <v>1527006.73</v>
      </c>
      <c r="F146" s="937">
        <v>1205168.55</v>
      </c>
      <c r="G146" s="937">
        <v>1112759.6000000001</v>
      </c>
    </row>
    <row r="147" spans="1:7" ht="12" customHeight="1">
      <c r="A147" s="545" t="s">
        <v>164</v>
      </c>
      <c r="B147" s="151">
        <v>4677408.2300000004</v>
      </c>
      <c r="C147" s="937">
        <v>6133052.1700000018</v>
      </c>
      <c r="D147" s="937">
        <v>9032188.6099999994</v>
      </c>
      <c r="E147" s="937">
        <v>9571458.4900000002</v>
      </c>
      <c r="F147" s="937">
        <v>7383550.2300000004</v>
      </c>
      <c r="G147" s="937">
        <v>6321091.4100000001</v>
      </c>
    </row>
    <row r="148" spans="1:7" ht="20" customHeight="1">
      <c r="A148" s="545" t="s">
        <v>586</v>
      </c>
      <c r="B148" s="151">
        <v>20763271</v>
      </c>
      <c r="C148" s="937">
        <v>26215390.72000001</v>
      </c>
      <c r="D148" s="937">
        <v>35842657.399999999</v>
      </c>
      <c r="E148" s="937">
        <v>35431250.700000003</v>
      </c>
      <c r="F148" s="937">
        <v>22834084.199999999</v>
      </c>
      <c r="G148" s="937">
        <v>19233456.530000001</v>
      </c>
    </row>
    <row r="149" spans="1:7" ht="12" customHeight="1">
      <c r="A149" s="78" t="s">
        <v>166</v>
      </c>
      <c r="B149" s="151">
        <v>619963.27</v>
      </c>
      <c r="C149" s="937">
        <v>881698.49999999988</v>
      </c>
      <c r="D149" s="937">
        <v>983061.16</v>
      </c>
      <c r="E149" s="937">
        <v>1258878.74</v>
      </c>
      <c r="F149" s="937">
        <v>1018619.07</v>
      </c>
      <c r="G149" s="937">
        <v>1346096.22</v>
      </c>
    </row>
    <row r="150" spans="1:7" ht="12" customHeight="1">
      <c r="A150" s="78" t="s">
        <v>378</v>
      </c>
      <c r="B150" s="151">
        <v>583808.59</v>
      </c>
      <c r="C150" s="937">
        <v>857764.64000000013</v>
      </c>
      <c r="D150" s="937">
        <v>751302.76</v>
      </c>
      <c r="E150" s="937">
        <v>1192043.54</v>
      </c>
      <c r="F150" s="937">
        <v>1127401.6599999999</v>
      </c>
      <c r="G150" s="937">
        <v>986385.25</v>
      </c>
    </row>
    <row r="151" spans="1:7" ht="12" customHeight="1">
      <c r="A151" s="78" t="s">
        <v>170</v>
      </c>
      <c r="B151" s="151">
        <v>1054096.8500000001</v>
      </c>
      <c r="C151" s="937">
        <v>1168017.3999999997</v>
      </c>
      <c r="D151" s="937">
        <v>1462397.79</v>
      </c>
      <c r="E151" s="937">
        <v>1846951.45</v>
      </c>
      <c r="F151" s="937">
        <v>1500102.63</v>
      </c>
      <c r="G151" s="937">
        <v>1291031.08</v>
      </c>
    </row>
    <row r="152" spans="1:7" ht="5" customHeight="1">
      <c r="A152" s="321"/>
      <c r="B152" s="321"/>
      <c r="E152" s="316"/>
      <c r="F152" s="316"/>
      <c r="G152" s="316"/>
    </row>
    <row r="153" spans="1:7" ht="13">
      <c r="A153" s="322" t="s">
        <v>24</v>
      </c>
      <c r="B153" s="323">
        <f>SUM(B114:B151)</f>
        <v>109460069.98999999</v>
      </c>
      <c r="C153" s="323">
        <f t="shared" ref="C153:G153" si="4">SUM(C114:C151)</f>
        <v>132666677.06</v>
      </c>
      <c r="D153" s="323">
        <f t="shared" si="4"/>
        <v>177467703.21999994</v>
      </c>
      <c r="E153" s="323">
        <f t="shared" si="4"/>
        <v>189616804.50999996</v>
      </c>
      <c r="F153" s="323">
        <f t="shared" si="4"/>
        <v>129469806.41999999</v>
      </c>
      <c r="G153" s="323">
        <f t="shared" si="4"/>
        <v>114317639.78999998</v>
      </c>
    </row>
    <row r="154" spans="1:7" ht="13">
      <c r="A154" s="322" t="s">
        <v>19</v>
      </c>
      <c r="B154" s="323">
        <f>B109</f>
        <v>309985515.51999992</v>
      </c>
      <c r="C154" s="323">
        <f t="shared" ref="C154:G154" si="5">C109</f>
        <v>394179563.19000024</v>
      </c>
      <c r="D154" s="323">
        <f t="shared" si="5"/>
        <v>563241430.41999996</v>
      </c>
      <c r="E154" s="323">
        <f t="shared" si="5"/>
        <v>526165162.75999999</v>
      </c>
      <c r="F154" s="323">
        <f t="shared" si="5"/>
        <v>339180527.05999988</v>
      </c>
      <c r="G154" s="323">
        <f t="shared" si="5"/>
        <v>328810242.47999996</v>
      </c>
    </row>
    <row r="155" spans="1:7" ht="5" customHeight="1">
      <c r="B155" s="324"/>
      <c r="C155" s="325"/>
      <c r="D155" s="325"/>
      <c r="E155" s="326"/>
      <c r="F155" s="326"/>
      <c r="G155" s="326"/>
    </row>
    <row r="156" spans="1:7" ht="13">
      <c r="A156" s="322" t="s">
        <v>25</v>
      </c>
      <c r="B156" s="323">
        <f t="shared" ref="B156:G156" si="6">SUM(B153:B154)</f>
        <v>419445585.50999993</v>
      </c>
      <c r="C156" s="323">
        <f t="shared" si="6"/>
        <v>526846240.25000024</v>
      </c>
      <c r="D156" s="323">
        <f t="shared" si="6"/>
        <v>740709133.63999987</v>
      </c>
      <c r="E156" s="323">
        <f t="shared" si="6"/>
        <v>715781967.26999998</v>
      </c>
      <c r="F156" s="323">
        <f t="shared" si="6"/>
        <v>468650333.4799999</v>
      </c>
      <c r="G156" s="323">
        <f t="shared" si="6"/>
        <v>443127882.26999992</v>
      </c>
    </row>
    <row r="157" spans="1:7" s="540" customFormat="1" ht="5" customHeight="1">
      <c r="A157" s="538"/>
      <c r="B157" s="539"/>
      <c r="C157" s="539"/>
      <c r="D157" s="539"/>
      <c r="F157" s="541"/>
      <c r="G157" s="541"/>
    </row>
    <row r="158" spans="1:7" s="1201" customFormat="1" ht="10" hidden="1" customHeight="1">
      <c r="A158" s="1200" t="s">
        <v>1</v>
      </c>
      <c r="F158" s="1202"/>
      <c r="G158" s="1202"/>
    </row>
    <row r="159" spans="1:7" s="1201" customFormat="1" ht="10" hidden="1" customHeight="1">
      <c r="A159" s="1203"/>
      <c r="F159" s="1202"/>
      <c r="G159" s="1202"/>
    </row>
    <row r="160" spans="1:7" s="1065" customFormat="1" ht="10" customHeight="1">
      <c r="A160" s="1052" t="s">
        <v>926</v>
      </c>
      <c r="B160" s="1063"/>
      <c r="C160" s="1063"/>
      <c r="D160" s="1063"/>
      <c r="E160" s="1064"/>
    </row>
    <row r="171" spans="1:7" s="1276" customFormat="1" ht="11.5">
      <c r="F171" s="1267"/>
      <c r="G171" s="1267"/>
    </row>
    <row r="172" spans="1:7" s="1276" customFormat="1" ht="10" customHeight="1">
      <c r="A172" s="1266"/>
      <c r="F172" s="1267"/>
      <c r="G172" s="1267"/>
    </row>
  </sheetData>
  <customSheetViews>
    <customSheetView guid="{E6BBE5A7-0B25-4EE8-BA45-5EA5DBAF3AD4}" showPageBreaks="1" printArea="1">
      <rowBreaks count="4" manualBreakCount="4">
        <brk id="41" max="16383" man="1"/>
        <brk id="82" max="16383" man="1"/>
        <brk id="123" max="16383" man="1"/>
        <brk id="163" max="16383" man="1"/>
      </rowBreaks>
      <pageMargins left="0.5" right="0.5" top="0.5" bottom="0.75" header="0.5" footer="0.5"/>
      <printOptions horizontalCentered="1"/>
      <pageSetup scale="87" orientation="landscape" r:id="rId1"/>
      <headerFooter alignWithMargins="0"/>
    </customSheetView>
  </customSheetViews>
  <mergeCells count="2">
    <mergeCell ref="A40:D40"/>
    <mergeCell ref="A79:D79"/>
  </mergeCells>
  <hyperlinks>
    <hyperlink ref="H1" location="TOC!A1" display="Back" xr:uid="{00000000-0004-0000-1900-000000000000}"/>
  </hyperlinks>
  <pageMargins left="0.75" right="0.25" top="0.3" bottom="0.2" header="0.25" footer="0.2"/>
  <pageSetup scale="87" orientation="landscape" r:id="rId2"/>
  <headerFooter scaleWithDoc="0">
    <oddHeader>&amp;R&amp;P</oddHeader>
  </headerFooter>
  <rowBreaks count="3" manualBreakCount="3">
    <brk id="39" max="16383" man="1"/>
    <brk id="78" max="16383" man="1"/>
    <brk id="109"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S107"/>
  <sheetViews>
    <sheetView zoomScaleNormal="100" zoomScaleSheetLayoutView="80" workbookViewId="0"/>
  </sheetViews>
  <sheetFormatPr defaultColWidth="9.1796875" defaultRowHeight="12.5"/>
  <cols>
    <col min="1" max="1" width="18.81640625" style="156" customWidth="1"/>
    <col min="2" max="2" width="18.81640625" style="156" hidden="1" customWidth="1"/>
    <col min="3" max="3" width="12.7265625" style="156" bestFit="1" customWidth="1"/>
    <col min="4" max="4" width="8.7265625" style="156" customWidth="1"/>
    <col min="5" max="5" width="18.7265625" style="156" customWidth="1"/>
    <col min="6" max="6" width="18.7265625" style="156" hidden="1" customWidth="1"/>
    <col min="7" max="7" width="13" style="156" bestFit="1" customWidth="1"/>
    <col min="8" max="8" width="8.7265625" style="156" customWidth="1"/>
    <col min="9" max="9" width="18.7265625" style="156" customWidth="1"/>
    <col min="10" max="10" width="18.7265625" style="156" hidden="1" customWidth="1"/>
    <col min="11" max="11" width="13" style="156" bestFit="1" customWidth="1"/>
    <col min="12" max="12" width="8.7265625" style="156" customWidth="1"/>
    <col min="13" max="13" width="18.7265625" style="156" customWidth="1"/>
    <col min="14" max="14" width="18.7265625" style="156" hidden="1" customWidth="1"/>
    <col min="15" max="15" width="13" style="156" bestFit="1" customWidth="1"/>
    <col min="16" max="16" width="2.453125" style="156" customWidth="1"/>
    <col min="17" max="17" width="2.7265625" style="156" customWidth="1"/>
    <col min="18" max="18" width="10.54296875" style="156" customWidth="1"/>
    <col min="19" max="16384" width="9.1796875" style="156"/>
  </cols>
  <sheetData>
    <row r="1" spans="1:18" ht="18">
      <c r="A1" s="289" t="s">
        <v>309</v>
      </c>
      <c r="B1" s="289"/>
      <c r="C1" s="290"/>
      <c r="R1" s="811" t="s">
        <v>954</v>
      </c>
    </row>
    <row r="2" spans="1:18" ht="15.5">
      <c r="A2" s="291" t="s">
        <v>1293</v>
      </c>
      <c r="B2" s="291"/>
      <c r="C2" s="290"/>
    </row>
    <row r="3" spans="1:18" ht="9" customHeight="1" thickBot="1">
      <c r="A3" s="292"/>
      <c r="B3" s="292"/>
      <c r="C3" s="290"/>
    </row>
    <row r="4" spans="1:18" ht="13" customHeight="1">
      <c r="A4" s="895" t="s">
        <v>18</v>
      </c>
      <c r="B4" s="896" t="s">
        <v>910</v>
      </c>
      <c r="C4" s="897" t="s">
        <v>310</v>
      </c>
      <c r="D4" s="894"/>
      <c r="E4" s="895" t="s">
        <v>18</v>
      </c>
      <c r="F4" s="896" t="s">
        <v>910</v>
      </c>
      <c r="G4" s="897" t="s">
        <v>310</v>
      </c>
      <c r="H4" s="894"/>
      <c r="I4" s="895" t="s">
        <v>20</v>
      </c>
      <c r="J4" s="896" t="s">
        <v>910</v>
      </c>
      <c r="K4" s="897" t="s">
        <v>310</v>
      </c>
    </row>
    <row r="5" spans="1:18" ht="20.149999999999999" customHeight="1">
      <c r="A5" s="156" t="s">
        <v>311</v>
      </c>
      <c r="C5" s="293">
        <v>678202.76</v>
      </c>
      <c r="D5" s="293"/>
      <c r="E5" s="293" t="s">
        <v>352</v>
      </c>
      <c r="F5" s="293"/>
      <c r="G5" s="293">
        <v>218488.23</v>
      </c>
      <c r="H5" s="293"/>
      <c r="I5" s="293" t="s">
        <v>386</v>
      </c>
      <c r="J5" s="293"/>
      <c r="K5" s="293">
        <v>7129362.8899999997</v>
      </c>
      <c r="L5" s="157"/>
      <c r="P5" s="157"/>
      <c r="Q5" s="294"/>
    </row>
    <row r="6" spans="1:18" ht="12.65" customHeight="1">
      <c r="A6" s="156" t="s">
        <v>315</v>
      </c>
      <c r="C6" s="157">
        <v>3054998.39</v>
      </c>
      <c r="D6" s="157"/>
      <c r="E6" s="157" t="s">
        <v>356</v>
      </c>
      <c r="F6" s="157"/>
      <c r="G6" s="157">
        <v>278609.89</v>
      </c>
      <c r="H6" s="157"/>
      <c r="I6" s="157" t="s">
        <v>391</v>
      </c>
      <c r="J6" s="157"/>
      <c r="K6" s="157">
        <v>399918.61</v>
      </c>
      <c r="L6" s="157"/>
      <c r="P6" s="157"/>
      <c r="Q6" s="294"/>
    </row>
    <row r="7" spans="1:18" ht="12.65" customHeight="1">
      <c r="A7" s="156" t="s">
        <v>319</v>
      </c>
      <c r="C7" s="157">
        <v>273186.19</v>
      </c>
      <c r="D7" s="157"/>
      <c r="E7" s="157" t="s">
        <v>360</v>
      </c>
      <c r="F7" s="157"/>
      <c r="G7" s="157">
        <v>7672243.6600000001</v>
      </c>
      <c r="H7" s="157"/>
      <c r="I7" s="157" t="s">
        <v>394</v>
      </c>
      <c r="J7" s="157"/>
      <c r="K7" s="157">
        <v>207922.37</v>
      </c>
      <c r="L7" s="157"/>
      <c r="P7" s="157"/>
      <c r="Q7" s="294"/>
    </row>
    <row r="8" spans="1:18" ht="12.65" customHeight="1">
      <c r="A8" s="156" t="s">
        <v>323</v>
      </c>
      <c r="C8" s="157">
        <v>167497.16</v>
      </c>
      <c r="D8" s="157"/>
      <c r="E8" s="157" t="s">
        <v>364</v>
      </c>
      <c r="F8" s="157"/>
      <c r="G8" s="157">
        <v>229305.26</v>
      </c>
      <c r="H8" s="157"/>
      <c r="I8" s="157" t="s">
        <v>397</v>
      </c>
      <c r="J8" s="157"/>
      <c r="K8" s="157">
        <v>2112295.63</v>
      </c>
      <c r="L8" s="157"/>
      <c r="P8" s="157"/>
      <c r="Q8" s="294"/>
    </row>
    <row r="9" spans="1:18" ht="12.65" customHeight="1">
      <c r="A9" s="156" t="s">
        <v>327</v>
      </c>
      <c r="C9" s="157">
        <v>834954.64</v>
      </c>
      <c r="D9" s="157"/>
      <c r="E9" s="157" t="s">
        <v>368</v>
      </c>
      <c r="F9" s="157"/>
      <c r="G9" s="157">
        <v>136127.98000000001</v>
      </c>
      <c r="H9" s="157"/>
      <c r="I9" s="157" t="s">
        <v>400</v>
      </c>
      <c r="J9" s="157"/>
      <c r="K9" s="157">
        <v>7845354.9299999997</v>
      </c>
      <c r="L9" s="157"/>
      <c r="P9" s="157"/>
      <c r="Q9" s="294"/>
    </row>
    <row r="10" spans="1:18" ht="20.149999999999999" customHeight="1">
      <c r="A10" s="156" t="s">
        <v>331</v>
      </c>
      <c r="C10" s="157">
        <v>371627.08</v>
      </c>
      <c r="D10" s="157"/>
      <c r="E10" s="157" t="s">
        <v>372</v>
      </c>
      <c r="F10" s="157"/>
      <c r="G10" s="157">
        <v>383147.95</v>
      </c>
      <c r="H10" s="157"/>
      <c r="I10" s="157" t="s">
        <v>403</v>
      </c>
      <c r="J10" s="157"/>
      <c r="K10" s="157">
        <v>459038.31</v>
      </c>
      <c r="L10" s="157"/>
      <c r="P10" s="157"/>
      <c r="Q10" s="294"/>
    </row>
    <row r="11" spans="1:18" ht="12.65" customHeight="1">
      <c r="A11" s="156" t="s">
        <v>335</v>
      </c>
      <c r="C11" s="157">
        <v>4957450.6500000004</v>
      </c>
      <c r="D11" s="157"/>
      <c r="E11" s="157" t="s">
        <v>374</v>
      </c>
      <c r="F11" s="157"/>
      <c r="G11" s="157">
        <v>295874.61</v>
      </c>
      <c r="H11" s="157"/>
      <c r="I11" s="157" t="s">
        <v>406</v>
      </c>
      <c r="J11" s="157"/>
      <c r="K11" s="157">
        <v>204833.72</v>
      </c>
      <c r="L11" s="157"/>
      <c r="P11" s="157"/>
      <c r="Q11" s="294"/>
    </row>
    <row r="12" spans="1:18" ht="12.65" customHeight="1">
      <c r="A12" s="156" t="s">
        <v>339</v>
      </c>
      <c r="C12" s="157">
        <v>1648932.18</v>
      </c>
      <c r="D12" s="157"/>
      <c r="E12" s="157" t="s">
        <v>377</v>
      </c>
      <c r="F12" s="157"/>
      <c r="G12" s="157">
        <v>380509.21</v>
      </c>
      <c r="H12" s="157"/>
      <c r="I12" s="157" t="s">
        <v>409</v>
      </c>
      <c r="J12" s="157"/>
      <c r="K12" s="157">
        <v>2123755.83</v>
      </c>
      <c r="L12" s="157"/>
      <c r="P12" s="157"/>
      <c r="Q12" s="294"/>
    </row>
    <row r="13" spans="1:18" ht="12.65" customHeight="1">
      <c r="A13" s="156" t="s">
        <v>343</v>
      </c>
      <c r="C13" s="157">
        <v>76141.59</v>
      </c>
      <c r="D13" s="157"/>
      <c r="E13" s="157" t="s">
        <v>380</v>
      </c>
      <c r="F13" s="157"/>
      <c r="G13" s="157">
        <v>289609.11</v>
      </c>
      <c r="H13" s="157"/>
      <c r="I13" s="157" t="s">
        <v>412</v>
      </c>
      <c r="J13" s="157"/>
      <c r="K13" s="157">
        <v>176037.05</v>
      </c>
      <c r="L13" s="157"/>
      <c r="P13" s="157"/>
      <c r="Q13" s="294"/>
    </row>
    <row r="14" spans="1:18" ht="12.65" customHeight="1">
      <c r="A14" s="295" t="s">
        <v>721</v>
      </c>
      <c r="B14" s="295"/>
      <c r="C14" s="157">
        <v>1263280.78</v>
      </c>
      <c r="D14" s="157"/>
      <c r="E14" s="157" t="s">
        <v>383</v>
      </c>
      <c r="F14" s="157"/>
      <c r="G14" s="157">
        <v>671752.29</v>
      </c>
      <c r="H14" s="157"/>
      <c r="I14" s="157" t="s">
        <v>172</v>
      </c>
      <c r="J14" s="157"/>
      <c r="K14" s="157">
        <v>1499304.25</v>
      </c>
      <c r="L14" s="157"/>
      <c r="P14" s="157"/>
      <c r="Q14" s="294"/>
    </row>
    <row r="15" spans="1:18" ht="20.149999999999999" customHeight="1">
      <c r="A15" s="156" t="s">
        <v>351</v>
      </c>
      <c r="C15" s="157">
        <v>68934.820000000007</v>
      </c>
      <c r="D15" s="157"/>
      <c r="E15" s="157" t="s">
        <v>385</v>
      </c>
      <c r="F15" s="157"/>
      <c r="G15" s="157">
        <v>312526.65000000002</v>
      </c>
      <c r="H15" s="157"/>
      <c r="I15" s="157" t="s">
        <v>417</v>
      </c>
      <c r="J15" s="157"/>
      <c r="K15" s="157">
        <v>567172.85</v>
      </c>
      <c r="L15" s="157"/>
      <c r="P15" s="157"/>
      <c r="Q15" s="294"/>
    </row>
    <row r="16" spans="1:18" ht="12.65" customHeight="1">
      <c r="A16" s="156" t="s">
        <v>355</v>
      </c>
      <c r="C16" s="157">
        <v>471939.33</v>
      </c>
      <c r="D16" s="157"/>
      <c r="E16" s="157" t="s">
        <v>388</v>
      </c>
      <c r="F16" s="157"/>
      <c r="G16" s="157">
        <v>393258.37</v>
      </c>
      <c r="H16" s="157"/>
      <c r="I16" s="157" t="s">
        <v>692</v>
      </c>
      <c r="J16" s="157"/>
      <c r="K16" s="157">
        <v>366429.73</v>
      </c>
      <c r="L16" s="157"/>
      <c r="P16" s="157"/>
      <c r="Q16" s="294"/>
    </row>
    <row r="17" spans="1:17" ht="12.65" customHeight="1">
      <c r="A17" s="156" t="s">
        <v>359</v>
      </c>
      <c r="C17" s="157">
        <v>276191.99</v>
      </c>
      <c r="D17" s="157"/>
      <c r="E17" s="157" t="s">
        <v>390</v>
      </c>
      <c r="F17" s="157"/>
      <c r="G17" s="157">
        <v>335035.68</v>
      </c>
      <c r="H17" s="157"/>
      <c r="I17" s="157" t="s">
        <v>422</v>
      </c>
      <c r="J17" s="157"/>
      <c r="K17" s="157">
        <v>1174097.46</v>
      </c>
      <c r="L17" s="157"/>
      <c r="P17" s="157"/>
      <c r="Q17" s="294"/>
    </row>
    <row r="18" spans="1:17" ht="12.65" customHeight="1">
      <c r="A18" s="156" t="s">
        <v>363</v>
      </c>
      <c r="C18" s="157">
        <v>557040.32999999996</v>
      </c>
      <c r="D18" s="157"/>
      <c r="E18" s="157" t="s">
        <v>393</v>
      </c>
      <c r="F18" s="157"/>
      <c r="G18" s="157">
        <v>252250.44</v>
      </c>
      <c r="H18" s="157"/>
      <c r="I18" s="157" t="s">
        <v>425</v>
      </c>
      <c r="J18" s="157"/>
      <c r="K18" s="157">
        <v>154104.87</v>
      </c>
      <c r="L18" s="157"/>
      <c r="P18" s="157"/>
      <c r="Q18" s="294"/>
    </row>
    <row r="19" spans="1:17" ht="12.65" customHeight="1">
      <c r="A19" s="156" t="s">
        <v>367</v>
      </c>
      <c r="C19" s="157">
        <v>279330.25</v>
      </c>
      <c r="D19" s="157"/>
      <c r="E19" s="157" t="s">
        <v>396</v>
      </c>
      <c r="F19" s="157"/>
      <c r="G19" s="157">
        <v>229120.3</v>
      </c>
      <c r="H19" s="157"/>
      <c r="I19" s="157" t="s">
        <v>427</v>
      </c>
      <c r="J19" s="157"/>
      <c r="K19" s="157">
        <v>6035100.0999999996</v>
      </c>
      <c r="L19" s="157"/>
      <c r="P19" s="157"/>
      <c r="Q19" s="294"/>
    </row>
    <row r="20" spans="1:17" ht="20.149999999999999" customHeight="1">
      <c r="A20" s="156" t="s">
        <v>371</v>
      </c>
      <c r="C20" s="157">
        <v>918479.67</v>
      </c>
      <c r="D20" s="157"/>
      <c r="E20" s="157" t="s">
        <v>399</v>
      </c>
      <c r="F20" s="157"/>
      <c r="G20" s="157">
        <v>944397.49</v>
      </c>
      <c r="H20" s="157"/>
      <c r="I20" s="157" t="s">
        <v>429</v>
      </c>
      <c r="J20" s="157"/>
      <c r="K20" s="157">
        <v>1067373.3700000001</v>
      </c>
      <c r="P20" s="157"/>
      <c r="Q20" s="294"/>
    </row>
    <row r="21" spans="1:17" ht="12.65" customHeight="1">
      <c r="A21" s="156" t="s">
        <v>373</v>
      </c>
      <c r="C21" s="157">
        <v>517567.38</v>
      </c>
      <c r="D21" s="157"/>
      <c r="E21" s="157" t="s">
        <v>402</v>
      </c>
      <c r="F21" s="157"/>
      <c r="G21" s="157">
        <v>322846.83</v>
      </c>
      <c r="H21" s="157"/>
      <c r="I21" s="157" t="s">
        <v>432</v>
      </c>
      <c r="J21" s="157"/>
      <c r="K21" s="157">
        <v>556344.78</v>
      </c>
      <c r="P21" s="157"/>
      <c r="Q21" s="294"/>
    </row>
    <row r="22" spans="1:17" ht="12.65" customHeight="1">
      <c r="A22" s="156" t="s">
        <v>376</v>
      </c>
      <c r="C22" s="157">
        <v>667209.13</v>
      </c>
      <c r="D22" s="157"/>
      <c r="E22" s="157" t="s">
        <v>405</v>
      </c>
      <c r="F22" s="157"/>
      <c r="G22" s="157">
        <v>322350.02</v>
      </c>
      <c r="H22" s="157"/>
      <c r="I22" s="157" t="s">
        <v>435</v>
      </c>
      <c r="J22" s="157"/>
      <c r="K22" s="157">
        <v>212073.62</v>
      </c>
      <c r="P22" s="157"/>
      <c r="Q22" s="294"/>
    </row>
    <row r="23" spans="1:17" ht="12.65" customHeight="1">
      <c r="A23" s="156" t="s">
        <v>379</v>
      </c>
      <c r="C23" s="157">
        <v>102020.78</v>
      </c>
      <c r="D23" s="157"/>
      <c r="E23" s="157" t="s">
        <v>408</v>
      </c>
      <c r="F23" s="157"/>
      <c r="G23" s="157">
        <v>1497863.43</v>
      </c>
      <c r="H23" s="157"/>
      <c r="I23" s="157" t="s">
        <v>438</v>
      </c>
      <c r="J23" s="157"/>
      <c r="K23" s="157">
        <v>2237959.89</v>
      </c>
      <c r="P23" s="157"/>
      <c r="Q23" s="294"/>
    </row>
    <row r="24" spans="1:17" ht="12.65" customHeight="1">
      <c r="A24" s="156" t="s">
        <v>382</v>
      </c>
      <c r="C24" s="157">
        <v>84742.21</v>
      </c>
      <c r="D24" s="157"/>
      <c r="E24" s="157" t="s">
        <v>411</v>
      </c>
      <c r="F24" s="157"/>
      <c r="G24" s="157">
        <v>568050.6</v>
      </c>
      <c r="H24" s="157"/>
      <c r="I24" s="157" t="s">
        <v>314</v>
      </c>
      <c r="J24" s="157"/>
      <c r="K24" s="157">
        <v>1904171.82</v>
      </c>
      <c r="Q24" s="294"/>
    </row>
    <row r="25" spans="1:17" ht="20.149999999999999" customHeight="1">
      <c r="A25" s="156" t="s">
        <v>384</v>
      </c>
      <c r="C25" s="157">
        <v>9604130.1500000004</v>
      </c>
      <c r="D25" s="157"/>
      <c r="E25" s="157" t="s">
        <v>414</v>
      </c>
      <c r="F25" s="157"/>
      <c r="G25" s="157">
        <v>205369.23</v>
      </c>
      <c r="H25" s="157"/>
      <c r="I25" s="157" t="s">
        <v>318</v>
      </c>
      <c r="J25" s="157"/>
      <c r="K25" s="157">
        <v>482419.58</v>
      </c>
      <c r="L25" s="157"/>
      <c r="Q25" s="294"/>
    </row>
    <row r="26" spans="1:17" ht="12.65" customHeight="1">
      <c r="A26" s="156" t="s">
        <v>387</v>
      </c>
      <c r="C26" s="157">
        <v>283269</v>
      </c>
      <c r="D26" s="157"/>
      <c r="E26" s="157" t="s">
        <v>416</v>
      </c>
      <c r="F26" s="157"/>
      <c r="G26" s="157">
        <v>840662.65</v>
      </c>
      <c r="H26" s="157"/>
      <c r="I26" s="157" t="s">
        <v>322</v>
      </c>
      <c r="J26" s="157"/>
      <c r="K26" s="157">
        <v>599621.23</v>
      </c>
      <c r="L26" s="157"/>
      <c r="Q26" s="294"/>
    </row>
    <row r="27" spans="1:17" ht="12.65" customHeight="1">
      <c r="A27" s="156" t="s">
        <v>389</v>
      </c>
      <c r="C27" s="157">
        <v>76141.600000000006</v>
      </c>
      <c r="D27" s="157"/>
      <c r="E27" s="157" t="s">
        <v>419</v>
      </c>
      <c r="F27" s="157"/>
      <c r="G27" s="157">
        <v>12778866.77</v>
      </c>
      <c r="H27" s="157"/>
      <c r="I27" s="157" t="s">
        <v>326</v>
      </c>
      <c r="J27" s="157"/>
      <c r="K27" s="157">
        <v>7684410.4100000001</v>
      </c>
      <c r="L27" s="157"/>
      <c r="Q27" s="294"/>
    </row>
    <row r="28" spans="1:17" ht="12.65" customHeight="1">
      <c r="A28" s="156" t="s">
        <v>392</v>
      </c>
      <c r="C28" s="157">
        <v>1342130.08</v>
      </c>
      <c r="D28" s="157"/>
      <c r="E28" s="157" t="s">
        <v>421</v>
      </c>
      <c r="F28" s="157"/>
      <c r="G28" s="157">
        <v>543388.63</v>
      </c>
      <c r="H28" s="157"/>
      <c r="I28" s="157" t="s">
        <v>330</v>
      </c>
      <c r="J28" s="157"/>
      <c r="K28" s="157">
        <v>14444161.140000001</v>
      </c>
      <c r="L28" s="157"/>
      <c r="Q28" s="294"/>
    </row>
    <row r="29" spans="1:17" ht="12.65" customHeight="1">
      <c r="A29" s="156" t="s">
        <v>395</v>
      </c>
      <c r="C29" s="157">
        <v>252424.31</v>
      </c>
      <c r="D29" s="157"/>
      <c r="E29" s="157" t="s">
        <v>424</v>
      </c>
      <c r="F29" s="157"/>
      <c r="G29" s="157">
        <v>228805.66</v>
      </c>
      <c r="H29" s="157"/>
      <c r="I29" s="157" t="s">
        <v>334</v>
      </c>
      <c r="J29" s="157"/>
      <c r="K29" s="157">
        <v>139255.24</v>
      </c>
      <c r="L29" s="157"/>
      <c r="Q29" s="294"/>
    </row>
    <row r="30" spans="1:17" ht="20.149999999999999" customHeight="1">
      <c r="A30" s="156" t="s">
        <v>398</v>
      </c>
      <c r="C30" s="157">
        <v>325485.57</v>
      </c>
      <c r="D30" s="157"/>
      <c r="E30" s="157" t="s">
        <v>726</v>
      </c>
      <c r="F30" s="157"/>
      <c r="G30" s="157">
        <v>202840.93</v>
      </c>
      <c r="H30" s="157"/>
      <c r="I30" s="157" t="s">
        <v>338</v>
      </c>
      <c r="J30" s="157"/>
      <c r="K30" s="157">
        <v>1212996.29</v>
      </c>
      <c r="L30" s="157"/>
      <c r="Q30" s="294"/>
    </row>
    <row r="31" spans="1:17" ht="12.65" customHeight="1">
      <c r="A31" s="156" t="s">
        <v>401</v>
      </c>
      <c r="C31" s="157">
        <v>608191.51</v>
      </c>
      <c r="D31" s="157"/>
      <c r="E31" s="157" t="s">
        <v>727</v>
      </c>
      <c r="F31" s="157"/>
      <c r="G31" s="157">
        <v>2599219.79</v>
      </c>
      <c r="H31" s="157"/>
      <c r="I31" s="157" t="s">
        <v>342</v>
      </c>
      <c r="J31" s="157"/>
      <c r="K31" s="157">
        <v>272021.40999999997</v>
      </c>
      <c r="L31" s="157"/>
      <c r="Q31" s="294"/>
    </row>
    <row r="32" spans="1:17" ht="12.65" customHeight="1">
      <c r="A32" s="156" t="s">
        <v>404</v>
      </c>
      <c r="C32" s="157">
        <v>232280.71</v>
      </c>
      <c r="D32" s="157"/>
      <c r="E32" s="157" t="s">
        <v>431</v>
      </c>
      <c r="F32" s="157"/>
      <c r="G32" s="157">
        <v>615194.05000000005</v>
      </c>
      <c r="H32" s="157"/>
      <c r="I32" s="157" t="s">
        <v>346</v>
      </c>
      <c r="J32" s="157"/>
      <c r="K32" s="157">
        <v>5476282.2300000004</v>
      </c>
      <c r="L32" s="157"/>
      <c r="Q32" s="294"/>
    </row>
    <row r="33" spans="1:17" ht="12.65" customHeight="1">
      <c r="A33" s="156" t="s">
        <v>722</v>
      </c>
      <c r="C33" s="157">
        <v>52151454.759999998</v>
      </c>
      <c r="D33" s="157"/>
      <c r="E33" s="157" t="s">
        <v>434</v>
      </c>
      <c r="F33" s="157"/>
      <c r="G33" s="157">
        <v>1050909.0900000001</v>
      </c>
      <c r="H33" s="157"/>
      <c r="I33" s="157" t="s">
        <v>350</v>
      </c>
      <c r="J33" s="157"/>
      <c r="K33" s="157">
        <v>492204.32</v>
      </c>
      <c r="L33" s="157"/>
      <c r="Q33" s="294"/>
    </row>
    <row r="34" spans="1:17" ht="12.65" customHeight="1">
      <c r="A34" s="156" t="s">
        <v>410</v>
      </c>
      <c r="C34" s="157">
        <v>1909697.66</v>
      </c>
      <c r="D34" s="157"/>
      <c r="E34" s="157" t="s">
        <v>437</v>
      </c>
      <c r="F34" s="157"/>
      <c r="G34" s="157">
        <v>567945.68000000005</v>
      </c>
      <c r="H34" s="157"/>
      <c r="I34" s="157" t="s">
        <v>693</v>
      </c>
      <c r="J34" s="157"/>
      <c r="K34" s="157">
        <v>13530818.1</v>
      </c>
      <c r="L34" s="157"/>
      <c r="Q34" s="294"/>
    </row>
    <row r="35" spans="1:17" ht="20.149999999999999" customHeight="1">
      <c r="A35" s="156" t="s">
        <v>413</v>
      </c>
      <c r="C35" s="157">
        <v>409192.74</v>
      </c>
      <c r="D35" s="157"/>
      <c r="E35" s="157" t="s">
        <v>313</v>
      </c>
      <c r="F35" s="157"/>
      <c r="G35" s="157">
        <v>511431.59</v>
      </c>
      <c r="H35" s="157"/>
      <c r="I35" s="157" t="s">
        <v>694</v>
      </c>
      <c r="J35" s="157"/>
      <c r="K35" s="157">
        <v>4586557.83</v>
      </c>
      <c r="L35" s="157"/>
      <c r="Q35" s="294"/>
    </row>
    <row r="36" spans="1:17" ht="12.65" customHeight="1">
      <c r="A36" s="156" t="s">
        <v>415</v>
      </c>
      <c r="C36" s="157">
        <v>552693.06999999995</v>
      </c>
      <c r="D36" s="157"/>
      <c r="E36" s="157" t="s">
        <v>317</v>
      </c>
      <c r="F36" s="157"/>
      <c r="G36" s="157">
        <v>786859.01</v>
      </c>
      <c r="H36" s="157"/>
      <c r="I36" s="157" t="s">
        <v>362</v>
      </c>
      <c r="J36" s="157"/>
      <c r="K36" s="157">
        <v>704934.89</v>
      </c>
      <c r="L36" s="157"/>
      <c r="Q36" s="294"/>
    </row>
    <row r="37" spans="1:17" ht="12.65" customHeight="1">
      <c r="A37" s="156" t="s">
        <v>723</v>
      </c>
      <c r="C37" s="157">
        <v>1464413.15</v>
      </c>
      <c r="D37" s="157"/>
      <c r="E37" s="157" t="s">
        <v>321</v>
      </c>
      <c r="F37" s="157"/>
      <c r="G37" s="157">
        <v>388259.7</v>
      </c>
      <c r="H37" s="157"/>
      <c r="I37" s="157" t="s">
        <v>366</v>
      </c>
      <c r="J37" s="157"/>
      <c r="K37" s="157">
        <v>922319.01</v>
      </c>
      <c r="L37" s="157"/>
      <c r="Q37" s="294"/>
    </row>
    <row r="38" spans="1:17" ht="12.65" customHeight="1">
      <c r="A38" s="156" t="s">
        <v>420</v>
      </c>
      <c r="C38" s="157">
        <v>890709.77</v>
      </c>
      <c r="D38" s="157"/>
      <c r="E38" s="157" t="s">
        <v>325</v>
      </c>
      <c r="F38" s="157"/>
      <c r="G38" s="157">
        <v>367553.04</v>
      </c>
      <c r="H38" s="157"/>
      <c r="I38" s="157" t="s">
        <v>370</v>
      </c>
      <c r="J38" s="157"/>
      <c r="K38" s="157">
        <v>2310601.66</v>
      </c>
      <c r="L38" s="157"/>
      <c r="Q38" s="294"/>
    </row>
    <row r="39" spans="1:17" ht="12.65" customHeight="1">
      <c r="A39" s="156" t="s">
        <v>423</v>
      </c>
      <c r="C39" s="157">
        <v>166909.22</v>
      </c>
      <c r="D39" s="157"/>
      <c r="E39" s="157" t="s">
        <v>329</v>
      </c>
      <c r="F39" s="157"/>
      <c r="G39" s="157">
        <v>3108733.1</v>
      </c>
      <c r="H39" s="157"/>
      <c r="I39" s="157" t="s">
        <v>23</v>
      </c>
      <c r="J39" s="157"/>
      <c r="K39" s="157">
        <v>17229097.879999999</v>
      </c>
      <c r="L39" s="157"/>
      <c r="Q39" s="294"/>
    </row>
    <row r="40" spans="1:17" ht="20.149999999999999" customHeight="1">
      <c r="A40" s="156" t="s">
        <v>426</v>
      </c>
      <c r="C40" s="157">
        <v>1008148.73</v>
      </c>
      <c r="D40" s="157"/>
      <c r="E40" s="157" t="s">
        <v>333</v>
      </c>
      <c r="F40" s="157"/>
      <c r="G40" s="157">
        <v>3822282.37</v>
      </c>
      <c r="H40" s="157"/>
      <c r="I40" s="157" t="s">
        <v>375</v>
      </c>
      <c r="J40" s="157"/>
      <c r="K40" s="157">
        <v>855962.2</v>
      </c>
      <c r="L40" s="157"/>
      <c r="Q40" s="294"/>
    </row>
    <row r="41" spans="1:17" ht="12.65" customHeight="1">
      <c r="A41" s="156" t="s">
        <v>428</v>
      </c>
      <c r="C41" s="157">
        <v>564087.03</v>
      </c>
      <c r="D41" s="157"/>
      <c r="E41" s="157" t="s">
        <v>337</v>
      </c>
      <c r="F41" s="157"/>
      <c r="G41" s="157">
        <v>33897.440000000002</v>
      </c>
      <c r="H41" s="157"/>
      <c r="I41" s="157" t="s">
        <v>378</v>
      </c>
      <c r="J41" s="157"/>
      <c r="K41" s="157">
        <v>474152.96000000002</v>
      </c>
      <c r="L41" s="157"/>
      <c r="Q41" s="294"/>
    </row>
    <row r="42" spans="1:17" ht="12.65" customHeight="1">
      <c r="A42" s="156" t="s">
        <v>430</v>
      </c>
      <c r="C42" s="157">
        <v>251096.65</v>
      </c>
      <c r="D42" s="157"/>
      <c r="E42" s="157" t="s">
        <v>341</v>
      </c>
      <c r="F42" s="157"/>
      <c r="G42" s="157">
        <v>115622.83</v>
      </c>
      <c r="H42" s="157"/>
      <c r="I42" s="157" t="s">
        <v>381</v>
      </c>
      <c r="J42" s="157"/>
      <c r="K42" s="157">
        <v>1409541.23</v>
      </c>
      <c r="L42" s="157"/>
      <c r="Q42" s="294"/>
    </row>
    <row r="43" spans="1:17" ht="12.65" customHeight="1">
      <c r="A43" s="156" t="s">
        <v>433</v>
      </c>
      <c r="C43" s="157">
        <v>324997</v>
      </c>
      <c r="D43" s="157"/>
      <c r="E43" s="157" t="s">
        <v>345</v>
      </c>
      <c r="F43" s="157"/>
      <c r="G43" s="157">
        <v>396962.45</v>
      </c>
      <c r="H43" s="157"/>
      <c r="K43" s="157"/>
      <c r="L43" s="157"/>
      <c r="Q43" s="294"/>
    </row>
    <row r="44" spans="1:17" ht="13">
      <c r="A44" s="156" t="s">
        <v>436</v>
      </c>
      <c r="C44" s="157">
        <v>116909.04</v>
      </c>
      <c r="D44" s="157"/>
      <c r="E44" s="157" t="s">
        <v>349</v>
      </c>
      <c r="F44" s="157"/>
      <c r="G44" s="157">
        <v>587520.71</v>
      </c>
      <c r="H44" s="157"/>
      <c r="I44" s="296" t="s">
        <v>24</v>
      </c>
      <c r="J44" s="296"/>
      <c r="K44" s="297">
        <f>SUM(K5:K43)</f>
        <v>109260009.68999998</v>
      </c>
      <c r="L44" s="157"/>
      <c r="Q44" s="294"/>
    </row>
    <row r="45" spans="1:17" ht="20.149999999999999" customHeight="1">
      <c r="A45" s="156" t="s">
        <v>312</v>
      </c>
      <c r="C45" s="157">
        <v>766491.84</v>
      </c>
      <c r="D45" s="157"/>
      <c r="E45" s="157" t="s">
        <v>353</v>
      </c>
      <c r="F45" s="157"/>
      <c r="G45" s="157">
        <v>1066208.5900000001</v>
      </c>
      <c r="H45" s="157"/>
      <c r="K45" s="157"/>
      <c r="L45" s="157"/>
      <c r="Q45" s="294"/>
    </row>
    <row r="46" spans="1:17" ht="12.65" customHeight="1">
      <c r="A46" s="156" t="s">
        <v>316</v>
      </c>
      <c r="C46" s="157">
        <v>3284231.93</v>
      </c>
      <c r="D46" s="157"/>
      <c r="E46" s="157" t="s">
        <v>357</v>
      </c>
      <c r="F46" s="157"/>
      <c r="G46" s="157">
        <v>419800.02</v>
      </c>
      <c r="H46" s="157"/>
      <c r="K46" s="157"/>
      <c r="L46" s="157"/>
      <c r="Q46" s="294"/>
    </row>
    <row r="47" spans="1:17" ht="12.65" customHeight="1">
      <c r="A47" s="156" t="s">
        <v>320</v>
      </c>
      <c r="C47" s="157">
        <v>8673629.9900000002</v>
      </c>
      <c r="D47" s="157"/>
      <c r="E47" s="157" t="s">
        <v>361</v>
      </c>
      <c r="F47" s="157"/>
      <c r="G47" s="157">
        <v>662348.48</v>
      </c>
      <c r="H47" s="157"/>
      <c r="K47" s="157"/>
      <c r="L47" s="157"/>
      <c r="Q47" s="294"/>
    </row>
    <row r="48" spans="1:17" ht="12.65" customHeight="1">
      <c r="A48" s="156" t="s">
        <v>324</v>
      </c>
      <c r="C48" s="157">
        <v>1531680.86</v>
      </c>
      <c r="D48" s="157"/>
      <c r="E48" s="157" t="s">
        <v>365</v>
      </c>
      <c r="F48" s="157"/>
      <c r="G48" s="157">
        <v>503054.51</v>
      </c>
      <c r="H48" s="157"/>
      <c r="K48" s="157"/>
      <c r="L48" s="157"/>
      <c r="Q48" s="294"/>
    </row>
    <row r="49" spans="1:18" ht="12.65" customHeight="1">
      <c r="A49" s="156" t="s">
        <v>328</v>
      </c>
      <c r="C49" s="157">
        <v>49782.16</v>
      </c>
      <c r="D49" s="157"/>
      <c r="E49" s="157" t="s">
        <v>369</v>
      </c>
      <c r="F49" s="157"/>
      <c r="G49" s="157">
        <v>867494.11</v>
      </c>
      <c r="H49" s="157"/>
      <c r="K49" s="157"/>
      <c r="L49" s="157"/>
      <c r="Q49" s="294"/>
    </row>
    <row r="50" spans="1:18" ht="20.149999999999999" customHeight="1">
      <c r="A50" s="156" t="s">
        <v>724</v>
      </c>
      <c r="C50" s="157">
        <v>878888.05</v>
      </c>
      <c r="D50" s="157"/>
      <c r="H50" s="157"/>
      <c r="K50" s="157"/>
      <c r="L50" s="157"/>
      <c r="Q50" s="294"/>
    </row>
    <row r="51" spans="1:18" ht="13">
      <c r="A51" s="156" t="s">
        <v>336</v>
      </c>
      <c r="C51" s="157">
        <v>1124500.24</v>
      </c>
      <c r="D51" s="157"/>
      <c r="E51" s="296" t="s">
        <v>19</v>
      </c>
      <c r="F51" s="296"/>
      <c r="G51" s="297">
        <f>SUM(C5:C54,G5:G49)</f>
        <v>155725416.09000003</v>
      </c>
      <c r="H51" s="157"/>
      <c r="K51" s="157"/>
      <c r="L51" s="157"/>
      <c r="Q51" s="294"/>
    </row>
    <row r="52" spans="1:18" ht="12.65" customHeight="1">
      <c r="A52" s="156" t="s">
        <v>725</v>
      </c>
      <c r="C52" s="157">
        <v>115838.09</v>
      </c>
      <c r="D52" s="157"/>
      <c r="G52" s="157"/>
      <c r="H52" s="157"/>
      <c r="K52" s="157"/>
      <c r="L52" s="157"/>
      <c r="Q52" s="294"/>
    </row>
    <row r="53" spans="1:18" ht="12.65" customHeight="1">
      <c r="A53" s="156" t="s">
        <v>344</v>
      </c>
      <c r="C53" s="157">
        <v>255245.19</v>
      </c>
      <c r="D53" s="157"/>
      <c r="G53" s="157"/>
      <c r="H53" s="157"/>
      <c r="K53" s="157"/>
      <c r="L53" s="157"/>
      <c r="Q53" s="294"/>
    </row>
    <row r="54" spans="1:18" ht="12.65" customHeight="1">
      <c r="A54" s="156" t="s">
        <v>348</v>
      </c>
      <c r="C54" s="157">
        <v>236440.25</v>
      </c>
      <c r="D54" s="157"/>
      <c r="G54" s="157"/>
      <c r="H54" s="157"/>
      <c r="K54" s="157"/>
      <c r="L54" s="157"/>
      <c r="Q54" s="294"/>
    </row>
    <row r="55" spans="1:18" ht="18">
      <c r="A55" s="289" t="s">
        <v>439</v>
      </c>
      <c r="B55" s="289"/>
      <c r="C55" s="290"/>
    </row>
    <row r="56" spans="1:18" ht="15.5">
      <c r="A56" s="291" t="str">
        <f>A2</f>
        <v>Communications Sales Tax Distributions, Fiscal Year 2024</v>
      </c>
      <c r="B56" s="291"/>
      <c r="C56" s="290"/>
      <c r="G56" s="157"/>
    </row>
    <row r="57" spans="1:18" ht="9" customHeight="1" thickBot="1">
      <c r="G57" s="157"/>
    </row>
    <row r="58" spans="1:18" ht="13" customHeight="1">
      <c r="A58" s="895" t="s">
        <v>440</v>
      </c>
      <c r="B58" s="896" t="s">
        <v>910</v>
      </c>
      <c r="C58" s="897" t="s">
        <v>310</v>
      </c>
      <c r="D58" s="894"/>
      <c r="E58" s="895" t="s">
        <v>440</v>
      </c>
      <c r="F58" s="896" t="s">
        <v>910</v>
      </c>
      <c r="G58" s="897" t="s">
        <v>310</v>
      </c>
      <c r="H58" s="894"/>
      <c r="I58" s="895" t="s">
        <v>440</v>
      </c>
      <c r="J58" s="896" t="s">
        <v>910</v>
      </c>
      <c r="K58" s="897" t="s">
        <v>310</v>
      </c>
      <c r="L58" s="487"/>
      <c r="M58" s="895" t="s">
        <v>440</v>
      </c>
      <c r="N58" s="896" t="s">
        <v>910</v>
      </c>
      <c r="O58" s="897" t="s">
        <v>310</v>
      </c>
    </row>
    <row r="59" spans="1:18">
      <c r="A59" s="299" t="s">
        <v>441</v>
      </c>
      <c r="C59" s="293">
        <v>79906.45</v>
      </c>
      <c r="D59" s="157"/>
      <c r="E59" s="156" t="s">
        <v>577</v>
      </c>
      <c r="G59" s="293">
        <v>3922.21</v>
      </c>
      <c r="H59" s="157"/>
      <c r="I59" s="156" t="s">
        <v>578</v>
      </c>
      <c r="K59" s="293">
        <v>8062.4</v>
      </c>
      <c r="L59" s="157"/>
      <c r="M59" s="156" t="s">
        <v>579</v>
      </c>
      <c r="O59" s="293">
        <v>9216.1299999999992</v>
      </c>
      <c r="P59" s="157"/>
      <c r="Q59" s="294"/>
      <c r="R59" s="294"/>
    </row>
    <row r="60" spans="1:18" ht="20.149999999999999" customHeight="1">
      <c r="A60" s="156" t="s">
        <v>444</v>
      </c>
      <c r="C60" s="157">
        <v>3546.79</v>
      </c>
      <c r="D60" s="157"/>
      <c r="E60" s="157" t="s">
        <v>580</v>
      </c>
      <c r="F60" s="157"/>
      <c r="G60" s="157">
        <v>27971.38</v>
      </c>
      <c r="H60" s="157"/>
      <c r="I60" s="157" t="s">
        <v>581</v>
      </c>
      <c r="J60" s="157"/>
      <c r="K60" s="157">
        <v>34154.160000000003</v>
      </c>
      <c r="L60" s="157"/>
      <c r="M60" s="157" t="s">
        <v>582</v>
      </c>
      <c r="N60" s="157"/>
      <c r="O60" s="157">
        <v>26323.59</v>
      </c>
      <c r="P60" s="157"/>
      <c r="Q60" s="294"/>
      <c r="R60" s="294"/>
    </row>
    <row r="61" spans="1:18">
      <c r="A61" s="156" t="s">
        <v>448</v>
      </c>
      <c r="C61" s="157">
        <v>8040.34</v>
      </c>
      <c r="D61" s="157"/>
      <c r="E61" s="157" t="s">
        <v>392</v>
      </c>
      <c r="F61" s="157"/>
      <c r="G61" s="157">
        <v>81018.77</v>
      </c>
      <c r="H61" s="157"/>
      <c r="I61" s="157" t="s">
        <v>442</v>
      </c>
      <c r="J61" s="157"/>
      <c r="K61" s="157">
        <v>53420.03</v>
      </c>
      <c r="L61" s="157"/>
      <c r="M61" s="157" t="s">
        <v>443</v>
      </c>
      <c r="N61" s="157"/>
      <c r="O61" s="157">
        <v>0</v>
      </c>
      <c r="P61" s="157"/>
      <c r="Q61" s="294"/>
      <c r="R61" s="294"/>
    </row>
    <row r="62" spans="1:18">
      <c r="A62" s="156" t="s">
        <v>451</v>
      </c>
      <c r="C62" s="157">
        <v>26809.38</v>
      </c>
      <c r="D62" s="157"/>
      <c r="E62" s="157" t="s">
        <v>445</v>
      </c>
      <c r="F62" s="157"/>
      <c r="G62" s="157">
        <v>16395.330000000002</v>
      </c>
      <c r="H62" s="157"/>
      <c r="I62" s="157" t="s">
        <v>446</v>
      </c>
      <c r="J62" s="157"/>
      <c r="K62" s="157">
        <v>1427131.73</v>
      </c>
      <c r="L62" s="157"/>
      <c r="M62" s="157" t="s">
        <v>447</v>
      </c>
      <c r="N62" s="157"/>
      <c r="O62" s="157">
        <v>15904</v>
      </c>
      <c r="P62" s="157"/>
      <c r="Q62" s="294"/>
      <c r="R62" s="294"/>
    </row>
    <row r="63" spans="1:18">
      <c r="A63" s="156" t="s">
        <v>327</v>
      </c>
      <c r="C63" s="157">
        <v>67469.19</v>
      </c>
      <c r="D63" s="157"/>
      <c r="E63" s="157" t="s">
        <v>449</v>
      </c>
      <c r="F63" s="157"/>
      <c r="G63" s="157">
        <v>16817.59</v>
      </c>
      <c r="H63" s="157"/>
      <c r="I63" s="157" t="s">
        <v>364</v>
      </c>
      <c r="J63" s="157"/>
      <c r="K63" s="157">
        <v>4728.12</v>
      </c>
      <c r="L63" s="157"/>
      <c r="M63" s="157" t="s">
        <v>450</v>
      </c>
      <c r="N63" s="157"/>
      <c r="O63" s="157">
        <v>31755.58</v>
      </c>
      <c r="P63" s="157"/>
      <c r="Q63" s="294"/>
      <c r="R63" s="294"/>
    </row>
    <row r="64" spans="1:18">
      <c r="A64" s="156" t="s">
        <v>457</v>
      </c>
      <c r="C64" s="157">
        <v>26116.58</v>
      </c>
      <c r="D64" s="157"/>
      <c r="E64" s="157" t="s">
        <v>452</v>
      </c>
      <c r="F64" s="157"/>
      <c r="G64" s="157">
        <v>2572.4299999999998</v>
      </c>
      <c r="H64" s="157"/>
      <c r="I64" s="157" t="s">
        <v>453</v>
      </c>
      <c r="J64" s="157"/>
      <c r="K64" s="157">
        <v>8807.65</v>
      </c>
      <c r="L64" s="157"/>
      <c r="M64" s="157" t="s">
        <v>454</v>
      </c>
      <c r="N64" s="157"/>
      <c r="O64" s="157">
        <v>11669.95</v>
      </c>
      <c r="P64" s="157"/>
      <c r="Q64" s="294"/>
      <c r="R64" s="294"/>
    </row>
    <row r="65" spans="1:18" ht="23.15" customHeight="1">
      <c r="A65" s="156" t="s">
        <v>331</v>
      </c>
      <c r="C65" s="157">
        <v>4170.59</v>
      </c>
      <c r="D65" s="157"/>
      <c r="E65" s="157" t="s">
        <v>455</v>
      </c>
      <c r="F65" s="157"/>
      <c r="G65" s="157">
        <v>932.95</v>
      </c>
      <c r="H65" s="157"/>
      <c r="I65" s="157" t="s">
        <v>456</v>
      </c>
      <c r="J65" s="157"/>
      <c r="K65" s="157">
        <v>50963.49</v>
      </c>
      <c r="L65" s="157"/>
      <c r="M65" s="157" t="s">
        <v>317</v>
      </c>
      <c r="N65" s="157"/>
      <c r="O65" s="157">
        <v>18374.32</v>
      </c>
      <c r="P65" s="157"/>
      <c r="Q65" s="294"/>
      <c r="R65" s="294"/>
    </row>
    <row r="66" spans="1:18">
      <c r="A66" s="156" t="s">
        <v>464</v>
      </c>
      <c r="C66" s="157">
        <v>180119.32</v>
      </c>
      <c r="D66" s="157"/>
      <c r="E66" s="157" t="s">
        <v>458</v>
      </c>
      <c r="F66" s="157"/>
      <c r="G66" s="157">
        <v>61222.95</v>
      </c>
      <c r="H66" s="157"/>
      <c r="I66" s="157" t="s">
        <v>459</v>
      </c>
      <c r="J66" s="157"/>
      <c r="K66" s="157">
        <v>85951.17</v>
      </c>
      <c r="L66" s="157"/>
      <c r="M66" s="157" t="s">
        <v>460</v>
      </c>
      <c r="N66" s="157"/>
      <c r="O66" s="157">
        <v>156150.18</v>
      </c>
      <c r="P66" s="157"/>
      <c r="Q66" s="294"/>
      <c r="R66" s="294"/>
    </row>
    <row r="67" spans="1:18">
      <c r="A67" s="295" t="s">
        <v>347</v>
      </c>
      <c r="B67" s="295"/>
      <c r="C67" s="157">
        <v>92981.28</v>
      </c>
      <c r="D67" s="157"/>
      <c r="E67" s="157" t="s">
        <v>461</v>
      </c>
      <c r="F67" s="157"/>
      <c r="G67" s="157">
        <v>123453.39</v>
      </c>
      <c r="H67" s="157"/>
      <c r="I67" s="157" t="s">
        <v>462</v>
      </c>
      <c r="J67" s="157"/>
      <c r="K67" s="157">
        <v>6008.83</v>
      </c>
      <c r="L67" s="157"/>
      <c r="M67" s="157" t="s">
        <v>463</v>
      </c>
      <c r="N67" s="157"/>
      <c r="O67" s="157">
        <v>515856.09</v>
      </c>
      <c r="P67" s="157"/>
      <c r="Q67" s="294"/>
      <c r="R67" s="294"/>
    </row>
    <row r="68" spans="1:18">
      <c r="A68" s="156" t="s">
        <v>468</v>
      </c>
      <c r="C68" s="157">
        <v>61603.89</v>
      </c>
      <c r="D68" s="157"/>
      <c r="E68" s="157" t="s">
        <v>465</v>
      </c>
      <c r="F68" s="157"/>
      <c r="G68" s="157">
        <v>6464.27</v>
      </c>
      <c r="H68" s="157"/>
      <c r="I68" s="157" t="s">
        <v>466</v>
      </c>
      <c r="J68" s="157"/>
      <c r="K68" s="157">
        <v>2707.75</v>
      </c>
      <c r="L68" s="157"/>
      <c r="M68" s="157" t="s">
        <v>467</v>
      </c>
      <c r="N68" s="157"/>
      <c r="O68" s="157">
        <v>117035.99</v>
      </c>
      <c r="P68" s="157"/>
      <c r="Q68" s="294"/>
      <c r="R68" s="294"/>
    </row>
    <row r="69" spans="1:18">
      <c r="A69" s="156" t="s">
        <v>472</v>
      </c>
      <c r="C69" s="157">
        <v>126138.99</v>
      </c>
      <c r="D69" s="157"/>
      <c r="E69" s="157" t="s">
        <v>469</v>
      </c>
      <c r="F69" s="157"/>
      <c r="G69" s="157">
        <v>34766.9</v>
      </c>
      <c r="H69" s="157"/>
      <c r="I69" s="157" t="s">
        <v>470</v>
      </c>
      <c r="J69" s="157"/>
      <c r="K69" s="157">
        <v>29898</v>
      </c>
      <c r="L69" s="157"/>
      <c r="M69" s="157" t="s">
        <v>471</v>
      </c>
      <c r="N69" s="157"/>
      <c r="O69" s="157">
        <v>2475.87</v>
      </c>
      <c r="P69" s="157"/>
      <c r="Q69" s="294"/>
      <c r="R69" s="294"/>
    </row>
    <row r="70" spans="1:18" ht="23.15" customHeight="1">
      <c r="A70" s="156" t="s">
        <v>476</v>
      </c>
      <c r="C70" s="157">
        <v>814846.95</v>
      </c>
      <c r="D70" s="157"/>
      <c r="E70" s="157" t="s">
        <v>473</v>
      </c>
      <c r="F70" s="157"/>
      <c r="G70" s="157">
        <v>344754.18</v>
      </c>
      <c r="H70" s="157"/>
      <c r="I70" s="157" t="s">
        <v>474</v>
      </c>
      <c r="J70" s="157"/>
      <c r="K70" s="157">
        <v>9459</v>
      </c>
      <c r="L70" s="157"/>
      <c r="M70" s="157" t="s">
        <v>475</v>
      </c>
      <c r="N70" s="157"/>
      <c r="O70" s="157">
        <v>10966.09</v>
      </c>
      <c r="P70" s="157"/>
      <c r="Q70" s="294"/>
      <c r="R70" s="294"/>
    </row>
    <row r="71" spans="1:18">
      <c r="A71" s="156" t="s">
        <v>479</v>
      </c>
      <c r="C71" s="157">
        <v>11755.52</v>
      </c>
      <c r="D71" s="157"/>
      <c r="E71" s="157" t="s">
        <v>477</v>
      </c>
      <c r="F71" s="157"/>
      <c r="G71" s="157">
        <v>1871.35</v>
      </c>
      <c r="H71" s="157"/>
      <c r="I71" s="157" t="s">
        <v>478</v>
      </c>
      <c r="J71" s="157"/>
      <c r="K71" s="157">
        <v>1186.8900000000001</v>
      </c>
      <c r="L71" s="157"/>
      <c r="M71" s="157" t="s">
        <v>697</v>
      </c>
      <c r="N71" s="157"/>
      <c r="O71" s="157">
        <v>18023.84</v>
      </c>
      <c r="P71" s="157"/>
      <c r="Q71" s="294"/>
      <c r="R71" s="294"/>
    </row>
    <row r="72" spans="1:18">
      <c r="A72" s="295" t="s">
        <v>695</v>
      </c>
      <c r="B72" s="295"/>
      <c r="C72" s="157">
        <v>3527.5</v>
      </c>
      <c r="D72" s="157"/>
      <c r="E72" s="157" t="s">
        <v>413</v>
      </c>
      <c r="F72" s="157"/>
      <c r="G72" s="157">
        <v>306.39</v>
      </c>
      <c r="H72" s="157"/>
      <c r="I72" s="157" t="s">
        <v>480</v>
      </c>
      <c r="J72" s="157"/>
      <c r="K72" s="157">
        <v>4543.2</v>
      </c>
      <c r="L72" s="157"/>
      <c r="M72" s="157" t="s">
        <v>481</v>
      </c>
      <c r="N72" s="157"/>
      <c r="O72" s="157">
        <v>54957.41</v>
      </c>
      <c r="P72" s="157"/>
      <c r="Q72" s="294"/>
      <c r="R72" s="294"/>
    </row>
    <row r="73" spans="1:18">
      <c r="A73" s="156" t="s">
        <v>482</v>
      </c>
      <c r="C73" s="157">
        <v>28777.360000000001</v>
      </c>
      <c r="D73" s="157"/>
      <c r="E73" s="157" t="s">
        <v>483</v>
      </c>
      <c r="F73" s="157"/>
      <c r="G73" s="157">
        <v>8426.77</v>
      </c>
      <c r="H73" s="157"/>
      <c r="I73" s="157" t="s">
        <v>484</v>
      </c>
      <c r="J73" s="157"/>
      <c r="K73" s="157">
        <v>9196.83</v>
      </c>
      <c r="L73" s="157"/>
      <c r="M73" s="157" t="s">
        <v>485</v>
      </c>
      <c r="N73" s="157"/>
      <c r="O73" s="157">
        <v>2092.1799999999998</v>
      </c>
      <c r="P73" s="157"/>
      <c r="Q73" s="294"/>
      <c r="R73" s="294"/>
    </row>
    <row r="74" spans="1:18">
      <c r="A74" s="156" t="s">
        <v>486</v>
      </c>
      <c r="C74" s="157">
        <v>2208.0700000000002</v>
      </c>
      <c r="D74" s="157"/>
      <c r="E74" s="157" t="s">
        <v>487</v>
      </c>
      <c r="F74" s="157"/>
      <c r="G74" s="157">
        <v>112335.47</v>
      </c>
      <c r="H74" s="157"/>
      <c r="I74" s="157" t="s">
        <v>488</v>
      </c>
      <c r="J74" s="157"/>
      <c r="K74" s="157">
        <v>14791.68</v>
      </c>
      <c r="L74" s="157"/>
      <c r="M74" s="157" t="s">
        <v>489</v>
      </c>
      <c r="N74" s="157"/>
      <c r="O74" s="157">
        <v>41805.279999999999</v>
      </c>
      <c r="P74" s="157"/>
      <c r="Q74" s="294"/>
      <c r="R74" s="294"/>
    </row>
    <row r="75" spans="1:18" ht="23.15" customHeight="1">
      <c r="A75" s="156" t="s">
        <v>490</v>
      </c>
      <c r="C75" s="157">
        <v>26900.46</v>
      </c>
      <c r="D75" s="157"/>
      <c r="E75" s="157" t="s">
        <v>491</v>
      </c>
      <c r="F75" s="157"/>
      <c r="G75" s="157">
        <v>26066.83</v>
      </c>
      <c r="H75" s="157"/>
      <c r="I75" s="157" t="s">
        <v>492</v>
      </c>
      <c r="J75" s="157"/>
      <c r="K75" s="157">
        <v>29318.31</v>
      </c>
      <c r="L75" s="157"/>
      <c r="M75" s="157" t="s">
        <v>345</v>
      </c>
      <c r="N75" s="157"/>
      <c r="O75" s="157">
        <v>18170.080000000002</v>
      </c>
      <c r="P75" s="157"/>
      <c r="Q75" s="294"/>
      <c r="R75" s="294"/>
    </row>
    <row r="76" spans="1:18">
      <c r="A76" s="156" t="s">
        <v>493</v>
      </c>
      <c r="C76" s="157">
        <v>1639.51</v>
      </c>
      <c r="D76" s="157"/>
      <c r="E76" s="157" t="s">
        <v>494</v>
      </c>
      <c r="F76" s="157"/>
      <c r="G76" s="157">
        <v>19163.759999999998</v>
      </c>
      <c r="H76" s="157"/>
      <c r="I76" s="157" t="s">
        <v>495</v>
      </c>
      <c r="J76" s="157"/>
      <c r="K76" s="157">
        <v>1534.66</v>
      </c>
      <c r="L76" s="157"/>
      <c r="M76" s="157" t="s">
        <v>496</v>
      </c>
      <c r="N76" s="157"/>
      <c r="O76" s="157">
        <v>21609.27</v>
      </c>
      <c r="P76" s="157"/>
      <c r="Q76" s="294"/>
      <c r="R76" s="294"/>
    </row>
    <row r="77" spans="1:18">
      <c r="A77" s="156" t="s">
        <v>497</v>
      </c>
      <c r="C77" s="157">
        <v>9897.92</v>
      </c>
      <c r="D77" s="157"/>
      <c r="E77" s="157" t="s">
        <v>498</v>
      </c>
      <c r="F77" s="157"/>
      <c r="G77" s="157">
        <v>13809.05</v>
      </c>
      <c r="H77" s="157"/>
      <c r="I77" s="157" t="s">
        <v>499</v>
      </c>
      <c r="J77" s="157"/>
      <c r="K77" s="157">
        <v>33861.57</v>
      </c>
      <c r="L77" s="157"/>
      <c r="M77" s="157" t="s">
        <v>500</v>
      </c>
      <c r="N77" s="157"/>
      <c r="O77" s="157">
        <v>1468.41</v>
      </c>
      <c r="P77" s="157"/>
      <c r="Q77" s="294"/>
      <c r="R77" s="294"/>
    </row>
    <row r="78" spans="1:18">
      <c r="A78" s="156" t="s">
        <v>501</v>
      </c>
      <c r="C78" s="157">
        <v>2404.1</v>
      </c>
      <c r="D78" s="157"/>
      <c r="E78" s="157" t="s">
        <v>502</v>
      </c>
      <c r="F78" s="157"/>
      <c r="G78" s="157">
        <v>20091.14</v>
      </c>
      <c r="H78" s="157"/>
      <c r="I78" s="157" t="s">
        <v>503</v>
      </c>
      <c r="J78" s="157"/>
      <c r="K78" s="157">
        <v>847.35</v>
      </c>
      <c r="L78" s="157"/>
      <c r="M78" s="157" t="s">
        <v>504</v>
      </c>
      <c r="N78" s="157"/>
      <c r="O78" s="157">
        <v>2390.2800000000002</v>
      </c>
      <c r="P78" s="157"/>
      <c r="Q78" s="294"/>
      <c r="R78" s="294"/>
    </row>
    <row r="79" spans="1:18">
      <c r="A79" s="156" t="s">
        <v>505</v>
      </c>
      <c r="C79" s="157">
        <v>60176.86</v>
      </c>
      <c r="D79" s="157"/>
      <c r="E79" s="157" t="s">
        <v>506</v>
      </c>
      <c r="F79" s="157"/>
      <c r="G79" s="157">
        <v>4990.34</v>
      </c>
      <c r="H79" s="157"/>
      <c r="I79" s="157" t="s">
        <v>507</v>
      </c>
      <c r="J79" s="157"/>
      <c r="K79" s="157">
        <v>1018.56</v>
      </c>
      <c r="L79" s="157"/>
      <c r="M79" s="157" t="s">
        <v>508</v>
      </c>
      <c r="N79" s="157"/>
      <c r="O79" s="157">
        <v>33825.699999999997</v>
      </c>
      <c r="P79" s="157"/>
      <c r="Q79" s="294"/>
      <c r="R79" s="294"/>
    </row>
    <row r="80" spans="1:18" ht="23.15" customHeight="1">
      <c r="A80" s="156" t="s">
        <v>696</v>
      </c>
      <c r="C80" s="157">
        <v>6845.2</v>
      </c>
      <c r="D80" s="157"/>
      <c r="E80" s="157" t="s">
        <v>510</v>
      </c>
      <c r="F80" s="157"/>
      <c r="G80" s="157">
        <v>17336.560000000001</v>
      </c>
      <c r="H80" s="157"/>
      <c r="I80" s="157" t="s">
        <v>511</v>
      </c>
      <c r="J80" s="157"/>
      <c r="K80" s="157">
        <v>30582.45</v>
      </c>
      <c r="L80" s="157"/>
      <c r="M80" s="157" t="s">
        <v>512</v>
      </c>
      <c r="N80" s="157"/>
      <c r="O80" s="157">
        <v>704266.91</v>
      </c>
      <c r="P80" s="157"/>
      <c r="Q80" s="294"/>
      <c r="R80" s="294"/>
    </row>
    <row r="81" spans="1:19">
      <c r="A81" s="156" t="s">
        <v>509</v>
      </c>
      <c r="C81" s="157">
        <v>31465.73</v>
      </c>
      <c r="D81" s="157"/>
      <c r="E81" s="157" t="s">
        <v>513</v>
      </c>
      <c r="F81" s="157"/>
      <c r="G81" s="157">
        <v>22829.23</v>
      </c>
      <c r="H81" s="157"/>
      <c r="I81" s="157" t="s">
        <v>514</v>
      </c>
      <c r="J81" s="157"/>
      <c r="K81" s="157">
        <v>64761.48</v>
      </c>
      <c r="L81" s="157"/>
      <c r="M81" s="157" t="s">
        <v>515</v>
      </c>
      <c r="N81" s="157"/>
      <c r="O81" s="157">
        <v>224207.24</v>
      </c>
      <c r="P81" s="157"/>
      <c r="Q81" s="294"/>
      <c r="R81" s="294"/>
    </row>
    <row r="82" spans="1:19">
      <c r="A82" s="156" t="s">
        <v>516</v>
      </c>
      <c r="C82" s="157">
        <v>12244.01</v>
      </c>
      <c r="D82" s="157"/>
      <c r="E82" s="157" t="s">
        <v>517</v>
      </c>
      <c r="F82" s="157"/>
      <c r="G82" s="157">
        <v>13063.81</v>
      </c>
      <c r="H82" s="157"/>
      <c r="I82" s="157" t="s">
        <v>518</v>
      </c>
      <c r="J82" s="157"/>
      <c r="K82" s="157">
        <v>2765.67</v>
      </c>
      <c r="L82" s="157"/>
      <c r="M82" s="157" t="s">
        <v>519</v>
      </c>
      <c r="N82" s="157"/>
      <c r="O82" s="157">
        <v>1672.64</v>
      </c>
      <c r="P82" s="157"/>
      <c r="Q82" s="294"/>
      <c r="R82" s="294"/>
    </row>
    <row r="83" spans="1:19">
      <c r="A83" s="156" t="s">
        <v>363</v>
      </c>
      <c r="C83" s="157">
        <v>1890.72</v>
      </c>
      <c r="D83" s="157"/>
      <c r="E83" s="157" t="s">
        <v>312</v>
      </c>
      <c r="F83" s="157"/>
      <c r="G83" s="157">
        <v>67463.7</v>
      </c>
      <c r="H83" s="157"/>
      <c r="I83" s="157" t="s">
        <v>399</v>
      </c>
      <c r="J83" s="157"/>
      <c r="K83" s="157">
        <v>116541.94</v>
      </c>
      <c r="L83" s="157"/>
      <c r="M83" s="157" t="s">
        <v>520</v>
      </c>
      <c r="N83" s="157"/>
      <c r="O83" s="157">
        <v>11708.57</v>
      </c>
      <c r="P83" s="157"/>
      <c r="Q83" s="294"/>
      <c r="R83" s="294"/>
    </row>
    <row r="84" spans="1:19">
      <c r="A84" s="156" t="s">
        <v>521</v>
      </c>
      <c r="C84" s="157">
        <v>1170.31</v>
      </c>
      <c r="D84" s="157"/>
      <c r="E84" s="157" t="s">
        <v>522</v>
      </c>
      <c r="F84" s="157"/>
      <c r="G84" s="157">
        <v>10858.43</v>
      </c>
      <c r="H84" s="157"/>
      <c r="I84" s="157" t="s">
        <v>523</v>
      </c>
      <c r="J84" s="157"/>
      <c r="K84" s="157">
        <v>1609.17</v>
      </c>
      <c r="L84" s="157"/>
      <c r="M84" s="157" t="s">
        <v>524</v>
      </c>
      <c r="N84" s="157"/>
      <c r="O84" s="157">
        <v>355350.46</v>
      </c>
      <c r="P84" s="157"/>
      <c r="Q84" s="294"/>
      <c r="R84" s="294"/>
    </row>
    <row r="85" spans="1:19" ht="23.15" customHeight="1">
      <c r="A85" s="156" t="s">
        <v>525</v>
      </c>
      <c r="C85" s="157">
        <v>31095.86</v>
      </c>
      <c r="D85" s="157"/>
      <c r="E85" s="157" t="s">
        <v>526</v>
      </c>
      <c r="F85" s="157"/>
      <c r="G85" s="157">
        <v>82972.929999999993</v>
      </c>
      <c r="H85" s="157"/>
      <c r="I85" s="157" t="s">
        <v>527</v>
      </c>
      <c r="J85" s="157"/>
      <c r="K85" s="157">
        <v>14192.71</v>
      </c>
      <c r="L85" s="157"/>
      <c r="M85" s="157" t="s">
        <v>528</v>
      </c>
      <c r="N85" s="157"/>
      <c r="O85" s="157">
        <v>31071.07</v>
      </c>
      <c r="P85" s="157"/>
      <c r="Q85" s="294"/>
      <c r="R85" s="294"/>
    </row>
    <row r="86" spans="1:19">
      <c r="A86" s="156" t="s">
        <v>529</v>
      </c>
      <c r="C86" s="157">
        <v>24913.15</v>
      </c>
      <c r="D86" s="157"/>
      <c r="E86" s="157" t="s">
        <v>530</v>
      </c>
      <c r="F86" s="157"/>
      <c r="G86" s="157">
        <v>9779.23</v>
      </c>
      <c r="H86" s="157"/>
      <c r="I86" s="157" t="s">
        <v>531</v>
      </c>
      <c r="J86" s="157"/>
      <c r="K86" s="157">
        <v>16273.84</v>
      </c>
      <c r="L86" s="157"/>
      <c r="M86" s="157" t="s">
        <v>353</v>
      </c>
      <c r="N86" s="157"/>
      <c r="O86" s="157">
        <v>2420.66</v>
      </c>
      <c r="P86" s="157"/>
      <c r="Q86" s="294"/>
      <c r="R86" s="294"/>
    </row>
    <row r="87" spans="1:19">
      <c r="A87" s="156" t="s">
        <v>532</v>
      </c>
      <c r="C87" s="157">
        <v>1653.36</v>
      </c>
      <c r="D87" s="157"/>
      <c r="E87" s="157" t="s">
        <v>533</v>
      </c>
      <c r="F87" s="157"/>
      <c r="G87" s="157">
        <v>1136639.44</v>
      </c>
      <c r="H87" s="157"/>
      <c r="I87" s="157" t="s">
        <v>534</v>
      </c>
      <c r="J87" s="157"/>
      <c r="K87" s="157">
        <v>5144.9399999999996</v>
      </c>
      <c r="L87" s="157"/>
      <c r="M87" s="157" t="s">
        <v>535</v>
      </c>
      <c r="N87" s="157"/>
      <c r="O87" s="157">
        <v>21073.75</v>
      </c>
      <c r="P87" s="157"/>
      <c r="Q87" s="294"/>
      <c r="R87" s="294"/>
    </row>
    <row r="88" spans="1:19">
      <c r="A88" s="156" t="s">
        <v>536</v>
      </c>
      <c r="C88" s="157">
        <v>34869.019999999997</v>
      </c>
      <c r="D88" s="157"/>
      <c r="E88" s="157" t="s">
        <v>537</v>
      </c>
      <c r="F88" s="157"/>
      <c r="G88" s="157">
        <v>12139.18</v>
      </c>
      <c r="H88" s="157"/>
      <c r="I88" s="157" t="s">
        <v>538</v>
      </c>
      <c r="J88" s="157"/>
      <c r="K88" s="157">
        <v>31057.18</v>
      </c>
      <c r="L88" s="157"/>
      <c r="M88" s="157" t="s">
        <v>539</v>
      </c>
      <c r="N88" s="157"/>
      <c r="O88" s="157">
        <v>14990.39</v>
      </c>
      <c r="P88" s="157"/>
      <c r="Q88" s="294"/>
      <c r="R88" s="294"/>
    </row>
    <row r="89" spans="1:19">
      <c r="A89" s="156" t="s">
        <v>540</v>
      </c>
      <c r="C89" s="157">
        <v>49072.79</v>
      </c>
      <c r="D89" s="157"/>
      <c r="E89" s="157" t="s">
        <v>541</v>
      </c>
      <c r="F89" s="157"/>
      <c r="G89" s="157">
        <v>10237.42</v>
      </c>
      <c r="H89" s="157"/>
      <c r="I89" s="157" t="s">
        <v>542</v>
      </c>
      <c r="J89" s="157"/>
      <c r="K89" s="157">
        <v>916.39</v>
      </c>
      <c r="L89" s="157"/>
      <c r="M89" s="157" t="s">
        <v>543</v>
      </c>
      <c r="N89" s="157"/>
      <c r="O89" s="157">
        <v>57049.58</v>
      </c>
      <c r="P89" s="157"/>
      <c r="Q89" s="294"/>
      <c r="R89" s="294"/>
    </row>
    <row r="90" spans="1:19" ht="23.15" customHeight="1">
      <c r="A90" s="156" t="s">
        <v>544</v>
      </c>
      <c r="C90" s="157">
        <v>28145.27</v>
      </c>
      <c r="D90" s="157"/>
      <c r="E90" s="157" t="s">
        <v>545</v>
      </c>
      <c r="F90" s="157"/>
      <c r="G90" s="157">
        <v>15683.2</v>
      </c>
      <c r="H90" s="157"/>
      <c r="I90" s="157" t="s">
        <v>546</v>
      </c>
      <c r="J90" s="157"/>
      <c r="K90" s="157">
        <v>11896.29</v>
      </c>
      <c r="L90" s="157"/>
      <c r="M90" s="157" t="s">
        <v>547</v>
      </c>
      <c r="N90" s="157"/>
      <c r="O90" s="157">
        <v>2180.5100000000002</v>
      </c>
      <c r="P90" s="157"/>
      <c r="Q90" s="294"/>
      <c r="R90" s="294"/>
    </row>
    <row r="91" spans="1:19">
      <c r="A91" s="156" t="s">
        <v>548</v>
      </c>
      <c r="C91" s="157">
        <v>112233.36</v>
      </c>
      <c r="D91" s="157"/>
      <c r="E91" s="157" t="s">
        <v>549</v>
      </c>
      <c r="F91" s="157"/>
      <c r="G91" s="157">
        <v>22652.560000000001</v>
      </c>
      <c r="H91" s="157"/>
      <c r="I91" s="157" t="s">
        <v>550</v>
      </c>
      <c r="J91" s="157"/>
      <c r="K91" s="157">
        <v>2544.83</v>
      </c>
      <c r="L91" s="157"/>
      <c r="M91" s="157" t="s">
        <v>551</v>
      </c>
      <c r="N91" s="157"/>
      <c r="O91" s="157">
        <v>44032.73</v>
      </c>
      <c r="P91" s="157"/>
      <c r="Q91" s="294"/>
      <c r="R91" s="294"/>
    </row>
    <row r="92" spans="1:19">
      <c r="A92" s="156" t="s">
        <v>552</v>
      </c>
      <c r="C92" s="157">
        <v>585111.1</v>
      </c>
      <c r="D92" s="157"/>
      <c r="E92" s="157" t="s">
        <v>553</v>
      </c>
      <c r="F92" s="157"/>
      <c r="G92" s="157">
        <v>10607.26</v>
      </c>
      <c r="H92" s="157"/>
      <c r="I92" s="157" t="s">
        <v>554</v>
      </c>
      <c r="J92" s="157"/>
      <c r="K92" s="157">
        <v>21650.67</v>
      </c>
      <c r="L92" s="157"/>
      <c r="M92" s="1545" t="s">
        <v>361</v>
      </c>
      <c r="N92" s="1545"/>
      <c r="O92" s="157">
        <v>71079.48</v>
      </c>
      <c r="P92" s="157"/>
      <c r="Q92" s="294"/>
      <c r="R92" s="294"/>
      <c r="S92" s="487"/>
    </row>
    <row r="93" spans="1:19">
      <c r="A93" s="156" t="s">
        <v>555</v>
      </c>
      <c r="C93" s="157">
        <v>23177.03</v>
      </c>
      <c r="D93" s="157"/>
      <c r="E93" s="157" t="s">
        <v>556</v>
      </c>
      <c r="F93" s="157"/>
      <c r="G93" s="157">
        <v>1633.98</v>
      </c>
      <c r="H93" s="157"/>
      <c r="I93" s="157" t="s">
        <v>421</v>
      </c>
      <c r="J93" s="157"/>
      <c r="K93" s="157">
        <v>299418.7</v>
      </c>
      <c r="L93" s="157"/>
      <c r="M93" s="157" t="s">
        <v>557</v>
      </c>
      <c r="N93" s="157"/>
      <c r="O93" s="157">
        <v>62023.41</v>
      </c>
      <c r="P93" s="157"/>
      <c r="Q93" s="294"/>
      <c r="R93" s="294"/>
    </row>
    <row r="94" spans="1:19">
      <c r="A94" s="156" t="s">
        <v>558</v>
      </c>
      <c r="C94" s="157">
        <v>1106.79</v>
      </c>
      <c r="D94" s="157"/>
      <c r="E94" s="157" t="s">
        <v>559</v>
      </c>
      <c r="F94" s="157"/>
      <c r="G94" s="157">
        <v>1228.28</v>
      </c>
      <c r="H94" s="157"/>
      <c r="I94" s="157" t="s">
        <v>560</v>
      </c>
      <c r="J94" s="157"/>
      <c r="K94" s="157">
        <v>106235.53</v>
      </c>
      <c r="L94" s="157"/>
      <c r="M94" s="157" t="s">
        <v>691</v>
      </c>
      <c r="N94" s="157"/>
      <c r="O94" s="157">
        <v>281623.98</v>
      </c>
      <c r="Q94" s="294"/>
      <c r="R94" s="294"/>
    </row>
    <row r="95" spans="1:19" ht="23.15" customHeight="1">
      <c r="A95" s="156" t="s">
        <v>561</v>
      </c>
      <c r="C95" s="157">
        <v>3853.16</v>
      </c>
      <c r="D95" s="157"/>
      <c r="E95" s="156" t="s">
        <v>562</v>
      </c>
      <c r="G95" s="157">
        <v>3052.74</v>
      </c>
      <c r="H95" s="157"/>
      <c r="I95" s="156" t="s">
        <v>563</v>
      </c>
      <c r="K95" s="157">
        <v>18702.78</v>
      </c>
      <c r="L95" s="157"/>
      <c r="Q95" s="294"/>
      <c r="R95" s="294"/>
    </row>
    <row r="96" spans="1:19" ht="13">
      <c r="A96" s="156" t="s">
        <v>564</v>
      </c>
      <c r="C96" s="157">
        <v>61987.5</v>
      </c>
      <c r="D96" s="157"/>
      <c r="E96" s="156" t="s">
        <v>565</v>
      </c>
      <c r="G96" s="157">
        <v>13234.96</v>
      </c>
      <c r="H96" s="157"/>
      <c r="I96" s="156" t="s">
        <v>566</v>
      </c>
      <c r="K96" s="157">
        <v>12470.35</v>
      </c>
      <c r="L96" s="157"/>
      <c r="M96" s="296" t="s">
        <v>567</v>
      </c>
      <c r="N96" s="296"/>
      <c r="O96" s="297">
        <f>SUM(C59:C99,G59:G99,K59:K99,O59:O94)</f>
        <v>11029906.660000004</v>
      </c>
      <c r="Q96" s="294"/>
      <c r="R96" s="294"/>
    </row>
    <row r="97" spans="1:19" ht="13">
      <c r="A97" s="156" t="s">
        <v>568</v>
      </c>
      <c r="C97" s="157">
        <v>48153.61</v>
      </c>
      <c r="D97" s="157"/>
      <c r="E97" s="156" t="s">
        <v>569</v>
      </c>
      <c r="G97" s="157">
        <v>20748.080000000002</v>
      </c>
      <c r="H97" s="157"/>
      <c r="I97" s="156" t="s">
        <v>570</v>
      </c>
      <c r="K97" s="157">
        <v>5167.0200000000004</v>
      </c>
      <c r="L97" s="157"/>
      <c r="M97" s="296" t="s">
        <v>19</v>
      </c>
      <c r="N97" s="296"/>
      <c r="O97" s="297">
        <f>G51</f>
        <v>155725416.09000003</v>
      </c>
      <c r="Q97" s="300"/>
      <c r="R97" s="294"/>
    </row>
    <row r="98" spans="1:19" ht="13">
      <c r="A98" s="156" t="s">
        <v>571</v>
      </c>
      <c r="C98" s="157">
        <v>30447.26</v>
      </c>
      <c r="D98" s="157"/>
      <c r="E98" s="156" t="s">
        <v>572</v>
      </c>
      <c r="G98" s="157">
        <v>1562.25</v>
      </c>
      <c r="H98" s="157"/>
      <c r="I98" s="156" t="s">
        <v>573</v>
      </c>
      <c r="K98" s="157">
        <v>12738.09</v>
      </c>
      <c r="L98" s="157"/>
      <c r="M98" s="296" t="s">
        <v>24</v>
      </c>
      <c r="N98" s="296"/>
      <c r="O98" s="297">
        <f>K44</f>
        <v>109260009.68999998</v>
      </c>
      <c r="Q98" s="294"/>
      <c r="R98" s="294"/>
    </row>
    <row r="99" spans="1:19">
      <c r="A99" s="156" t="s">
        <v>574</v>
      </c>
      <c r="C99" s="301">
        <v>133964.04999999999</v>
      </c>
      <c r="D99" s="157"/>
      <c r="E99" s="156" t="s">
        <v>575</v>
      </c>
      <c r="G99" s="157">
        <v>50262.400000000001</v>
      </c>
      <c r="I99" s="156" t="s">
        <v>576</v>
      </c>
      <c r="K99" s="157">
        <v>129048.21</v>
      </c>
      <c r="L99" s="157"/>
      <c r="O99" s="157"/>
      <c r="Q99" s="294"/>
      <c r="R99" s="294"/>
    </row>
    <row r="100" spans="1:19" ht="13">
      <c r="C100" s="157"/>
      <c r="D100" s="157"/>
      <c r="G100" s="157"/>
      <c r="H100" s="157"/>
      <c r="K100" s="157"/>
      <c r="L100" s="157"/>
      <c r="M100" s="296" t="s">
        <v>25</v>
      </c>
      <c r="N100" s="296"/>
      <c r="O100" s="297">
        <f>SUM(O96:O98)</f>
        <v>276015332.44</v>
      </c>
      <c r="Q100" s="294"/>
      <c r="R100" s="294"/>
    </row>
    <row r="101" spans="1:19" ht="3" customHeight="1">
      <c r="C101" s="157"/>
      <c r="D101" s="157"/>
      <c r="G101" s="157"/>
      <c r="H101" s="157"/>
      <c r="K101" s="157"/>
      <c r="L101" s="157"/>
      <c r="M101" s="298"/>
      <c r="N101" s="298"/>
      <c r="O101" s="535"/>
      <c r="Q101" s="294"/>
      <c r="R101" s="294"/>
    </row>
    <row r="102" spans="1:19" s="1204" customFormat="1" ht="11.5">
      <c r="A102" s="1204" t="s">
        <v>1</v>
      </c>
      <c r="C102" s="1208"/>
      <c r="D102" s="1208"/>
      <c r="E102" s="1209"/>
      <c r="F102" s="1209"/>
      <c r="G102" s="1208"/>
      <c r="H102" s="1208"/>
      <c r="I102" s="1209"/>
      <c r="J102" s="1209"/>
      <c r="K102" s="1208"/>
      <c r="L102" s="1210"/>
      <c r="Q102" s="1205"/>
      <c r="R102" s="1205"/>
    </row>
    <row r="103" spans="1:19" s="1204" customFormat="1" ht="27" customHeight="1">
      <c r="A103" s="1647" t="s">
        <v>1387</v>
      </c>
      <c r="B103" s="1647"/>
      <c r="C103" s="1647"/>
      <c r="D103" s="1647"/>
      <c r="E103" s="1647"/>
      <c r="F103" s="1647"/>
      <c r="G103" s="1647"/>
      <c r="H103" s="1647"/>
      <c r="I103" s="1647"/>
      <c r="J103" s="1647"/>
      <c r="K103" s="1647"/>
      <c r="L103" s="1647"/>
      <c r="M103" s="1647"/>
      <c r="N103" s="1647"/>
      <c r="O103" s="1647"/>
      <c r="Q103" s="1205"/>
      <c r="R103" s="1205"/>
    </row>
    <row r="104" spans="1:19" s="1204" customFormat="1" ht="27" customHeight="1">
      <c r="A104" s="1646" t="s">
        <v>1222</v>
      </c>
      <c r="B104" s="1646"/>
      <c r="C104" s="1646"/>
      <c r="D104" s="1646"/>
      <c r="E104" s="1646"/>
      <c r="F104" s="1646"/>
      <c r="G104" s="1646"/>
      <c r="H104" s="1646"/>
      <c r="I104" s="1646"/>
      <c r="J104" s="1646"/>
      <c r="K104" s="1646"/>
      <c r="L104" s="1646"/>
      <c r="M104" s="1646"/>
      <c r="N104" s="1646"/>
      <c r="O104" s="1646"/>
      <c r="Q104" s="1205"/>
      <c r="R104" s="1205"/>
    </row>
    <row r="105" spans="1:19" s="1204" customFormat="1" ht="15" customHeight="1">
      <c r="A105" s="1206" t="s">
        <v>1339</v>
      </c>
      <c r="B105" s="1206"/>
      <c r="Q105" s="1207"/>
    </row>
    <row r="106" spans="1:19" s="536" customFormat="1" ht="13">
      <c r="A106" s="744" t="s">
        <v>925</v>
      </c>
      <c r="B106" s="744"/>
      <c r="Q106" s="537"/>
    </row>
    <row r="107" spans="1:19" s="536" customFormat="1" ht="13">
      <c r="A107" s="156"/>
      <c r="B107" s="156"/>
      <c r="C107" s="156"/>
      <c r="D107" s="156"/>
      <c r="E107" s="156"/>
      <c r="F107" s="156"/>
      <c r="G107" s="156"/>
      <c r="H107" s="156"/>
      <c r="I107" s="156"/>
      <c r="J107" s="156"/>
      <c r="K107" s="156"/>
      <c r="L107" s="156"/>
      <c r="M107" s="156"/>
      <c r="N107" s="156"/>
      <c r="O107" s="156"/>
      <c r="P107" s="156"/>
      <c r="Q107" s="156"/>
      <c r="R107" s="156"/>
      <c r="S107" s="156"/>
    </row>
  </sheetData>
  <customSheetViews>
    <customSheetView guid="{E6BBE5A7-0B25-4EE8-BA45-5EA5DBAF3AD4}" showPageBreaks="1" printArea="1" topLeftCell="D1">
      <selection activeCell="E31" sqref="E31"/>
      <rowBreaks count="1" manualBreakCount="1">
        <brk id="52" max="16383" man="1"/>
      </rowBreaks>
      <pageMargins left="0.5" right="0.5" top="0.5" bottom="0.25" header="0.5" footer="0.5"/>
      <printOptions horizontalCentered="1"/>
      <pageSetup scale="63" orientation="landscape" r:id="rId1"/>
      <headerFooter alignWithMargins="0"/>
    </customSheetView>
  </customSheetViews>
  <mergeCells count="2">
    <mergeCell ref="A104:O104"/>
    <mergeCell ref="A103:O103"/>
  </mergeCells>
  <hyperlinks>
    <hyperlink ref="R1" location="TOC!A1" display="Back" xr:uid="{00000000-0004-0000-1A00-000000000000}"/>
  </hyperlinks>
  <pageMargins left="0.65" right="0.25" top="0.3" bottom="0.25" header="0.25" footer="0.25"/>
  <pageSetup scale="75" fitToHeight="2" orientation="landscape" r:id="rId2"/>
  <headerFooter scaleWithDoc="0">
    <oddHeader>&amp;R&amp;P</oddHeader>
  </headerFooter>
  <rowBreaks count="1" manualBreakCount="1">
    <brk id="54" max="11"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L45"/>
  <sheetViews>
    <sheetView workbookViewId="0"/>
  </sheetViews>
  <sheetFormatPr defaultColWidth="9.1796875" defaultRowHeight="12.5"/>
  <cols>
    <col min="1" max="1" width="23.1796875" style="20" customWidth="1"/>
    <col min="2" max="2" width="10.6328125" style="20" customWidth="1"/>
    <col min="3" max="3" width="16.6328125" style="20" customWidth="1"/>
    <col min="4" max="4" width="12.6328125" style="20" customWidth="1"/>
    <col min="5" max="5" width="10.6328125" style="20" customWidth="1"/>
    <col min="6" max="6" width="1.7265625" style="20" customWidth="1"/>
    <col min="7" max="7" width="10.6328125" style="20" customWidth="1"/>
    <col min="8" max="8" width="16.6328125" style="20" customWidth="1"/>
    <col min="9" max="9" width="12.6328125" style="20" customWidth="1"/>
    <col min="10" max="10" width="10.6328125" style="20" customWidth="1"/>
    <col min="11" max="11" width="2.6328125" style="20" customWidth="1"/>
    <col min="12" max="16384" width="9.1796875" style="20"/>
  </cols>
  <sheetData>
    <row r="1" spans="1:12" ht="18">
      <c r="A1" s="338" t="s">
        <v>706</v>
      </c>
      <c r="B1" s="18"/>
      <c r="C1" s="18"/>
      <c r="D1" s="18"/>
      <c r="E1" s="19"/>
      <c r="F1" s="19"/>
      <c r="L1" s="811" t="s">
        <v>954</v>
      </c>
    </row>
    <row r="2" spans="1:12" ht="15.5">
      <c r="A2" s="17" t="s">
        <v>993</v>
      </c>
      <c r="B2" s="18"/>
      <c r="C2" s="18"/>
      <c r="D2" s="18"/>
      <c r="E2" s="19"/>
      <c r="F2" s="19"/>
    </row>
    <row r="3" spans="1:12">
      <c r="A3" s="158" t="s">
        <v>1294</v>
      </c>
      <c r="B3" s="215"/>
      <c r="C3" s="215"/>
      <c r="D3" s="215"/>
      <c r="E3" s="216"/>
      <c r="F3" s="216"/>
    </row>
    <row r="4" spans="1:12" ht="9" customHeight="1" thickBot="1">
      <c r="A4" s="221"/>
      <c r="B4" s="215"/>
      <c r="C4" s="215"/>
      <c r="D4" s="215"/>
      <c r="E4" s="216"/>
      <c r="F4" s="216"/>
    </row>
    <row r="5" spans="1:12" ht="13.9" customHeight="1">
      <c r="A5" s="794"/>
      <c r="B5" s="906" t="s">
        <v>994</v>
      </c>
      <c r="C5" s="906"/>
      <c r="D5" s="906"/>
      <c r="E5" s="923"/>
      <c r="F5" s="924"/>
      <c r="G5" s="925" t="s">
        <v>995</v>
      </c>
      <c r="H5" s="906"/>
      <c r="I5" s="906"/>
      <c r="J5" s="907"/>
    </row>
    <row r="6" spans="1:12" ht="6" customHeight="1">
      <c r="A6" s="795"/>
      <c r="B6" s="908"/>
      <c r="C6" s="908"/>
      <c r="D6" s="908"/>
      <c r="E6" s="926"/>
      <c r="F6" s="927"/>
      <c r="G6" s="928"/>
      <c r="H6" s="908"/>
      <c r="I6" s="908"/>
      <c r="J6" s="909"/>
    </row>
    <row r="7" spans="1:12" ht="26">
      <c r="A7" s="910" t="s">
        <v>996</v>
      </c>
      <c r="B7" s="911" t="s">
        <v>226</v>
      </c>
      <c r="C7" s="912" t="s">
        <v>997</v>
      </c>
      <c r="D7" s="912" t="s">
        <v>998</v>
      </c>
      <c r="E7" s="929" t="s">
        <v>999</v>
      </c>
      <c r="F7" s="931"/>
      <c r="G7" s="930" t="s">
        <v>226</v>
      </c>
      <c r="H7" s="912" t="s">
        <v>997</v>
      </c>
      <c r="I7" s="912" t="s">
        <v>998</v>
      </c>
      <c r="J7" s="913" t="s">
        <v>999</v>
      </c>
    </row>
    <row r="8" spans="1:12" ht="21" customHeight="1">
      <c r="A8" s="796" t="s">
        <v>707</v>
      </c>
      <c r="B8" s="219">
        <v>488</v>
      </c>
      <c r="C8" s="220">
        <v>746297</v>
      </c>
      <c r="D8" s="220">
        <v>2224813</v>
      </c>
      <c r="E8" s="1546">
        <f t="shared" ref="E8:E15" si="0">D8/$D$18</f>
        <v>3.5664419796394469E-3</v>
      </c>
      <c r="F8" s="931"/>
      <c r="G8" s="932">
        <v>1878</v>
      </c>
      <c r="H8" s="220">
        <v>1059495.3799999999</v>
      </c>
      <c r="I8" s="220">
        <v>-190.6</v>
      </c>
      <c r="J8" s="1547">
        <f>I8/$I$18</f>
        <v>-5.291576224925367E-6</v>
      </c>
    </row>
    <row r="9" spans="1:12" s="917" customFormat="1" ht="14" customHeight="1">
      <c r="A9" s="1212" t="s">
        <v>31</v>
      </c>
      <c r="B9" s="1213">
        <v>44</v>
      </c>
      <c r="C9" s="1214">
        <v>1612918</v>
      </c>
      <c r="D9" s="1213">
        <v>36287</v>
      </c>
      <c r="E9" s="1548">
        <f t="shared" si="0"/>
        <v>5.816914954882797E-5</v>
      </c>
      <c r="F9" s="1215"/>
      <c r="G9" s="1216">
        <v>49</v>
      </c>
      <c r="H9" s="1214">
        <v>1783612.53</v>
      </c>
      <c r="I9" s="1213">
        <v>40131.15</v>
      </c>
      <c r="J9" s="1549">
        <f t="shared" ref="J9:J15" si="1">I9/$I$18</f>
        <v>1.1141502582314464E-3</v>
      </c>
    </row>
    <row r="10" spans="1:12" s="917" customFormat="1" ht="14" customHeight="1">
      <c r="A10" s="1212" t="s">
        <v>32</v>
      </c>
      <c r="B10" s="1213">
        <v>44</v>
      </c>
      <c r="C10" s="1214">
        <v>3158155</v>
      </c>
      <c r="D10" s="1213">
        <v>68780</v>
      </c>
      <c r="E10" s="1548">
        <f t="shared" si="0"/>
        <v>1.1025640328405181E-4</v>
      </c>
      <c r="F10" s="1215"/>
      <c r="G10" s="1216">
        <v>59</v>
      </c>
      <c r="H10" s="1214">
        <v>4252088.51</v>
      </c>
      <c r="I10" s="1213">
        <v>95671.67</v>
      </c>
      <c r="J10" s="1549">
        <f t="shared" si="1"/>
        <v>2.6561066861012883E-3</v>
      </c>
    </row>
    <row r="11" spans="1:12" s="917" customFormat="1" ht="14" customHeight="1">
      <c r="A11" s="1212" t="s">
        <v>33</v>
      </c>
      <c r="B11" s="1213">
        <v>129</v>
      </c>
      <c r="C11" s="1214">
        <v>34099690</v>
      </c>
      <c r="D11" s="1213">
        <v>755386</v>
      </c>
      <c r="E11" s="1548">
        <f t="shared" si="0"/>
        <v>1.2109064183065826E-3</v>
      </c>
      <c r="F11" s="1215"/>
      <c r="G11" s="1216">
        <v>135</v>
      </c>
      <c r="H11" s="1214">
        <v>33440366.120000001</v>
      </c>
      <c r="I11" s="1213">
        <v>752407.92</v>
      </c>
      <c r="J11" s="1549">
        <f t="shared" si="1"/>
        <v>2.0888897486450935E-2</v>
      </c>
    </row>
    <row r="12" spans="1:12" s="917" customFormat="1" ht="14" customHeight="1">
      <c r="A12" s="1212" t="s">
        <v>34</v>
      </c>
      <c r="B12" s="1213">
        <v>94</v>
      </c>
      <c r="C12" s="1214">
        <v>70972476</v>
      </c>
      <c r="D12" s="1213">
        <v>1577979</v>
      </c>
      <c r="E12" s="1548">
        <f t="shared" si="0"/>
        <v>2.5295476737098688E-3</v>
      </c>
      <c r="F12" s="1215"/>
      <c r="G12" s="1216">
        <v>55</v>
      </c>
      <c r="H12" s="1214">
        <v>40814015.509999998</v>
      </c>
      <c r="I12" s="1213">
        <v>918315.03</v>
      </c>
      <c r="J12" s="1549">
        <f t="shared" si="1"/>
        <v>2.5494931688035811E-2</v>
      </c>
    </row>
    <row r="13" spans="1:12" s="917" customFormat="1" ht="14" customHeight="1">
      <c r="A13" s="1212" t="s">
        <v>35</v>
      </c>
      <c r="B13" s="1213">
        <v>100</v>
      </c>
      <c r="C13" s="1214">
        <v>141533851</v>
      </c>
      <c r="D13" s="1213">
        <v>3196755</v>
      </c>
      <c r="E13" s="1548">
        <f t="shared" si="0"/>
        <v>5.1244941622609627E-3</v>
      </c>
      <c r="F13" s="1215"/>
      <c r="G13" s="1216">
        <v>43</v>
      </c>
      <c r="H13" s="1214">
        <v>62787444.469999999</v>
      </c>
      <c r="I13" s="1213">
        <v>1412717.14</v>
      </c>
      <c r="J13" s="1549">
        <f t="shared" si="1"/>
        <v>3.9220883686088989E-2</v>
      </c>
    </row>
    <row r="14" spans="1:12" s="917" customFormat="1" ht="14" customHeight="1">
      <c r="A14" s="1212" t="s">
        <v>36</v>
      </c>
      <c r="B14" s="1213">
        <v>268</v>
      </c>
      <c r="C14" s="1214">
        <v>1364629362</v>
      </c>
      <c r="D14" s="1213">
        <v>30356761</v>
      </c>
      <c r="E14" s="1548">
        <f t="shared" si="0"/>
        <v>4.866279853465507E-2</v>
      </c>
      <c r="F14" s="1215"/>
      <c r="G14" s="1216">
        <v>52</v>
      </c>
      <c r="H14" s="1214">
        <v>245399167.50999999</v>
      </c>
      <c r="I14" s="1213">
        <v>5521481.8499999996</v>
      </c>
      <c r="J14" s="1549">
        <f t="shared" si="1"/>
        <v>0.15329140652579712</v>
      </c>
    </row>
    <row r="15" spans="1:12" ht="21" customHeight="1">
      <c r="A15" s="918" t="s">
        <v>37</v>
      </c>
      <c r="B15" s="919">
        <v>346</v>
      </c>
      <c r="C15" s="920">
        <v>26374687712</v>
      </c>
      <c r="D15" s="919">
        <v>593536424.76999998</v>
      </c>
      <c r="E15" s="1550">
        <f t="shared" si="0"/>
        <v>0.9514566939984791</v>
      </c>
      <c r="F15" s="933"/>
      <c r="G15" s="934">
        <v>26</v>
      </c>
      <c r="H15" s="920">
        <v>1212809635.0699999</v>
      </c>
      <c r="I15" s="919">
        <v>27288216.789999999</v>
      </c>
      <c r="J15" s="1551">
        <f t="shared" si="1"/>
        <v>0.75759537873333271</v>
      </c>
    </row>
    <row r="16" spans="1:12" s="917" customFormat="1" ht="14" customHeight="1">
      <c r="A16" s="921" t="s">
        <v>38</v>
      </c>
      <c r="B16" s="1513">
        <f>SUM(B8:B15)</f>
        <v>1513</v>
      </c>
      <c r="C16" s="1515">
        <f>SUM(C8:C15)</f>
        <v>27991440461</v>
      </c>
      <c r="D16" s="1515">
        <f>SUM(D8:D15)</f>
        <v>631753185.76999998</v>
      </c>
      <c r="E16" s="1552">
        <f>SUM(E8:E15)</f>
        <v>1.012719308319884</v>
      </c>
      <c r="F16" s="1215"/>
      <c r="G16" s="1553">
        <f>SUM(G8:G15)</f>
        <v>2297</v>
      </c>
      <c r="H16" s="1515">
        <f>SUM(H8:H15)</f>
        <v>1602345825.0999999</v>
      </c>
      <c r="I16" s="1515">
        <f>SUM(I8:I15)</f>
        <v>36028750.950000003</v>
      </c>
      <c r="J16" s="1554">
        <f>SUM(J8:J15)</f>
        <v>1.0002564634878133</v>
      </c>
    </row>
    <row r="17" spans="1:11" s="917" customFormat="1" ht="25" customHeight="1">
      <c r="A17" s="914" t="s">
        <v>39</v>
      </c>
      <c r="B17" s="915">
        <v>-10</v>
      </c>
      <c r="C17" s="916">
        <v>-162075026</v>
      </c>
      <c r="D17" s="916">
        <v>-7934541.6699998397</v>
      </c>
      <c r="E17" s="1548">
        <f>D17/$D$18</f>
        <v>-1.2719308319883924E-2</v>
      </c>
      <c r="F17" s="933"/>
      <c r="G17" s="935">
        <v>-9</v>
      </c>
      <c r="H17" s="916">
        <v>-400299.50999975199</v>
      </c>
      <c r="I17" s="916">
        <v>-9237.69000000507</v>
      </c>
      <c r="J17" s="1549">
        <f>I17/$I$18</f>
        <v>-2.5646348781352386E-4</v>
      </c>
    </row>
    <row r="18" spans="1:11" s="917" customFormat="1" ht="14" customHeight="1" thickBot="1">
      <c r="A18" s="922" t="s">
        <v>709</v>
      </c>
      <c r="B18" s="1555">
        <f>SUM(B16,B17)</f>
        <v>1503</v>
      </c>
      <c r="C18" s="1556">
        <f>SUM(C16,C17)</f>
        <v>27829365435</v>
      </c>
      <c r="D18" s="1556">
        <f>SUM(D16,D17)</f>
        <v>623818644.10000014</v>
      </c>
      <c r="E18" s="1557">
        <f>SUM(E16,E17)</f>
        <v>1</v>
      </c>
      <c r="F18" s="1558"/>
      <c r="G18" s="1559">
        <f>SUM(G16,G17)</f>
        <v>2288</v>
      </c>
      <c r="H18" s="1556">
        <f>SUM(H16,H17)</f>
        <v>1601945525.5900002</v>
      </c>
      <c r="I18" s="1556">
        <f>SUM(I16,I17)</f>
        <v>36019513.259999998</v>
      </c>
      <c r="J18" s="1560">
        <f>SUM(J16,J17)</f>
        <v>0.99999999999999978</v>
      </c>
    </row>
    <row r="19" spans="1:11" ht="14" customHeight="1" thickTop="1">
      <c r="A19" s="202"/>
      <c r="B19" s="24"/>
      <c r="C19" s="24"/>
      <c r="D19" s="24"/>
      <c r="E19" s="25"/>
      <c r="F19" s="25"/>
    </row>
    <row r="20" spans="1:11" ht="14" customHeight="1">
      <c r="A20" s="202"/>
      <c r="B20" s="24"/>
      <c r="C20" s="24"/>
      <c r="D20" s="24"/>
      <c r="E20" s="25"/>
      <c r="F20" s="25"/>
    </row>
    <row r="21" spans="1:11" ht="15.5">
      <c r="A21" s="603" t="s">
        <v>1296</v>
      </c>
      <c r="B21" s="24"/>
      <c r="C21" s="24"/>
      <c r="D21" s="24"/>
      <c r="E21" s="530"/>
    </row>
    <row r="22" spans="1:11" ht="5" customHeight="1" thickBot="1">
      <c r="A22" s="604"/>
      <c r="B22" s="214"/>
      <c r="C22" s="214"/>
      <c r="D22" s="214"/>
      <c r="E22" s="533"/>
    </row>
    <row r="23" spans="1:11" ht="14" customHeight="1">
      <c r="A23" s="797" t="s">
        <v>716</v>
      </c>
      <c r="B23" s="605"/>
      <c r="C23" s="605" t="s">
        <v>226</v>
      </c>
      <c r="D23" s="606" t="s">
        <v>715</v>
      </c>
      <c r="E23" s="531"/>
    </row>
    <row r="24" spans="1:11" ht="14" customHeight="1">
      <c r="A24" s="361" t="s">
        <v>228</v>
      </c>
      <c r="B24" s="214"/>
      <c r="C24" s="1385">
        <v>32</v>
      </c>
      <c r="D24" s="1047">
        <v>55329616.25</v>
      </c>
      <c r="E24" s="532"/>
      <c r="F24" s="25"/>
    </row>
    <row r="25" spans="1:11" ht="14" customHeight="1">
      <c r="A25" s="361" t="s">
        <v>1245</v>
      </c>
      <c r="B25" s="214"/>
      <c r="C25" s="1385">
        <v>642</v>
      </c>
      <c r="D25" s="365">
        <v>15580375.010000005</v>
      </c>
      <c r="E25" s="530"/>
      <c r="F25" s="25"/>
    </row>
    <row r="26" spans="1:11" ht="14" customHeight="1">
      <c r="A26" s="361" t="s">
        <v>1248</v>
      </c>
      <c r="B26" s="214"/>
      <c r="C26" s="1385">
        <v>14</v>
      </c>
      <c r="D26" s="365">
        <v>7134416</v>
      </c>
      <c r="E26" s="530"/>
      <c r="F26" s="25"/>
    </row>
    <row r="27" spans="1:11" ht="14" customHeight="1">
      <c r="A27" s="361" t="s">
        <v>719</v>
      </c>
      <c r="B27" s="214"/>
      <c r="C27" s="1385">
        <v>3</v>
      </c>
      <c r="D27" s="365">
        <v>227500</v>
      </c>
      <c r="E27" s="530"/>
      <c r="F27" s="25"/>
    </row>
    <row r="28" spans="1:11" ht="14" customHeight="1">
      <c r="A28" s="361" t="s">
        <v>281</v>
      </c>
      <c r="B28" s="214"/>
      <c r="C28" s="1385">
        <v>1</v>
      </c>
      <c r="D28" s="365">
        <v>64000</v>
      </c>
      <c r="E28" s="530"/>
      <c r="F28" s="25"/>
    </row>
    <row r="29" spans="1:11" ht="10" customHeight="1">
      <c r="A29" s="364"/>
      <c r="B29" s="214"/>
      <c r="C29" s="344"/>
      <c r="D29" s="365"/>
      <c r="E29" s="345"/>
      <c r="F29" s="25"/>
    </row>
    <row r="30" spans="1:11" s="1211" customFormat="1" ht="11" customHeight="1">
      <c r="A30" s="1253" t="s">
        <v>1</v>
      </c>
      <c r="B30" s="1254"/>
      <c r="C30" s="1255"/>
      <c r="D30" s="1255"/>
      <c r="E30" s="1256"/>
      <c r="F30" s="1256"/>
      <c r="G30" s="1257"/>
      <c r="H30" s="1257"/>
      <c r="I30" s="1257"/>
      <c r="J30" s="1257"/>
      <c r="K30" s="1257"/>
    </row>
    <row r="31" spans="1:11" s="1211" customFormat="1" ht="11" customHeight="1">
      <c r="A31" s="1649" t="s">
        <v>1243</v>
      </c>
      <c r="B31" s="1643"/>
      <c r="C31" s="1643"/>
      <c r="D31" s="1643"/>
      <c r="E31" s="1643"/>
      <c r="F31" s="1643"/>
      <c r="G31" s="1643"/>
      <c r="H31" s="1643"/>
      <c r="I31" s="1643"/>
      <c r="J31" s="1643"/>
      <c r="K31" s="1650"/>
    </row>
    <row r="32" spans="1:11" s="1211" customFormat="1" ht="26" customHeight="1">
      <c r="A32" s="1649" t="s">
        <v>1223</v>
      </c>
      <c r="B32" s="1643"/>
      <c r="C32" s="1643"/>
      <c r="D32" s="1643"/>
      <c r="E32" s="1643"/>
      <c r="F32" s="1643"/>
      <c r="G32" s="1643"/>
      <c r="H32" s="1643"/>
      <c r="I32" s="1643"/>
      <c r="J32" s="1643"/>
      <c r="K32" s="1650"/>
    </row>
    <row r="33" spans="1:11" s="1211" customFormat="1" ht="36" customHeight="1">
      <c r="A33" s="1649" t="s">
        <v>1218</v>
      </c>
      <c r="B33" s="1643"/>
      <c r="C33" s="1643"/>
      <c r="D33" s="1643"/>
      <c r="E33" s="1643"/>
      <c r="F33" s="1643"/>
      <c r="G33" s="1643"/>
      <c r="H33" s="1643"/>
      <c r="I33" s="1643"/>
      <c r="J33" s="1643"/>
      <c r="K33" s="1650"/>
    </row>
    <row r="34" spans="1:11" s="1211" customFormat="1" ht="11" customHeight="1">
      <c r="A34" s="1258" t="s">
        <v>711</v>
      </c>
      <c r="B34" s="1259"/>
      <c r="C34" s="1259"/>
      <c r="D34" s="1259"/>
      <c r="E34" s="1260"/>
      <c r="F34" s="1260"/>
      <c r="G34" s="1259"/>
      <c r="H34" s="1259"/>
      <c r="I34" s="1260"/>
      <c r="J34" s="1261"/>
      <c r="K34" s="1257"/>
    </row>
    <row r="35" spans="1:11" s="1211" customFormat="1" ht="11" customHeight="1">
      <c r="A35" s="1262" t="s">
        <v>712</v>
      </c>
      <c r="B35" s="1259"/>
      <c r="C35" s="1259"/>
      <c r="D35" s="1259"/>
      <c r="E35" s="1260"/>
      <c r="F35" s="1260"/>
      <c r="G35" s="1259"/>
      <c r="H35" s="1259"/>
      <c r="I35" s="1260"/>
      <c r="J35" s="1261"/>
      <c r="K35" s="1257"/>
    </row>
    <row r="36" spans="1:11" s="1211" customFormat="1" ht="11" customHeight="1">
      <c r="A36" s="1262" t="s">
        <v>713</v>
      </c>
      <c r="B36" s="1259"/>
      <c r="C36" s="1259"/>
      <c r="D36" s="1259"/>
      <c r="E36" s="1260"/>
      <c r="F36" s="1260"/>
      <c r="G36" s="1259"/>
      <c r="H36" s="1259"/>
      <c r="I36" s="1260"/>
      <c r="J36" s="1259"/>
      <c r="K36" s="1257"/>
    </row>
    <row r="37" spans="1:11" s="1211" customFormat="1" ht="11" customHeight="1">
      <c r="A37" s="1440" t="s">
        <v>1295</v>
      </c>
      <c r="B37" s="1186"/>
      <c r="C37" s="1186"/>
      <c r="D37" s="1186"/>
      <c r="E37" s="1186"/>
      <c r="F37" s="1186"/>
      <c r="G37" s="1186"/>
      <c r="H37" s="1186"/>
      <c r="I37" s="1186"/>
      <c r="J37" s="1186"/>
      <c r="K37" s="1384"/>
    </row>
    <row r="38" spans="1:11" s="534" customFormat="1" ht="11" customHeight="1">
      <c r="A38" s="745" t="s">
        <v>960</v>
      </c>
      <c r="B38" s="668"/>
      <c r="C38" s="668"/>
      <c r="D38" s="668"/>
      <c r="E38" s="667"/>
      <c r="F38" s="667"/>
      <c r="G38" s="667"/>
      <c r="H38" s="667"/>
      <c r="I38" s="667"/>
      <c r="J38" s="667"/>
      <c r="K38" s="667"/>
    </row>
    <row r="39" spans="1:11" s="534" customFormat="1" ht="13">
      <c r="A39" s="158"/>
      <c r="B39" s="215"/>
      <c r="C39" s="215"/>
      <c r="D39" s="215"/>
      <c r="E39" s="216"/>
      <c r="F39" s="216"/>
      <c r="G39" s="20"/>
      <c r="H39" s="20"/>
      <c r="I39" s="20"/>
      <c r="J39" s="20"/>
      <c r="K39" s="20"/>
    </row>
    <row r="40" spans="1:11" s="667" customFormat="1" ht="12.75" customHeight="1">
      <c r="A40" s="1648"/>
      <c r="B40" s="1648"/>
      <c r="C40" s="1648"/>
      <c r="D40" s="1648"/>
      <c r="E40" s="1648"/>
      <c r="F40" s="1648"/>
      <c r="G40" s="20"/>
      <c r="H40" s="20"/>
      <c r="I40" s="20"/>
      <c r="J40" s="20"/>
      <c r="K40" s="20"/>
    </row>
    <row r="41" spans="1:11">
      <c r="A41" s="1648"/>
      <c r="B41" s="1648"/>
      <c r="C41" s="1648"/>
      <c r="D41" s="1648"/>
      <c r="E41" s="1648"/>
      <c r="F41" s="1648"/>
    </row>
    <row r="44" spans="1:11" s="1434" customFormat="1" ht="11" customHeight="1">
      <c r="A44" s="1430"/>
      <c r="B44" s="1431"/>
      <c r="C44" s="1432"/>
      <c r="D44" s="1432"/>
      <c r="E44" s="1433"/>
      <c r="F44" s="1433"/>
    </row>
    <row r="45" spans="1:11" s="1434" customFormat="1">
      <c r="A45" s="1435"/>
      <c r="B45" s="1436"/>
      <c r="C45" s="1436"/>
      <c r="D45" s="1436"/>
      <c r="E45" s="1436"/>
      <c r="F45" s="1436"/>
      <c r="G45" s="1436"/>
      <c r="H45" s="1436"/>
      <c r="I45" s="1436"/>
      <c r="J45" s="1436"/>
      <c r="K45" s="343"/>
    </row>
  </sheetData>
  <mergeCells count="5">
    <mergeCell ref="A40:F40"/>
    <mergeCell ref="A41:F41"/>
    <mergeCell ref="A32:K32"/>
    <mergeCell ref="A33:K33"/>
    <mergeCell ref="A31:K31"/>
  </mergeCells>
  <hyperlinks>
    <hyperlink ref="L1" location="TOC!A1" display="Back" xr:uid="{00000000-0004-0000-1B00-000000000000}"/>
  </hyperlinks>
  <pageMargins left="0.5" right="0.25" top="0.5" bottom="0.25" header="0.25" footer="0"/>
  <pageSetup orientation="landscape" r:id="rId1"/>
  <headerFooter scaleWithDoc="0">
    <oddHeader>&amp;R&amp;P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IE111"/>
  <sheetViews>
    <sheetView zoomScale="85" zoomScaleNormal="85" workbookViewId="0"/>
  </sheetViews>
  <sheetFormatPr defaultColWidth="12.453125" defaultRowHeight="12.5"/>
  <cols>
    <col min="1" max="1" width="38.453125" style="8" customWidth="1"/>
    <col min="2" max="10" width="0.54296875" style="8" customWidth="1"/>
    <col min="11" max="12" width="20.1796875" style="8" customWidth="1"/>
    <col min="13" max="13" width="1.7265625" style="8" customWidth="1"/>
    <col min="14" max="14" width="12.453125" style="8" customWidth="1"/>
    <col min="15" max="16" width="0.54296875" style="8" customWidth="1"/>
    <col min="17" max="17" width="12.453125" style="570" customWidth="1"/>
    <col min="18" max="22" width="13.7265625" style="570" customWidth="1"/>
    <col min="23" max="23" width="7.453125" style="570" customWidth="1"/>
    <col min="24" max="25" width="13.7265625" style="379" customWidth="1"/>
    <col min="26" max="26" width="19.7265625" style="379" customWidth="1"/>
    <col min="27" max="29" width="17.54296875" style="379" bestFit="1" customWidth="1"/>
    <col min="30" max="30" width="33.7265625" style="379" customWidth="1"/>
    <col min="31" max="31" width="20.81640625" style="379" bestFit="1" customWidth="1"/>
    <col min="32" max="105" width="12.453125" style="379" customWidth="1"/>
    <col min="106" max="239" width="12.453125" style="8" customWidth="1"/>
  </cols>
  <sheetData>
    <row r="1" spans="1:237" ht="18.5">
      <c r="A1" s="44" t="s">
        <v>1368</v>
      </c>
      <c r="B1" s="6"/>
      <c r="C1" s="6"/>
      <c r="D1" s="6"/>
      <c r="E1" s="6"/>
      <c r="F1" s="6"/>
      <c r="G1" s="6"/>
      <c r="H1" s="6"/>
      <c r="I1" s="6"/>
      <c r="J1" s="6"/>
      <c r="K1" s="6"/>
      <c r="L1" s="6"/>
      <c r="M1" s="6"/>
      <c r="Q1" s="498"/>
      <c r="R1" s="343"/>
      <c r="S1" s="343"/>
      <c r="T1" s="343"/>
      <c r="U1" s="343"/>
      <c r="V1" s="343"/>
      <c r="W1" s="343"/>
      <c r="X1" s="811" t="s">
        <v>954</v>
      </c>
      <c r="Y1" s="372"/>
      <c r="Z1" s="372"/>
      <c r="AA1" s="372"/>
      <c r="AB1" s="372"/>
      <c r="AC1" s="372"/>
      <c r="AD1" s="372"/>
      <c r="AE1" s="372"/>
      <c r="AF1" s="372"/>
      <c r="AG1" s="372"/>
      <c r="AH1" s="372"/>
      <c r="AI1" s="372"/>
      <c r="AJ1" s="372"/>
      <c r="AK1" s="372"/>
      <c r="AL1" s="372"/>
      <c r="AM1" s="372"/>
      <c r="AN1" s="372"/>
      <c r="AO1" s="372"/>
      <c r="AP1" s="372"/>
      <c r="AQ1" s="372"/>
      <c r="AR1" s="372"/>
      <c r="AS1" s="372"/>
      <c r="AT1" s="372"/>
      <c r="AU1" s="372"/>
      <c r="AV1" s="372"/>
      <c r="AW1" s="372"/>
      <c r="AX1" s="372"/>
      <c r="AY1" s="372"/>
      <c r="AZ1" s="372"/>
      <c r="BA1" s="372"/>
      <c r="BB1" s="372"/>
      <c r="BC1" s="372"/>
      <c r="BD1" s="372"/>
      <c r="BE1" s="372"/>
      <c r="BF1" s="372"/>
      <c r="BG1" s="372"/>
      <c r="BH1" s="372"/>
      <c r="BI1" s="372"/>
      <c r="BJ1" s="372"/>
      <c r="BK1" s="372"/>
      <c r="BL1" s="372"/>
      <c r="BM1" s="372"/>
      <c r="BN1" s="372"/>
      <c r="BO1" s="372"/>
      <c r="BP1" s="372"/>
      <c r="BQ1" s="372"/>
      <c r="BR1" s="372"/>
      <c r="BS1" s="372"/>
      <c r="BT1" s="372"/>
      <c r="BU1" s="372"/>
      <c r="BV1" s="372"/>
      <c r="BW1" s="372"/>
      <c r="BX1" s="372"/>
      <c r="BY1" s="372"/>
      <c r="BZ1" s="372"/>
      <c r="CA1" s="372"/>
      <c r="CB1" s="372"/>
      <c r="CC1" s="372"/>
      <c r="CD1" s="372"/>
      <c r="CE1" s="372"/>
      <c r="CF1" s="372"/>
      <c r="CG1" s="372"/>
      <c r="CH1" s="372"/>
      <c r="CI1" s="372"/>
      <c r="CJ1" s="372"/>
      <c r="CK1" s="372"/>
      <c r="CL1" s="372"/>
      <c r="CM1" s="372"/>
      <c r="CN1" s="372"/>
      <c r="CO1" s="372"/>
      <c r="CP1" s="372"/>
      <c r="CQ1" s="372"/>
      <c r="CR1" s="372"/>
      <c r="CS1" s="372"/>
      <c r="CT1" s="372"/>
      <c r="CU1" s="372"/>
      <c r="CV1" s="372"/>
      <c r="CW1" s="372"/>
      <c r="CX1" s="372"/>
      <c r="CY1" s="372"/>
      <c r="CZ1" s="372"/>
      <c r="DA1" s="372"/>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row>
    <row r="2" spans="1:237" ht="15.5">
      <c r="A2" s="204"/>
      <c r="B2"/>
      <c r="C2"/>
      <c r="D2"/>
      <c r="E2"/>
      <c r="F2"/>
      <c r="G2"/>
      <c r="H2"/>
      <c r="I2"/>
      <c r="J2"/>
      <c r="K2"/>
      <c r="L2"/>
      <c r="M2"/>
      <c r="N2" s="2" t="str">
        <f>RIGHT(K3,4)&amp;"/"&amp;RIGHT(L3,4)</f>
        <v>2023/2024</v>
      </c>
      <c r="O2" s="2"/>
      <c r="P2" s="2"/>
      <c r="Q2" s="564"/>
      <c r="R2" s="499"/>
      <c r="S2" s="499"/>
      <c r="T2" s="499"/>
      <c r="U2" s="499"/>
      <c r="V2" s="499"/>
      <c r="W2" s="499"/>
      <c r="X2" s="372"/>
      <c r="Y2" s="372"/>
      <c r="Z2" s="372"/>
      <c r="AA2" s="372"/>
      <c r="AF2" s="372"/>
      <c r="AG2" s="372"/>
      <c r="AH2" s="372"/>
      <c r="AI2" s="372"/>
      <c r="AJ2" s="372"/>
      <c r="AK2" s="372"/>
      <c r="AL2" s="372"/>
      <c r="AM2" s="372"/>
      <c r="AN2" s="372"/>
      <c r="AO2" s="372"/>
      <c r="AP2" s="372"/>
      <c r="AQ2" s="372"/>
      <c r="AR2" s="372"/>
      <c r="AS2" s="372"/>
      <c r="AT2" s="372"/>
      <c r="AU2" s="372"/>
      <c r="AV2" s="372"/>
      <c r="AW2" s="372"/>
      <c r="AX2" s="372"/>
      <c r="AY2" s="372"/>
      <c r="AZ2" s="372"/>
      <c r="BA2" s="372"/>
      <c r="BB2" s="372"/>
      <c r="BC2" s="372"/>
      <c r="BD2" s="372"/>
      <c r="BE2" s="372"/>
      <c r="BF2" s="372"/>
      <c r="BG2" s="372"/>
      <c r="BH2" s="372"/>
      <c r="BI2" s="372"/>
      <c r="BJ2" s="372"/>
      <c r="BK2" s="372"/>
      <c r="BL2" s="372"/>
      <c r="BM2" s="372"/>
      <c r="BN2" s="372"/>
      <c r="BO2" s="372"/>
      <c r="BP2" s="372"/>
      <c r="BQ2" s="372"/>
      <c r="BR2" s="372"/>
      <c r="BS2" s="372"/>
      <c r="BT2" s="372"/>
      <c r="BU2" s="372"/>
      <c r="BV2" s="372"/>
      <c r="BW2" s="372"/>
      <c r="BX2" s="372"/>
      <c r="BY2" s="372"/>
      <c r="BZ2" s="372"/>
      <c r="CA2" s="372"/>
      <c r="CB2" s="372"/>
      <c r="CC2" s="372"/>
      <c r="CD2" s="372"/>
      <c r="CE2" s="372"/>
      <c r="CF2" s="372"/>
      <c r="CG2" s="372"/>
      <c r="CH2" s="372"/>
      <c r="CI2" s="372"/>
      <c r="CJ2" s="372"/>
      <c r="CK2" s="372"/>
      <c r="CL2" s="372"/>
      <c r="CM2" s="372"/>
      <c r="CN2" s="372"/>
      <c r="CO2" s="372"/>
      <c r="CP2" s="372"/>
      <c r="CQ2" s="372"/>
      <c r="CR2" s="372"/>
      <c r="CS2" s="372"/>
      <c r="CT2" s="372"/>
      <c r="CU2" s="372"/>
      <c r="CV2" s="372"/>
      <c r="CW2" s="372"/>
      <c r="CX2" s="372"/>
      <c r="CY2" s="372"/>
      <c r="CZ2" s="372"/>
      <c r="DA2" s="372"/>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row>
    <row r="3" spans="1:237" ht="14.15" customHeight="1">
      <c r="A3" s="206"/>
      <c r="B3" s="560">
        <v>2014</v>
      </c>
      <c r="C3" s="560" t="s">
        <v>881</v>
      </c>
      <c r="D3" s="560" t="s">
        <v>882</v>
      </c>
      <c r="E3" s="560" t="s">
        <v>883</v>
      </c>
      <c r="F3" s="560" t="s">
        <v>884</v>
      </c>
      <c r="G3" s="560" t="s">
        <v>885</v>
      </c>
      <c r="H3" s="1421" t="s">
        <v>886</v>
      </c>
      <c r="I3" s="560" t="s">
        <v>887</v>
      </c>
      <c r="J3" s="560" t="s">
        <v>1168</v>
      </c>
      <c r="K3" s="2" t="s">
        <v>1263</v>
      </c>
      <c r="L3" s="2" t="s">
        <v>1313</v>
      </c>
      <c r="M3"/>
      <c r="N3" s="9" t="s">
        <v>242</v>
      </c>
      <c r="O3" s="1304" t="s">
        <v>1237</v>
      </c>
      <c r="P3" s="1305" t="s">
        <v>1238</v>
      </c>
      <c r="Q3" s="564"/>
      <c r="R3" s="499"/>
      <c r="S3" s="499"/>
      <c r="T3" s="499"/>
      <c r="U3" s="499"/>
      <c r="V3" s="499"/>
      <c r="W3" s="499"/>
      <c r="X3" s="372"/>
      <c r="Y3" s="372"/>
      <c r="Z3" s="372"/>
      <c r="AA3" s="372"/>
      <c r="AF3" s="372"/>
      <c r="AG3" s="372"/>
      <c r="AH3" s="372"/>
      <c r="AI3" s="372"/>
      <c r="AJ3" s="372"/>
      <c r="AK3" s="372"/>
      <c r="AL3" s="372"/>
      <c r="AM3" s="372"/>
      <c r="AN3" s="372"/>
      <c r="AO3" s="372"/>
      <c r="AP3" s="372"/>
      <c r="AQ3" s="372"/>
      <c r="AR3" s="372"/>
      <c r="AS3" s="372"/>
      <c r="AT3" s="372"/>
      <c r="AU3" s="372"/>
      <c r="AV3" s="372"/>
      <c r="AW3" s="372"/>
      <c r="AX3" s="372"/>
      <c r="AY3" s="372"/>
      <c r="AZ3" s="372"/>
      <c r="BA3" s="372"/>
      <c r="BB3" s="372"/>
      <c r="BC3" s="372"/>
      <c r="BD3" s="372"/>
      <c r="BE3" s="372"/>
      <c r="BF3" s="372"/>
      <c r="BG3" s="372"/>
      <c r="BH3" s="372"/>
      <c r="BI3" s="372"/>
      <c r="BJ3" s="372"/>
      <c r="BK3" s="372"/>
      <c r="BL3" s="372"/>
      <c r="BM3" s="372"/>
      <c r="BN3" s="372"/>
      <c r="BO3" s="372"/>
      <c r="BP3" s="372"/>
      <c r="BQ3" s="372"/>
      <c r="BR3" s="372"/>
      <c r="BS3" s="372"/>
      <c r="BT3" s="372"/>
      <c r="BU3" s="372"/>
      <c r="BV3" s="372"/>
      <c r="BW3" s="372"/>
      <c r="BX3" s="372"/>
      <c r="BY3" s="372"/>
      <c r="BZ3" s="372"/>
      <c r="CA3" s="372"/>
      <c r="CB3" s="372"/>
      <c r="CC3" s="372"/>
      <c r="CD3" s="372"/>
      <c r="CE3" s="372"/>
      <c r="CF3" s="372"/>
      <c r="CG3" s="372"/>
      <c r="CH3" s="372"/>
      <c r="CI3" s="372"/>
      <c r="CJ3" s="372"/>
      <c r="CK3" s="372"/>
      <c r="CL3" s="372"/>
      <c r="CM3" s="372"/>
      <c r="CN3" s="372"/>
      <c r="CO3" s="372"/>
      <c r="CP3" s="372"/>
      <c r="CQ3" s="372"/>
      <c r="CR3" s="372"/>
      <c r="CS3" s="372"/>
      <c r="CT3" s="372"/>
      <c r="CU3" s="372"/>
      <c r="CV3" s="372"/>
      <c r="CW3" s="372"/>
      <c r="CX3" s="372"/>
      <c r="CY3" s="372"/>
      <c r="CZ3" s="372"/>
      <c r="DA3" s="372"/>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row>
    <row r="4" spans="1:237" ht="9.75" customHeight="1">
      <c r="A4"/>
      <c r="B4"/>
      <c r="C4"/>
      <c r="D4"/>
      <c r="E4"/>
      <c r="F4"/>
      <c r="G4"/>
      <c r="H4"/>
      <c r="I4"/>
      <c r="J4"/>
      <c r="K4"/>
      <c r="L4"/>
      <c r="M4"/>
      <c r="N4" s="10"/>
      <c r="O4" s="10"/>
      <c r="P4" s="10"/>
      <c r="Q4" s="565"/>
      <c r="R4" s="499"/>
      <c r="S4" s="499"/>
      <c r="T4" s="499"/>
      <c r="U4" s="499"/>
      <c r="V4" s="499"/>
      <c r="W4" s="499"/>
      <c r="X4" s="372"/>
      <c r="Y4" s="372"/>
      <c r="Z4" s="372"/>
      <c r="AA4" s="372"/>
      <c r="AB4" s="372"/>
      <c r="AC4" s="372"/>
      <c r="AD4" s="372"/>
      <c r="AE4" s="372"/>
      <c r="AF4" s="372"/>
      <c r="AG4" s="372"/>
      <c r="AH4" s="372"/>
      <c r="AI4" s="372"/>
      <c r="AJ4" s="372"/>
      <c r="AK4" s="372"/>
      <c r="AL4" s="372"/>
      <c r="AM4" s="372"/>
      <c r="AN4" s="372"/>
      <c r="AO4" s="372"/>
      <c r="AP4" s="372"/>
      <c r="AQ4" s="372"/>
      <c r="AR4" s="372"/>
      <c r="AS4" s="372"/>
      <c r="AT4" s="372"/>
      <c r="AU4" s="372"/>
      <c r="AV4" s="372"/>
      <c r="AW4" s="372"/>
      <c r="AX4" s="372"/>
      <c r="AY4" s="372"/>
      <c r="AZ4" s="372"/>
      <c r="BA4" s="372"/>
      <c r="BB4" s="372"/>
      <c r="BC4" s="372"/>
      <c r="BD4" s="372"/>
      <c r="BE4" s="372"/>
      <c r="BF4" s="372"/>
      <c r="BG4" s="372"/>
      <c r="BH4" s="372"/>
      <c r="BI4" s="372"/>
      <c r="BJ4" s="372"/>
      <c r="BK4" s="372"/>
      <c r="BL4" s="372"/>
      <c r="BM4" s="372"/>
      <c r="BN4" s="372"/>
      <c r="BO4" s="372"/>
      <c r="BP4" s="372"/>
      <c r="BQ4" s="372"/>
      <c r="BR4" s="372"/>
      <c r="BS4" s="372"/>
      <c r="BT4" s="372"/>
      <c r="BU4" s="372"/>
      <c r="BV4" s="372"/>
      <c r="BW4" s="372"/>
      <c r="BX4" s="372"/>
      <c r="BY4" s="372"/>
      <c r="BZ4" s="372"/>
      <c r="CA4" s="372"/>
      <c r="CB4" s="372"/>
      <c r="CC4" s="372"/>
      <c r="CD4" s="372"/>
      <c r="CE4" s="372"/>
      <c r="CF4" s="372"/>
      <c r="CG4" s="372"/>
      <c r="CH4" s="372"/>
      <c r="CI4" s="372"/>
      <c r="CJ4" s="372"/>
      <c r="CK4" s="372"/>
      <c r="CL4" s="372"/>
      <c r="CM4" s="372"/>
      <c r="CN4" s="372"/>
      <c r="CO4" s="372"/>
      <c r="CP4" s="372"/>
      <c r="CQ4" s="372"/>
      <c r="CR4" s="372"/>
      <c r="CS4" s="372"/>
      <c r="CT4" s="372"/>
      <c r="CU4" s="372"/>
      <c r="CV4" s="372"/>
      <c r="CW4" s="372"/>
      <c r="CX4" s="372"/>
      <c r="CY4" s="372"/>
      <c r="CZ4" s="372"/>
      <c r="DA4" s="372"/>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row>
    <row r="5" spans="1:237" ht="15.5">
      <c r="A5" s="3" t="s">
        <v>1373</v>
      </c>
      <c r="B5"/>
      <c r="C5"/>
      <c r="D5"/>
      <c r="E5"/>
      <c r="F5"/>
      <c r="G5"/>
      <c r="H5"/>
      <c r="I5"/>
      <c r="J5"/>
      <c r="K5"/>
      <c r="L5"/>
      <c r="M5"/>
      <c r="N5" s="5"/>
      <c r="O5" s="5"/>
      <c r="P5" s="448"/>
      <c r="Q5" s="450"/>
      <c r="R5" s="343"/>
      <c r="S5" s="343"/>
      <c r="T5" s="343"/>
      <c r="U5" s="343"/>
      <c r="V5" s="343"/>
      <c r="W5" s="343"/>
      <c r="X5" s="372"/>
      <c r="AB5" s="372"/>
      <c r="AC5" s="372"/>
      <c r="AD5" s="372"/>
      <c r="AE5" s="372"/>
      <c r="AF5" s="372"/>
      <c r="AG5" s="372"/>
      <c r="AH5" s="372"/>
      <c r="AI5" s="372"/>
      <c r="AJ5" s="372"/>
      <c r="AK5" s="372"/>
      <c r="AL5" s="372"/>
      <c r="AM5" s="372"/>
      <c r="AN5" s="372"/>
      <c r="AO5" s="372"/>
      <c r="AP5" s="372"/>
      <c r="AQ5" s="372"/>
      <c r="AR5" s="372"/>
      <c r="AS5" s="372"/>
      <c r="AT5" s="372"/>
      <c r="AU5" s="372"/>
      <c r="AV5" s="372"/>
      <c r="AW5" s="372"/>
      <c r="AX5" s="372"/>
      <c r="AY5" s="372"/>
      <c r="AZ5" s="372"/>
      <c r="BA5" s="372"/>
      <c r="BB5" s="372"/>
      <c r="BC5" s="372"/>
      <c r="BD5" s="372"/>
      <c r="BE5" s="372"/>
      <c r="BF5" s="372"/>
      <c r="BG5" s="372"/>
      <c r="BH5" s="372"/>
      <c r="BI5" s="372"/>
      <c r="BJ5" s="372"/>
      <c r="BK5" s="372"/>
      <c r="BL5" s="372"/>
      <c r="BM5" s="372"/>
      <c r="BN5" s="372"/>
      <c r="BO5" s="372"/>
      <c r="BP5" s="372"/>
      <c r="BQ5" s="372"/>
      <c r="BR5" s="372"/>
      <c r="BS5" s="372"/>
      <c r="BT5" s="372"/>
      <c r="BU5" s="372"/>
      <c r="BV5" s="372"/>
      <c r="BW5" s="372"/>
      <c r="BX5" s="372"/>
      <c r="BY5" s="372"/>
      <c r="BZ5" s="372"/>
      <c r="CA5" s="372"/>
      <c r="CB5" s="372"/>
      <c r="CC5" s="372"/>
      <c r="CD5" s="372"/>
      <c r="CE5" s="372"/>
      <c r="CF5" s="372"/>
      <c r="CG5" s="372"/>
      <c r="CH5" s="372"/>
      <c r="CI5" s="372"/>
      <c r="CJ5" s="372"/>
      <c r="CK5" s="372"/>
      <c r="CL5" s="372"/>
      <c r="CM5" s="372"/>
      <c r="CN5" s="372"/>
      <c r="CO5" s="372"/>
      <c r="CP5" s="372"/>
      <c r="CQ5" s="372"/>
      <c r="CR5" s="372"/>
      <c r="CS5" s="372"/>
      <c r="CT5" s="372"/>
      <c r="CU5" s="372"/>
      <c r="CV5" s="372"/>
      <c r="CW5" s="372"/>
      <c r="CX5" s="372"/>
      <c r="CY5" s="372"/>
      <c r="CZ5" s="372"/>
      <c r="DA5" s="372"/>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row>
    <row r="6" spans="1:237" ht="16">
      <c r="A6" s="6" t="s">
        <v>1374</v>
      </c>
      <c r="B6" s="11">
        <v>16519642999.999998</v>
      </c>
      <c r="C6" s="11">
        <v>17856571000</v>
      </c>
      <c r="D6" s="11">
        <v>18170460000</v>
      </c>
      <c r="E6" s="11">
        <v>18839827000</v>
      </c>
      <c r="F6" s="11">
        <v>20024020000</v>
      </c>
      <c r="G6" s="11">
        <v>21467094000</v>
      </c>
      <c r="H6" s="11">
        <v>21903571000</v>
      </c>
      <c r="I6" s="11">
        <v>25083803000</v>
      </c>
      <c r="J6" s="11">
        <v>29109249000</v>
      </c>
      <c r="K6" s="1570">
        <v>27909932000</v>
      </c>
      <c r="L6" s="1570">
        <v>29448224000</v>
      </c>
      <c r="M6" s="1570"/>
      <c r="N6" s="1571">
        <f>L6/K6-1</f>
        <v>5.5116293368253189E-2</v>
      </c>
      <c r="O6" s="358"/>
      <c r="P6" s="358"/>
      <c r="Q6" s="451"/>
      <c r="R6" s="566"/>
      <c r="S6" s="566"/>
      <c r="T6" s="566"/>
      <c r="U6" s="566"/>
      <c r="V6" s="566"/>
      <c r="W6" s="566"/>
      <c r="X6" s="372"/>
      <c r="Y6" s="372"/>
      <c r="Z6" s="372"/>
      <c r="AA6" s="372"/>
      <c r="AB6" s="380"/>
      <c r="AD6" s="372"/>
      <c r="AE6" s="381"/>
      <c r="AF6" s="372"/>
      <c r="AG6" s="372"/>
      <c r="AH6" s="372"/>
      <c r="AI6" s="372"/>
      <c r="AJ6" s="372"/>
      <c r="AK6" s="372"/>
      <c r="AL6" s="372"/>
      <c r="AM6" s="372"/>
      <c r="AN6" s="372"/>
      <c r="AO6" s="372"/>
      <c r="AP6" s="372"/>
      <c r="AQ6" s="372"/>
      <c r="AR6" s="372"/>
      <c r="AS6" s="372"/>
      <c r="AT6" s="372"/>
      <c r="AU6" s="372"/>
      <c r="AV6" s="372"/>
      <c r="AW6" s="372"/>
      <c r="AX6" s="372"/>
      <c r="AY6" s="372"/>
      <c r="AZ6" s="372"/>
      <c r="BA6" s="372"/>
      <c r="BB6" s="372"/>
      <c r="BC6" s="372"/>
      <c r="BD6" s="372"/>
      <c r="BE6" s="372"/>
      <c r="BF6" s="372"/>
      <c r="BG6" s="372"/>
      <c r="BH6" s="372"/>
      <c r="BI6" s="372"/>
      <c r="BJ6" s="372"/>
      <c r="BK6" s="372"/>
      <c r="BL6" s="372"/>
      <c r="BM6" s="372"/>
      <c r="BN6" s="372"/>
      <c r="BO6" s="372"/>
      <c r="BP6" s="372"/>
      <c r="BQ6" s="372"/>
      <c r="BR6" s="372"/>
      <c r="BS6" s="372"/>
      <c r="BT6" s="372"/>
      <c r="BU6" s="372"/>
      <c r="BV6" s="372"/>
      <c r="BW6" s="372"/>
      <c r="BX6" s="372"/>
      <c r="BY6" s="372"/>
      <c r="BZ6" s="372"/>
      <c r="CA6" s="372"/>
      <c r="CB6" s="372"/>
      <c r="CC6" s="372"/>
      <c r="CD6" s="372"/>
      <c r="CE6" s="372"/>
      <c r="CF6" s="372"/>
      <c r="CG6" s="372"/>
      <c r="CH6" s="372"/>
      <c r="CI6" s="372"/>
      <c r="CJ6" s="372"/>
      <c r="CK6" s="372"/>
      <c r="CL6" s="372"/>
      <c r="CM6" s="372"/>
      <c r="CN6" s="372"/>
      <c r="CO6" s="372"/>
      <c r="CP6" s="372"/>
      <c r="CQ6" s="372"/>
      <c r="CR6" s="372"/>
      <c r="CS6" s="372"/>
      <c r="CT6" s="372"/>
      <c r="CU6" s="372"/>
      <c r="CV6" s="372"/>
      <c r="CW6" s="372"/>
      <c r="CX6" s="372"/>
      <c r="CY6" s="372"/>
      <c r="CZ6" s="372"/>
      <c r="DA6" s="372"/>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row>
    <row r="7" spans="1:237" ht="15.5">
      <c r="A7" s="6" t="s">
        <v>700</v>
      </c>
      <c r="B7" s="11">
        <v>24275392000</v>
      </c>
      <c r="C7" s="11">
        <v>24805219000</v>
      </c>
      <c r="D7" s="11">
        <v>25279826000</v>
      </c>
      <c r="E7" s="11">
        <v>26073523000</v>
      </c>
      <c r="F7" s="11">
        <v>27608806000</v>
      </c>
      <c r="G7" s="11">
        <v>29225445000</v>
      </c>
      <c r="H7" s="11">
        <v>39119584000</v>
      </c>
      <c r="I7" s="11">
        <v>50027817000</v>
      </c>
      <c r="J7" s="11">
        <v>45991135000</v>
      </c>
      <c r="K7" s="1572">
        <v>46410721000</v>
      </c>
      <c r="L7" s="1572">
        <v>47487938000</v>
      </c>
      <c r="M7" s="1572"/>
      <c r="N7" s="1573">
        <f t="shared" ref="N7:N8" si="0">L7/K7-1</f>
        <v>2.3210520689820768E-2</v>
      </c>
      <c r="O7" s="358"/>
      <c r="P7" s="358"/>
      <c r="Q7" s="451"/>
      <c r="R7" s="566"/>
      <c r="S7" s="566"/>
      <c r="T7" s="566"/>
      <c r="U7" s="566"/>
      <c r="V7" s="566"/>
      <c r="W7" s="566"/>
      <c r="X7" s="372"/>
      <c r="Y7" s="372"/>
      <c r="Z7" s="372"/>
      <c r="AA7" s="372"/>
      <c r="AB7" s="382"/>
      <c r="AD7" s="372"/>
      <c r="AE7" s="381"/>
      <c r="AF7" s="372"/>
      <c r="AG7" s="372"/>
      <c r="AH7" s="372"/>
      <c r="AI7" s="372"/>
      <c r="AJ7" s="372"/>
      <c r="AK7" s="372"/>
      <c r="AL7" s="372"/>
      <c r="AM7" s="372"/>
      <c r="AN7" s="372"/>
      <c r="AO7" s="372"/>
      <c r="AP7" s="372"/>
      <c r="AQ7" s="372"/>
      <c r="AR7" s="372"/>
      <c r="AS7" s="372"/>
      <c r="AT7" s="372"/>
      <c r="AU7" s="372"/>
      <c r="AV7" s="372"/>
      <c r="AW7" s="372"/>
      <c r="AX7" s="372"/>
      <c r="AY7" s="372"/>
      <c r="AZ7" s="372"/>
      <c r="BA7" s="372"/>
      <c r="BB7" s="372"/>
      <c r="BC7" s="372"/>
      <c r="BD7" s="372"/>
      <c r="BE7" s="372"/>
      <c r="BF7" s="372"/>
      <c r="BG7" s="372"/>
      <c r="BH7" s="372"/>
      <c r="BI7" s="372"/>
      <c r="BJ7" s="372"/>
      <c r="BK7" s="372"/>
      <c r="BL7" s="372"/>
      <c r="BM7" s="372"/>
      <c r="BN7" s="372"/>
      <c r="BO7" s="372"/>
      <c r="BP7" s="372"/>
      <c r="BQ7" s="372"/>
      <c r="BR7" s="372"/>
      <c r="BS7" s="372"/>
      <c r="BT7" s="372"/>
      <c r="BU7" s="372"/>
      <c r="BV7" s="372"/>
      <c r="BW7" s="372"/>
      <c r="BX7" s="372"/>
      <c r="BY7" s="372"/>
      <c r="BZ7" s="372"/>
      <c r="CA7" s="372"/>
      <c r="CB7" s="372"/>
      <c r="CC7" s="372"/>
      <c r="CD7" s="372"/>
      <c r="CE7" s="372"/>
      <c r="CF7" s="372"/>
      <c r="CG7" s="372"/>
      <c r="CH7" s="372"/>
      <c r="CI7" s="372"/>
      <c r="CJ7" s="372"/>
      <c r="CK7" s="372"/>
      <c r="CL7" s="372"/>
      <c r="CM7" s="372"/>
      <c r="CN7" s="372"/>
      <c r="CO7" s="372"/>
      <c r="CP7" s="372"/>
      <c r="CQ7" s="372"/>
      <c r="CR7" s="372"/>
      <c r="CS7" s="372"/>
      <c r="CT7" s="372"/>
      <c r="CU7" s="372"/>
      <c r="CV7" s="372"/>
      <c r="CW7" s="372"/>
      <c r="CX7" s="372"/>
      <c r="CY7" s="372"/>
      <c r="CZ7" s="372"/>
      <c r="DA7" s="372"/>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row>
    <row r="8" spans="1:237" ht="18" customHeight="1" thickBot="1">
      <c r="A8" s="12" t="s">
        <v>5</v>
      </c>
      <c r="B8" s="1028">
        <f t="shared" ref="B8:L8" si="1">SUM(B6:B7)</f>
        <v>40795035000</v>
      </c>
      <c r="C8" s="1028">
        <f t="shared" si="1"/>
        <v>42661790000</v>
      </c>
      <c r="D8" s="1028">
        <f t="shared" si="1"/>
        <v>43450286000</v>
      </c>
      <c r="E8" s="1028">
        <f t="shared" si="1"/>
        <v>44913350000</v>
      </c>
      <c r="F8" s="1028">
        <f t="shared" si="1"/>
        <v>47632826000</v>
      </c>
      <c r="G8" s="1028">
        <f t="shared" si="1"/>
        <v>50692539000</v>
      </c>
      <c r="H8" s="1028">
        <f t="shared" si="1"/>
        <v>61023155000</v>
      </c>
      <c r="I8" s="1028">
        <f t="shared" si="1"/>
        <v>75111620000</v>
      </c>
      <c r="J8" s="1028">
        <f t="shared" si="1"/>
        <v>75100384000</v>
      </c>
      <c r="K8" s="1574">
        <f t="shared" si="1"/>
        <v>74320653000</v>
      </c>
      <c r="L8" s="1574">
        <f t="shared" si="1"/>
        <v>76936162000</v>
      </c>
      <c r="M8" s="1575"/>
      <c r="N8" s="1576">
        <f t="shared" si="0"/>
        <v>3.5192223082324059E-2</v>
      </c>
      <c r="O8" s="359"/>
      <c r="P8" s="359"/>
      <c r="Q8" s="451"/>
      <c r="R8" s="566"/>
      <c r="S8" s="566"/>
      <c r="T8" s="566"/>
      <c r="U8" s="566"/>
      <c r="V8" s="566"/>
      <c r="W8" s="566"/>
      <c r="X8" s="372"/>
      <c r="Y8" s="372"/>
      <c r="Z8" s="372"/>
      <c r="AA8" s="372"/>
      <c r="AB8" s="372"/>
      <c r="AC8" s="372"/>
      <c r="AD8" s="372"/>
      <c r="AE8" s="383"/>
      <c r="AF8" s="372"/>
      <c r="AG8" s="372"/>
      <c r="AH8" s="372"/>
      <c r="AI8" s="372"/>
      <c r="AJ8" s="372"/>
      <c r="AK8" s="372"/>
      <c r="AL8" s="372"/>
      <c r="AM8" s="372"/>
      <c r="AN8" s="372"/>
      <c r="AO8" s="372"/>
      <c r="AP8" s="372"/>
      <c r="AQ8" s="372"/>
      <c r="AR8" s="372"/>
      <c r="AS8" s="372"/>
      <c r="AT8" s="372"/>
      <c r="AU8" s="372"/>
      <c r="AV8" s="372"/>
      <c r="AW8" s="372"/>
      <c r="AX8" s="372"/>
      <c r="AY8" s="372"/>
      <c r="AZ8" s="372"/>
      <c r="BA8" s="372"/>
      <c r="BB8" s="372"/>
      <c r="BC8" s="372"/>
      <c r="BD8" s="372"/>
      <c r="BE8" s="372"/>
      <c r="BF8" s="372"/>
      <c r="BG8" s="372"/>
      <c r="BH8" s="372"/>
      <c r="BI8" s="372"/>
      <c r="BJ8" s="372"/>
      <c r="BK8" s="372"/>
      <c r="BL8" s="372"/>
      <c r="BM8" s="372"/>
      <c r="BN8" s="372"/>
      <c r="BO8" s="372"/>
      <c r="BP8" s="372"/>
      <c r="BQ8" s="372"/>
      <c r="BR8" s="372"/>
      <c r="BS8" s="372"/>
      <c r="BT8" s="372"/>
      <c r="BU8" s="372"/>
      <c r="BV8" s="372"/>
      <c r="BW8" s="372"/>
      <c r="BX8" s="372"/>
      <c r="BY8" s="372"/>
      <c r="BZ8" s="372"/>
      <c r="CA8" s="372"/>
      <c r="CB8" s="372"/>
      <c r="CC8" s="372"/>
      <c r="CD8" s="372"/>
      <c r="CE8" s="372"/>
      <c r="CF8" s="372"/>
      <c r="CG8" s="372"/>
      <c r="CH8" s="372"/>
      <c r="CI8" s="372"/>
      <c r="CJ8" s="372"/>
      <c r="CK8" s="372"/>
      <c r="CL8" s="372"/>
      <c r="CM8" s="372"/>
      <c r="CN8" s="372"/>
      <c r="CO8" s="372"/>
      <c r="CP8" s="372"/>
      <c r="CQ8" s="372"/>
      <c r="CR8" s="372"/>
      <c r="CS8" s="372"/>
      <c r="CT8" s="372"/>
      <c r="CU8" s="372"/>
      <c r="CV8" s="372"/>
      <c r="CW8" s="372"/>
      <c r="CX8" s="372"/>
      <c r="CY8" s="372"/>
      <c r="CZ8" s="372"/>
      <c r="DA8" s="372"/>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row>
    <row r="9" spans="1:237" ht="16" thickTop="1">
      <c r="A9"/>
      <c r="B9" s="1029"/>
      <c r="C9" s="1029"/>
      <c r="D9" s="1029"/>
      <c r="E9" s="1029"/>
      <c r="F9" s="1029"/>
      <c r="G9" s="1029"/>
      <c r="H9" s="1029"/>
      <c r="I9" s="1029"/>
      <c r="J9" s="1029"/>
      <c r="K9" s="1570"/>
      <c r="L9" s="1570"/>
      <c r="M9" s="1570"/>
      <c r="N9" s="1577"/>
      <c r="O9" s="358"/>
      <c r="P9" s="358"/>
      <c r="Q9" s="451"/>
      <c r="R9" s="567"/>
      <c r="S9" s="567"/>
      <c r="T9" s="567"/>
      <c r="U9" s="567"/>
      <c r="V9" s="567"/>
      <c r="W9" s="567"/>
      <c r="X9" s="372"/>
      <c r="Y9" s="372"/>
      <c r="Z9" s="372"/>
      <c r="AA9" s="372"/>
      <c r="AB9" s="372"/>
      <c r="AC9" s="372"/>
      <c r="AD9" s="372"/>
      <c r="AE9" s="384"/>
      <c r="AF9" s="372"/>
      <c r="AG9" s="372"/>
      <c r="AH9" s="372"/>
      <c r="AI9" s="372"/>
      <c r="AJ9" s="372"/>
      <c r="AK9" s="372"/>
      <c r="AL9" s="372"/>
      <c r="AM9" s="372"/>
      <c r="AN9" s="372"/>
      <c r="AO9" s="372"/>
      <c r="AP9" s="372"/>
      <c r="AQ9" s="372"/>
      <c r="AR9" s="372"/>
      <c r="AS9" s="372"/>
      <c r="AT9" s="372"/>
      <c r="AU9" s="372"/>
      <c r="AV9" s="372"/>
      <c r="AW9" s="372"/>
      <c r="AX9" s="372"/>
      <c r="AY9" s="372"/>
      <c r="AZ9" s="372"/>
      <c r="BA9" s="372"/>
      <c r="BB9" s="372"/>
      <c r="BC9" s="372"/>
      <c r="BD9" s="372"/>
      <c r="BE9" s="372"/>
      <c r="BF9" s="372"/>
      <c r="BG9" s="372"/>
      <c r="BH9" s="372"/>
      <c r="BI9" s="372"/>
      <c r="BJ9" s="372"/>
      <c r="BK9" s="372"/>
      <c r="BL9" s="372"/>
      <c r="BM9" s="372"/>
      <c r="BN9" s="372"/>
      <c r="BO9" s="372"/>
      <c r="BP9" s="372"/>
      <c r="BQ9" s="372"/>
      <c r="BR9" s="372"/>
      <c r="BS9" s="372"/>
      <c r="BT9" s="372"/>
      <c r="BU9" s="372"/>
      <c r="BV9" s="372"/>
      <c r="BW9" s="372"/>
      <c r="BX9" s="372"/>
      <c r="BY9" s="372"/>
      <c r="BZ9" s="372"/>
      <c r="CA9" s="372"/>
      <c r="CB9" s="372"/>
      <c r="CC9" s="372"/>
      <c r="CD9" s="372"/>
      <c r="CE9" s="372"/>
      <c r="CF9" s="372"/>
      <c r="CG9" s="372"/>
      <c r="CH9" s="372"/>
      <c r="CI9" s="372"/>
      <c r="CJ9" s="372"/>
      <c r="CK9" s="372"/>
      <c r="CL9" s="372"/>
      <c r="CM9" s="372"/>
      <c r="CN9" s="372"/>
      <c r="CO9" s="372"/>
      <c r="CP9" s="372"/>
      <c r="CQ9" s="372"/>
      <c r="CR9" s="372"/>
      <c r="CS9" s="372"/>
      <c r="CT9" s="372"/>
      <c r="CU9" s="372"/>
      <c r="CV9" s="372"/>
      <c r="CW9" s="372"/>
      <c r="CX9" s="372"/>
      <c r="CY9" s="372"/>
      <c r="CZ9" s="372"/>
      <c r="DA9" s="372"/>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row>
    <row r="10" spans="1:237" ht="15.5">
      <c r="A10" s="3" t="s">
        <v>1375</v>
      </c>
      <c r="B10" s="1029"/>
      <c r="C10" s="1029"/>
      <c r="D10" s="1029"/>
      <c r="E10" s="1029"/>
      <c r="F10" s="1029"/>
      <c r="G10" s="1029"/>
      <c r="H10" s="1029"/>
      <c r="I10" s="1029"/>
      <c r="J10" s="1029"/>
      <c r="K10" s="1570"/>
      <c r="L10" s="1570"/>
      <c r="M10" s="1570"/>
      <c r="N10" s="1571"/>
      <c r="O10" s="358"/>
      <c r="P10" s="358"/>
      <c r="Q10" s="451"/>
      <c r="R10" s="567"/>
      <c r="S10" s="567"/>
      <c r="T10" s="567"/>
      <c r="U10" s="567"/>
      <c r="V10" s="567"/>
      <c r="W10" s="567"/>
      <c r="X10" s="372"/>
      <c r="Y10" s="372"/>
      <c r="Z10" s="372"/>
      <c r="AA10" s="372"/>
      <c r="AB10" s="372"/>
      <c r="AC10" s="372"/>
      <c r="AD10" s="372"/>
      <c r="AE10" s="372"/>
      <c r="AF10" s="372"/>
      <c r="AG10" s="372"/>
      <c r="AH10" s="372"/>
      <c r="AI10" s="372"/>
      <c r="AJ10" s="372"/>
      <c r="AK10" s="372"/>
      <c r="AL10" s="372"/>
      <c r="AM10" s="372"/>
      <c r="AN10" s="372"/>
      <c r="AO10" s="372"/>
      <c r="AP10" s="372"/>
      <c r="AQ10" s="372"/>
      <c r="AR10" s="372"/>
      <c r="AS10" s="372"/>
      <c r="AT10" s="372"/>
      <c r="AU10" s="372"/>
      <c r="AV10" s="372"/>
      <c r="AW10" s="372"/>
      <c r="AX10" s="372"/>
      <c r="AY10" s="372"/>
      <c r="AZ10" s="372"/>
      <c r="BA10" s="372"/>
      <c r="BB10" s="372"/>
      <c r="BC10" s="372"/>
      <c r="BD10" s="372"/>
      <c r="BE10" s="372"/>
      <c r="BF10" s="372"/>
      <c r="BG10" s="372"/>
      <c r="BH10" s="372"/>
      <c r="BI10" s="372"/>
      <c r="BJ10" s="372"/>
      <c r="BK10" s="372"/>
      <c r="BL10" s="372"/>
      <c r="BM10" s="372"/>
      <c r="BN10" s="372"/>
      <c r="BO10" s="372"/>
      <c r="BP10" s="372"/>
      <c r="BQ10" s="372"/>
      <c r="BR10" s="372"/>
      <c r="BS10" s="372"/>
      <c r="BT10" s="372"/>
      <c r="BU10" s="372"/>
      <c r="BV10" s="372"/>
      <c r="BW10" s="372"/>
      <c r="BX10" s="372"/>
      <c r="BY10" s="372"/>
      <c r="BZ10" s="372"/>
      <c r="CA10" s="372"/>
      <c r="CB10" s="372"/>
      <c r="CC10" s="372"/>
      <c r="CD10" s="372"/>
      <c r="CE10" s="372"/>
      <c r="CF10" s="372"/>
      <c r="CG10" s="372"/>
      <c r="CH10" s="372"/>
      <c r="CI10" s="372"/>
      <c r="CJ10" s="372"/>
      <c r="CK10" s="372"/>
      <c r="CL10" s="372"/>
      <c r="CM10" s="372"/>
      <c r="CN10" s="372"/>
      <c r="CO10" s="372"/>
      <c r="CP10" s="372"/>
      <c r="CQ10" s="372"/>
      <c r="CR10" s="372"/>
      <c r="CS10" s="372"/>
      <c r="CT10" s="372"/>
      <c r="CU10" s="372"/>
      <c r="CV10" s="372"/>
      <c r="CW10" s="372"/>
      <c r="CX10" s="372"/>
      <c r="CY10" s="372"/>
      <c r="CZ10" s="372"/>
      <c r="DA10" s="372"/>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row>
    <row r="11" spans="1:237" ht="15.5">
      <c r="A11" t="s">
        <v>4</v>
      </c>
      <c r="B11" s="1029">
        <v>15733790000</v>
      </c>
      <c r="C11" s="1029">
        <v>17069018000</v>
      </c>
      <c r="D11" s="1029">
        <v>17348564000</v>
      </c>
      <c r="E11" s="1029">
        <v>18001810000</v>
      </c>
      <c r="F11" s="1029">
        <v>19188948000</v>
      </c>
      <c r="G11" s="1029">
        <v>20553037000</v>
      </c>
      <c r="H11" s="1029">
        <v>20943678000</v>
      </c>
      <c r="I11" s="1029">
        <v>24058765000</v>
      </c>
      <c r="J11" s="1029">
        <f>ByAcct!J18</f>
        <v>28061732000</v>
      </c>
      <c r="K11" s="1570">
        <f>ByAcct!K18</f>
        <v>26670180000</v>
      </c>
      <c r="L11" s="1570">
        <f>ByAcct!L18</f>
        <v>27842462000</v>
      </c>
      <c r="M11" s="1570"/>
      <c r="N11" s="1571">
        <f t="shared" ref="N11:N13" si="2">L11/K11-1</f>
        <v>4.3954783957213639E-2</v>
      </c>
      <c r="O11" s="1306" t="s">
        <v>1239</v>
      </c>
      <c r="P11" s="1307">
        <f>L11/$L$8</f>
        <v>0.36189044626374783</v>
      </c>
      <c r="Q11" s="568"/>
      <c r="R11" s="566"/>
      <c r="S11" s="566"/>
      <c r="T11" s="566"/>
      <c r="U11" s="566"/>
      <c r="V11" s="566"/>
      <c r="W11" s="566"/>
      <c r="X11" s="372"/>
      <c r="Y11" s="385"/>
      <c r="Z11" s="372"/>
      <c r="AA11" s="372"/>
      <c r="AB11" s="372"/>
      <c r="AC11" s="372"/>
      <c r="AD11" s="372"/>
      <c r="AE11" s="372"/>
      <c r="AF11" s="372"/>
      <c r="AG11" s="372"/>
      <c r="AH11" s="372"/>
      <c r="AI11" s="372"/>
      <c r="AJ11" s="372"/>
      <c r="AK11" s="372"/>
      <c r="AL11" s="372"/>
      <c r="AM11" s="372"/>
      <c r="AN11" s="372"/>
      <c r="AO11" s="372"/>
      <c r="AP11" s="372"/>
      <c r="AQ11" s="372"/>
      <c r="AR11" s="372"/>
      <c r="AS11" s="372"/>
      <c r="AT11" s="372"/>
      <c r="AU11" s="372"/>
      <c r="AV11" s="372"/>
      <c r="AW11" s="372"/>
      <c r="AX11" s="372"/>
      <c r="AY11" s="372"/>
      <c r="AZ11" s="372"/>
      <c r="BA11" s="372"/>
      <c r="BB11" s="372"/>
      <c r="BC11" s="372"/>
      <c r="BD11" s="372"/>
      <c r="BE11" s="372"/>
      <c r="BF11" s="372"/>
      <c r="BG11" s="372"/>
      <c r="BH11" s="372"/>
      <c r="BI11" s="372"/>
      <c r="BJ11" s="372"/>
      <c r="BK11" s="372"/>
      <c r="BL11" s="372"/>
      <c r="BM11" s="372"/>
      <c r="BN11" s="372"/>
      <c r="BO11" s="372"/>
      <c r="BP11" s="372"/>
      <c r="BQ11" s="372"/>
      <c r="BR11" s="372"/>
      <c r="BS11" s="372"/>
      <c r="BT11" s="372"/>
      <c r="BU11" s="372"/>
      <c r="BV11" s="372"/>
      <c r="BW11" s="372"/>
      <c r="BX11" s="372"/>
      <c r="BY11" s="372"/>
      <c r="BZ11" s="372"/>
      <c r="CA11" s="372"/>
      <c r="CB11" s="372"/>
      <c r="CC11" s="372"/>
      <c r="CD11" s="372"/>
      <c r="CE11" s="372"/>
      <c r="CF11" s="372"/>
      <c r="CG11" s="372"/>
      <c r="CH11" s="372"/>
      <c r="CI11" s="372"/>
      <c r="CJ11" s="372"/>
      <c r="CK11" s="372"/>
      <c r="CL11" s="372"/>
      <c r="CM11" s="372"/>
      <c r="CN11" s="372"/>
      <c r="CO11" s="372"/>
      <c r="CP11" s="372"/>
      <c r="CQ11" s="372"/>
      <c r="CR11" s="372"/>
      <c r="CS11" s="372"/>
      <c r="CT11" s="372"/>
      <c r="CU11" s="372"/>
      <c r="CV11" s="372"/>
      <c r="CW11" s="372"/>
      <c r="CX11" s="372"/>
      <c r="CY11" s="372"/>
      <c r="CZ11" s="372"/>
      <c r="DA11" s="372"/>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row>
    <row r="12" spans="1:237" ht="15.5">
      <c r="A12" s="6" t="s">
        <v>700</v>
      </c>
      <c r="B12" s="1030">
        <v>718404000</v>
      </c>
      <c r="C12" s="1030">
        <v>783311000</v>
      </c>
      <c r="D12" s="1030">
        <v>792553000</v>
      </c>
      <c r="E12" s="1030">
        <v>799920000</v>
      </c>
      <c r="F12" s="1030">
        <v>800144000</v>
      </c>
      <c r="G12" s="1030">
        <v>822377140.20000005</v>
      </c>
      <c r="H12" s="1030">
        <v>1294169628.1300001</v>
      </c>
      <c r="I12" s="1030">
        <v>1568171000</v>
      </c>
      <c r="J12" s="1030">
        <f>ByAcct!J39</f>
        <v>1667381000</v>
      </c>
      <c r="K12" s="1572">
        <f>ByAcct!K39</f>
        <v>1688907000</v>
      </c>
      <c r="L12" s="1572">
        <f>ByAcct!L39</f>
        <v>1625945000</v>
      </c>
      <c r="M12" s="1572"/>
      <c r="N12" s="1573">
        <f t="shared" si="2"/>
        <v>-3.7279731802876026E-2</v>
      </c>
      <c r="O12" s="1306" t="s">
        <v>1240</v>
      </c>
      <c r="P12" s="1307">
        <f>L12/$L$8</f>
        <v>2.1133690032523328E-2</v>
      </c>
      <c r="Q12" s="568"/>
      <c r="R12" s="566"/>
      <c r="S12" s="566"/>
      <c r="T12" s="566"/>
      <c r="U12" s="566"/>
      <c r="V12" s="566"/>
      <c r="W12" s="566"/>
      <c r="X12" s="372"/>
      <c r="Y12" s="372"/>
      <c r="Z12" s="372"/>
      <c r="AA12" s="372"/>
      <c r="AB12" s="372"/>
      <c r="AC12" s="372"/>
      <c r="AD12" s="372"/>
      <c r="AE12" s="372"/>
      <c r="AF12" s="372"/>
      <c r="AG12" s="372"/>
      <c r="AH12" s="372"/>
      <c r="AI12" s="372"/>
      <c r="AJ12" s="372"/>
      <c r="AK12" s="372"/>
      <c r="AL12" s="372"/>
      <c r="AM12" s="372"/>
      <c r="AN12" s="372"/>
      <c r="AO12" s="372"/>
      <c r="AP12" s="372"/>
      <c r="AQ12" s="372"/>
      <c r="AR12" s="372"/>
      <c r="AS12" s="372"/>
      <c r="AT12" s="372"/>
      <c r="AU12" s="372"/>
      <c r="AV12" s="372"/>
      <c r="AW12" s="372"/>
      <c r="AX12" s="372"/>
      <c r="AY12" s="372"/>
      <c r="AZ12" s="372"/>
      <c r="BA12" s="372"/>
      <c r="BB12" s="372"/>
      <c r="BC12" s="372"/>
      <c r="BD12" s="372"/>
      <c r="BE12" s="372"/>
      <c r="BF12" s="372"/>
      <c r="BG12" s="372"/>
      <c r="BH12" s="372"/>
      <c r="BI12" s="372"/>
      <c r="BJ12" s="372"/>
      <c r="BK12" s="372"/>
      <c r="BL12" s="372"/>
      <c r="BM12" s="372"/>
      <c r="BN12" s="372"/>
      <c r="BO12" s="372"/>
      <c r="BP12" s="372"/>
      <c r="BQ12" s="372"/>
      <c r="BR12" s="372"/>
      <c r="BS12" s="372"/>
      <c r="BT12" s="372"/>
      <c r="BU12" s="372"/>
      <c r="BV12" s="372"/>
      <c r="BW12" s="372"/>
      <c r="BX12" s="372"/>
      <c r="BY12" s="372"/>
      <c r="BZ12" s="372"/>
      <c r="CA12" s="372"/>
      <c r="CB12" s="372"/>
      <c r="CC12" s="372"/>
      <c r="CD12" s="372"/>
      <c r="CE12" s="372"/>
      <c r="CF12" s="372"/>
      <c r="CG12" s="372"/>
      <c r="CH12" s="372"/>
      <c r="CI12" s="372"/>
      <c r="CJ12" s="372"/>
      <c r="CK12" s="372"/>
      <c r="CL12" s="372"/>
      <c r="CM12" s="372"/>
      <c r="CN12" s="372"/>
      <c r="CO12" s="372"/>
      <c r="CP12" s="372"/>
      <c r="CQ12" s="372"/>
      <c r="CR12" s="372"/>
      <c r="CS12" s="372"/>
      <c r="CT12" s="372"/>
      <c r="CU12" s="372"/>
      <c r="CV12" s="372"/>
      <c r="CW12" s="372"/>
      <c r="CX12" s="372"/>
      <c r="CY12" s="372"/>
      <c r="CZ12" s="372"/>
      <c r="DA12" s="372"/>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row>
    <row r="13" spans="1:237" ht="18" customHeight="1" thickBot="1">
      <c r="A13" s="12" t="s">
        <v>6</v>
      </c>
      <c r="B13" s="1028">
        <f t="shared" ref="B13:K13" si="3">SUM(B11:B12)</f>
        <v>16452194000</v>
      </c>
      <c r="C13" s="1028">
        <f t="shared" si="3"/>
        <v>17852329000</v>
      </c>
      <c r="D13" s="1028">
        <f t="shared" si="3"/>
        <v>18141117000</v>
      </c>
      <c r="E13" s="1028">
        <f t="shared" si="3"/>
        <v>18801730000</v>
      </c>
      <c r="F13" s="1028">
        <f t="shared" si="3"/>
        <v>19989092000</v>
      </c>
      <c r="G13" s="1028">
        <f t="shared" si="3"/>
        <v>21375414140.200001</v>
      </c>
      <c r="H13" s="1028">
        <f t="shared" si="3"/>
        <v>22237847628.130001</v>
      </c>
      <c r="I13" s="1028">
        <f t="shared" ref="I13" si="4">SUM(I11:I12)</f>
        <v>25626936000</v>
      </c>
      <c r="J13" s="1028">
        <f t="shared" si="3"/>
        <v>29729113000</v>
      </c>
      <c r="K13" s="1574">
        <f t="shared" si="3"/>
        <v>28359087000</v>
      </c>
      <c r="L13" s="1574">
        <f t="shared" ref="L13" si="5">SUM(L11:L12)</f>
        <v>29468407000</v>
      </c>
      <c r="M13" s="1575"/>
      <c r="N13" s="1576">
        <f t="shared" si="2"/>
        <v>3.9116915153157183E-2</v>
      </c>
      <c r="O13" s="1308"/>
      <c r="P13" s="1307"/>
      <c r="Q13" s="568"/>
      <c r="R13" s="566"/>
      <c r="S13" s="566"/>
      <c r="T13" s="566"/>
      <c r="U13" s="566"/>
      <c r="V13" s="566"/>
      <c r="W13" s="566"/>
      <c r="X13" s="372"/>
      <c r="Y13" s="372"/>
      <c r="Z13" s="372"/>
      <c r="AA13" s="372"/>
      <c r="AB13" s="372"/>
      <c r="AC13" s="372"/>
      <c r="AD13" s="372"/>
      <c r="AE13" s="372"/>
      <c r="AF13" s="372"/>
      <c r="AG13" s="372"/>
      <c r="AH13" s="372"/>
      <c r="AI13" s="372"/>
      <c r="AJ13" s="372"/>
      <c r="AK13" s="372"/>
      <c r="AL13" s="372"/>
      <c r="AM13" s="372"/>
      <c r="AN13" s="372"/>
      <c r="AO13" s="372"/>
      <c r="AP13" s="372"/>
      <c r="AQ13" s="372"/>
      <c r="AR13" s="372"/>
      <c r="AS13" s="372"/>
      <c r="AT13" s="372"/>
      <c r="AU13" s="372"/>
      <c r="AV13" s="372"/>
      <c r="AW13" s="372"/>
      <c r="AX13" s="372"/>
      <c r="AY13" s="372"/>
      <c r="AZ13" s="372"/>
      <c r="BA13" s="372"/>
      <c r="BB13" s="372"/>
      <c r="BC13" s="372"/>
      <c r="BD13" s="372"/>
      <c r="BE13" s="372"/>
      <c r="BF13" s="372"/>
      <c r="BG13" s="372"/>
      <c r="BH13" s="372"/>
      <c r="BI13" s="372"/>
      <c r="BJ13" s="372"/>
      <c r="BK13" s="372"/>
      <c r="BL13" s="372"/>
      <c r="BM13" s="372"/>
      <c r="BN13" s="372"/>
      <c r="BO13" s="372"/>
      <c r="BP13" s="372"/>
      <c r="BQ13" s="372"/>
      <c r="BR13" s="372"/>
      <c r="BS13" s="372"/>
      <c r="BT13" s="372"/>
      <c r="BU13" s="372"/>
      <c r="BV13" s="372"/>
      <c r="BW13" s="372"/>
      <c r="BX13" s="372"/>
      <c r="BY13" s="372"/>
      <c r="BZ13" s="372"/>
      <c r="CA13" s="372"/>
      <c r="CB13" s="372"/>
      <c r="CC13" s="372"/>
      <c r="CD13" s="372"/>
      <c r="CE13" s="372"/>
      <c r="CF13" s="372"/>
      <c r="CG13" s="372"/>
      <c r="CH13" s="372"/>
      <c r="CI13" s="372"/>
      <c r="CJ13" s="372"/>
      <c r="CK13" s="372"/>
      <c r="CL13" s="372"/>
      <c r="CM13" s="372"/>
      <c r="CN13" s="372"/>
      <c r="CO13" s="372"/>
      <c r="CP13" s="372"/>
      <c r="CQ13" s="372"/>
      <c r="CR13" s="372"/>
      <c r="CS13" s="372"/>
      <c r="CT13" s="372"/>
      <c r="CU13" s="372"/>
      <c r="CV13" s="372"/>
      <c r="CW13" s="372"/>
      <c r="CX13" s="372"/>
      <c r="CY13" s="372"/>
      <c r="CZ13" s="372"/>
      <c r="DA13" s="372"/>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row>
    <row r="14" spans="1:237" ht="14.15" customHeight="1" thickTop="1">
      <c r="A14"/>
      <c r="B14" s="1029"/>
      <c r="C14" s="1029"/>
      <c r="D14" s="1029"/>
      <c r="E14" s="1029"/>
      <c r="F14" s="1029"/>
      <c r="G14" s="1029"/>
      <c r="H14" s="1029"/>
      <c r="I14" s="1029"/>
      <c r="J14" s="1029"/>
      <c r="K14" s="1570"/>
      <c r="L14" s="1570"/>
      <c r="M14" s="1570"/>
      <c r="N14" s="1578"/>
      <c r="O14" s="1306"/>
      <c r="P14" s="1307"/>
      <c r="Q14" s="568"/>
      <c r="R14" s="567"/>
      <c r="S14" s="567"/>
      <c r="T14" s="567"/>
      <c r="U14" s="567"/>
      <c r="V14" s="567"/>
      <c r="W14" s="567"/>
      <c r="X14" s="372"/>
      <c r="Z14" s="386"/>
      <c r="AA14" s="387"/>
      <c r="AB14" s="372"/>
      <c r="AC14" s="372"/>
      <c r="AD14" s="372"/>
      <c r="AE14" s="372"/>
      <c r="AF14" s="372"/>
      <c r="AG14" s="372"/>
      <c r="AH14" s="372"/>
      <c r="AI14" s="372"/>
      <c r="AJ14" s="372"/>
      <c r="AK14" s="372"/>
      <c r="AL14" s="372"/>
      <c r="AM14" s="372"/>
      <c r="AN14" s="372"/>
      <c r="AO14" s="372"/>
      <c r="AP14" s="372"/>
      <c r="AQ14" s="372"/>
      <c r="AR14" s="372"/>
      <c r="AS14" s="372"/>
      <c r="AT14" s="372"/>
      <c r="AU14" s="372"/>
      <c r="AV14" s="372"/>
      <c r="AW14" s="372"/>
      <c r="AX14" s="372"/>
      <c r="AY14" s="372"/>
      <c r="AZ14" s="372"/>
      <c r="BA14" s="372"/>
      <c r="BB14" s="372"/>
      <c r="BC14" s="372"/>
      <c r="BD14" s="372"/>
      <c r="BE14" s="372"/>
      <c r="BF14" s="372"/>
      <c r="BG14" s="372"/>
      <c r="BH14" s="372"/>
      <c r="BI14" s="372"/>
      <c r="BJ14" s="372"/>
      <c r="BK14" s="372"/>
      <c r="BL14" s="372"/>
      <c r="BM14" s="372"/>
      <c r="BN14" s="372"/>
      <c r="BO14" s="372"/>
      <c r="BP14" s="372"/>
      <c r="BQ14" s="372"/>
      <c r="BR14" s="372"/>
      <c r="BS14" s="372"/>
      <c r="BT14" s="372"/>
      <c r="BU14" s="372"/>
      <c r="BV14" s="372"/>
      <c r="BW14" s="372"/>
      <c r="BX14" s="372"/>
      <c r="BY14" s="372"/>
      <c r="BZ14" s="372"/>
      <c r="CA14" s="372"/>
      <c r="CB14" s="372"/>
      <c r="CC14" s="372"/>
      <c r="CD14" s="372"/>
      <c r="CE14" s="372"/>
      <c r="CF14" s="372"/>
      <c r="CG14" s="372"/>
      <c r="CH14" s="372"/>
      <c r="CI14" s="372"/>
      <c r="CJ14" s="372"/>
      <c r="CK14" s="372"/>
      <c r="CL14" s="372"/>
      <c r="CM14" s="372"/>
      <c r="CN14" s="372"/>
      <c r="CO14" s="372"/>
      <c r="CP14" s="372"/>
      <c r="CQ14" s="372"/>
      <c r="CR14" s="372"/>
      <c r="CS14" s="372"/>
      <c r="CT14" s="372"/>
      <c r="CU14" s="372"/>
      <c r="CV14" s="372"/>
      <c r="CW14" s="372"/>
      <c r="CX14" s="372"/>
      <c r="CY14" s="372"/>
      <c r="CZ14" s="372"/>
      <c r="DA14" s="372"/>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row>
    <row r="15" spans="1:237" ht="15.5">
      <c r="A15" s="3" t="s">
        <v>1376</v>
      </c>
      <c r="B15" s="1029"/>
      <c r="C15" s="1029"/>
      <c r="D15" s="1029"/>
      <c r="E15" s="1029"/>
      <c r="F15" s="1029"/>
      <c r="G15" s="1029"/>
      <c r="H15" s="1029"/>
      <c r="I15" s="1029"/>
      <c r="J15" s="1029"/>
      <c r="K15" s="1570"/>
      <c r="L15" s="1570"/>
      <c r="M15" s="1570"/>
      <c r="N15" s="1571"/>
      <c r="O15" s="1306"/>
      <c r="P15" s="1307"/>
      <c r="Q15" s="568"/>
      <c r="R15" s="567"/>
      <c r="S15" s="567"/>
      <c r="T15" s="567"/>
      <c r="U15" s="567"/>
      <c r="V15" s="567"/>
      <c r="W15" s="567"/>
      <c r="X15" s="372"/>
      <c r="Y15" s="372"/>
      <c r="AB15" s="372"/>
      <c r="AC15" s="372"/>
      <c r="AD15" s="372"/>
      <c r="AE15" s="372"/>
      <c r="AF15" s="372"/>
      <c r="AG15" s="372"/>
      <c r="AH15" s="372"/>
      <c r="AI15" s="372"/>
      <c r="AJ15" s="372"/>
      <c r="AK15" s="372"/>
      <c r="AL15" s="372"/>
      <c r="AM15" s="372"/>
      <c r="AN15" s="372"/>
      <c r="AO15" s="372"/>
      <c r="AP15" s="372"/>
      <c r="AQ15" s="372"/>
      <c r="AR15" s="372"/>
      <c r="AS15" s="372"/>
      <c r="AT15" s="372"/>
      <c r="AU15" s="372"/>
      <c r="AV15" s="372"/>
      <c r="AW15" s="372"/>
      <c r="AX15" s="372"/>
      <c r="AY15" s="372"/>
      <c r="AZ15" s="372"/>
      <c r="BA15" s="372"/>
      <c r="BB15" s="372"/>
      <c r="BC15" s="372"/>
      <c r="BD15" s="372"/>
      <c r="BE15" s="372"/>
      <c r="BF15" s="372"/>
      <c r="BG15" s="372"/>
      <c r="BH15" s="372"/>
      <c r="BI15" s="372"/>
      <c r="BJ15" s="372"/>
      <c r="BK15" s="372"/>
      <c r="BL15" s="372"/>
      <c r="BM15" s="372"/>
      <c r="BN15" s="372"/>
      <c r="BO15" s="372"/>
      <c r="BP15" s="372"/>
      <c r="BQ15" s="372"/>
      <c r="BR15" s="372"/>
      <c r="BS15" s="372"/>
      <c r="BT15" s="372"/>
      <c r="BU15" s="372"/>
      <c r="BV15" s="372"/>
      <c r="BW15" s="372"/>
      <c r="BX15" s="372"/>
      <c r="BY15" s="372"/>
      <c r="BZ15" s="372"/>
      <c r="CA15" s="372"/>
      <c r="CB15" s="372"/>
      <c r="CC15" s="372"/>
      <c r="CD15" s="372"/>
      <c r="CE15" s="372"/>
      <c r="CF15" s="372"/>
      <c r="CG15" s="372"/>
      <c r="CH15" s="372"/>
      <c r="CI15" s="372"/>
      <c r="CJ15" s="372"/>
      <c r="CK15" s="372"/>
      <c r="CL15" s="372"/>
      <c r="CM15" s="372"/>
      <c r="CN15" s="372"/>
      <c r="CO15" s="372"/>
      <c r="CP15" s="372"/>
      <c r="CQ15" s="372"/>
      <c r="CR15" s="372"/>
      <c r="CS15" s="372"/>
      <c r="CT15" s="372"/>
      <c r="CU15" s="372"/>
      <c r="CV15" s="372"/>
      <c r="CW15" s="372"/>
      <c r="CX15" s="372"/>
      <c r="CY15" s="372"/>
      <c r="CZ15" s="372"/>
      <c r="DA15" s="372"/>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row>
    <row r="16" spans="1:237" ht="15.5">
      <c r="A16" t="s">
        <v>4</v>
      </c>
      <c r="B16" s="1029">
        <f t="shared" ref="B16:K17" si="6">B6-B11</f>
        <v>785852999.99999809</v>
      </c>
      <c r="C16" s="1029">
        <f t="shared" si="6"/>
        <v>787553000</v>
      </c>
      <c r="D16" s="1029">
        <f t="shared" si="6"/>
        <v>821896000</v>
      </c>
      <c r="E16" s="1029">
        <f t="shared" si="6"/>
        <v>838017000</v>
      </c>
      <c r="F16" s="1029">
        <f t="shared" si="6"/>
        <v>835072000</v>
      </c>
      <c r="G16" s="1029">
        <f t="shared" ref="G16" si="7">G6-G11</f>
        <v>914057000</v>
      </c>
      <c r="H16" s="1029">
        <f t="shared" si="6"/>
        <v>959893000</v>
      </c>
      <c r="I16" s="1029">
        <f t="shared" ref="I16" si="8">I6-I11</f>
        <v>1025038000</v>
      </c>
      <c r="J16" s="1029">
        <f t="shared" si="6"/>
        <v>1047517000</v>
      </c>
      <c r="K16" s="1570">
        <f t="shared" si="6"/>
        <v>1239752000</v>
      </c>
      <c r="L16" s="1570">
        <f t="shared" ref="L16" si="9">L6-L11</f>
        <v>1605762000</v>
      </c>
      <c r="M16" s="1570"/>
      <c r="N16" s="1571">
        <f t="shared" ref="N16:N18" si="10">L16/K16-1</f>
        <v>0.29522840051881349</v>
      </c>
      <c r="O16" s="1306" t="s">
        <v>1241</v>
      </c>
      <c r="P16" s="1307">
        <f>L16/$L$8</f>
        <v>2.087135565717458E-2</v>
      </c>
      <c r="Q16" s="568"/>
      <c r="R16" s="566"/>
      <c r="S16" s="566"/>
      <c r="T16" s="566"/>
      <c r="U16" s="566"/>
      <c r="V16" s="566"/>
      <c r="W16" s="566"/>
      <c r="X16" s="372"/>
      <c r="AB16" s="372"/>
      <c r="AC16" s="372"/>
      <c r="AD16" s="372"/>
      <c r="AE16" s="372"/>
      <c r="AF16" s="372"/>
      <c r="AG16" s="372"/>
      <c r="AH16" s="372"/>
      <c r="AI16" s="372"/>
      <c r="AJ16" s="372"/>
      <c r="AK16" s="372"/>
      <c r="AL16" s="372"/>
      <c r="AM16" s="372"/>
      <c r="AN16" s="372"/>
      <c r="AO16" s="372"/>
      <c r="AP16" s="372"/>
      <c r="AQ16" s="372"/>
      <c r="AR16" s="372"/>
      <c r="AS16" s="372"/>
      <c r="AT16" s="372"/>
      <c r="AU16" s="372"/>
      <c r="AV16" s="372"/>
      <c r="AW16" s="372"/>
      <c r="AX16" s="372"/>
      <c r="AY16" s="372"/>
      <c r="AZ16" s="372"/>
      <c r="BA16" s="372"/>
      <c r="BB16" s="372"/>
      <c r="BC16" s="372"/>
      <c r="BD16" s="372"/>
      <c r="BE16" s="372"/>
      <c r="BF16" s="372"/>
      <c r="BG16" s="372"/>
      <c r="BH16" s="372"/>
      <c r="BI16" s="372"/>
      <c r="BJ16" s="372"/>
      <c r="BK16" s="372"/>
      <c r="BL16" s="372"/>
      <c r="BM16" s="372"/>
      <c r="BN16" s="372"/>
      <c r="BO16" s="372"/>
      <c r="BP16" s="372"/>
      <c r="BQ16" s="372"/>
      <c r="BR16" s="372"/>
      <c r="BS16" s="372"/>
      <c r="BT16" s="372"/>
      <c r="BU16" s="372"/>
      <c r="BV16" s="372"/>
      <c r="BW16" s="372"/>
      <c r="BX16" s="372"/>
      <c r="BY16" s="372"/>
      <c r="BZ16" s="372"/>
      <c r="CA16" s="372"/>
      <c r="CB16" s="372"/>
      <c r="CC16" s="372"/>
      <c r="CD16" s="372"/>
      <c r="CE16" s="372"/>
      <c r="CF16" s="372"/>
      <c r="CG16" s="372"/>
      <c r="CH16" s="372"/>
      <c r="CI16" s="372"/>
      <c r="CJ16" s="372"/>
      <c r="CK16" s="372"/>
      <c r="CL16" s="372"/>
      <c r="CM16" s="372"/>
      <c r="CN16" s="372"/>
      <c r="CO16" s="372"/>
      <c r="CP16" s="372"/>
      <c r="CQ16" s="372"/>
      <c r="CR16" s="372"/>
      <c r="CS16" s="372"/>
      <c r="CT16" s="372"/>
      <c r="CU16" s="372"/>
      <c r="CV16" s="372"/>
      <c r="CW16" s="372"/>
      <c r="CX16" s="372"/>
      <c r="CY16" s="372"/>
      <c r="CZ16" s="372"/>
      <c r="DA16" s="372"/>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row>
    <row r="17" spans="1:237" ht="15.5">
      <c r="A17" s="6" t="s">
        <v>700</v>
      </c>
      <c r="B17" s="1030">
        <f t="shared" si="6"/>
        <v>23556988000</v>
      </c>
      <c r="C17" s="1030">
        <f t="shared" si="6"/>
        <v>24021908000</v>
      </c>
      <c r="D17" s="1030">
        <f t="shared" si="6"/>
        <v>24487273000</v>
      </c>
      <c r="E17" s="1030">
        <f t="shared" si="6"/>
        <v>25273603000</v>
      </c>
      <c r="F17" s="1030">
        <f t="shared" si="6"/>
        <v>26808662000</v>
      </c>
      <c r="G17" s="1030">
        <f t="shared" ref="G17" si="11">G7-G12</f>
        <v>28403067859.799999</v>
      </c>
      <c r="H17" s="1030">
        <f t="shared" si="6"/>
        <v>37825414371.870003</v>
      </c>
      <c r="I17" s="1030">
        <f t="shared" ref="I17" si="12">I7-I12</f>
        <v>48459646000</v>
      </c>
      <c r="J17" s="1030">
        <f t="shared" si="6"/>
        <v>44323754000</v>
      </c>
      <c r="K17" s="1572">
        <f t="shared" si="6"/>
        <v>44721814000</v>
      </c>
      <c r="L17" s="1572">
        <f t="shared" ref="L17" si="13">L7-L12</f>
        <v>45861993000</v>
      </c>
      <c r="M17" s="1572"/>
      <c r="N17" s="1573">
        <f t="shared" si="10"/>
        <v>2.5494918430634339E-2</v>
      </c>
      <c r="O17" s="1306" t="s">
        <v>1242</v>
      </c>
      <c r="P17" s="1307">
        <f>L17/$L$8</f>
        <v>0.59610450804655424</v>
      </c>
      <c r="Q17" s="569"/>
      <c r="R17" s="566"/>
      <c r="S17" s="566"/>
      <c r="T17" s="566"/>
      <c r="U17" s="566"/>
      <c r="V17" s="566"/>
      <c r="W17" s="566"/>
      <c r="X17" s="372"/>
      <c r="AB17" s="372"/>
      <c r="AC17" s="372"/>
      <c r="AD17" s="372"/>
      <c r="AE17" s="372"/>
      <c r="AF17" s="372"/>
      <c r="AG17" s="372"/>
      <c r="AH17" s="372"/>
      <c r="AI17" s="372"/>
      <c r="AJ17" s="372"/>
      <c r="AK17" s="372"/>
      <c r="AL17" s="372"/>
      <c r="AM17" s="372"/>
      <c r="AN17" s="372"/>
      <c r="AO17" s="372"/>
      <c r="AP17" s="372"/>
      <c r="AQ17" s="372"/>
      <c r="AR17" s="372"/>
      <c r="AS17" s="372"/>
      <c r="AT17" s="372"/>
      <c r="AU17" s="372"/>
      <c r="AV17" s="372"/>
      <c r="AW17" s="372"/>
      <c r="AX17" s="372"/>
      <c r="AY17" s="372"/>
      <c r="AZ17" s="372"/>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c r="BW17" s="372"/>
      <c r="BX17" s="372"/>
      <c r="BY17" s="372"/>
      <c r="BZ17" s="372"/>
      <c r="CA17" s="372"/>
      <c r="CB17" s="372"/>
      <c r="CC17" s="372"/>
      <c r="CD17" s="372"/>
      <c r="CE17" s="372"/>
      <c r="CF17" s="372"/>
      <c r="CG17" s="372"/>
      <c r="CH17" s="372"/>
      <c r="CI17" s="372"/>
      <c r="CJ17" s="372"/>
      <c r="CK17" s="372"/>
      <c r="CL17" s="372"/>
      <c r="CM17" s="372"/>
      <c r="CN17" s="372"/>
      <c r="CO17" s="372"/>
      <c r="CP17" s="372"/>
      <c r="CQ17" s="372"/>
      <c r="CR17" s="372"/>
      <c r="CS17" s="372"/>
      <c r="CT17" s="372"/>
      <c r="CU17" s="372"/>
      <c r="CV17" s="372"/>
      <c r="CW17" s="372"/>
      <c r="CX17" s="372"/>
      <c r="CY17" s="372"/>
      <c r="CZ17" s="372"/>
      <c r="DA17" s="372"/>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row>
    <row r="18" spans="1:237" ht="18" customHeight="1" thickBot="1">
      <c r="A18" s="12" t="s">
        <v>7</v>
      </c>
      <c r="B18" s="1028">
        <f t="shared" ref="B18:K18" si="14">SUM(B16:B17)</f>
        <v>24342841000</v>
      </c>
      <c r="C18" s="1028">
        <f t="shared" si="14"/>
        <v>24809461000</v>
      </c>
      <c r="D18" s="1028">
        <f t="shared" si="14"/>
        <v>25309169000</v>
      </c>
      <c r="E18" s="1028">
        <f t="shared" si="14"/>
        <v>26111620000</v>
      </c>
      <c r="F18" s="1028">
        <f t="shared" si="14"/>
        <v>27643734000</v>
      </c>
      <c r="G18" s="1028">
        <f t="shared" ref="G18" si="15">SUM(G16:G17)</f>
        <v>29317124859.799999</v>
      </c>
      <c r="H18" s="1028">
        <f t="shared" si="14"/>
        <v>38785307371.870003</v>
      </c>
      <c r="I18" s="1028">
        <f t="shared" ref="I18" si="16">SUM(I16:I17)</f>
        <v>49484684000</v>
      </c>
      <c r="J18" s="1028">
        <f t="shared" si="14"/>
        <v>45371271000</v>
      </c>
      <c r="K18" s="1574">
        <f t="shared" si="14"/>
        <v>45961566000</v>
      </c>
      <c r="L18" s="1574">
        <f t="shared" ref="L18" si="17">SUM(L16:L17)</f>
        <v>47467755000</v>
      </c>
      <c r="M18" s="1575"/>
      <c r="N18" s="1579">
        <f t="shared" si="10"/>
        <v>3.2770619695595249E-2</v>
      </c>
      <c r="O18" s="359"/>
      <c r="P18" s="359"/>
      <c r="Q18" s="568"/>
      <c r="R18" s="566"/>
      <c r="S18" s="566"/>
      <c r="T18" s="566"/>
      <c r="U18" s="566"/>
      <c r="V18" s="566"/>
      <c r="W18" s="566"/>
      <c r="X18" s="372"/>
      <c r="AB18" s="372"/>
      <c r="AC18" s="372"/>
      <c r="AD18" s="372"/>
      <c r="AE18" s="372"/>
      <c r="AF18" s="372"/>
      <c r="AG18" s="372"/>
      <c r="AH18" s="372"/>
      <c r="AI18" s="372"/>
      <c r="AJ18" s="372"/>
      <c r="AK18" s="372"/>
      <c r="AL18" s="372"/>
      <c r="AM18" s="372"/>
      <c r="AN18" s="372"/>
      <c r="AO18" s="372"/>
      <c r="AP18" s="372"/>
      <c r="AQ18" s="372"/>
      <c r="AR18" s="372"/>
      <c r="AS18" s="372"/>
      <c r="AT18" s="372"/>
      <c r="AU18" s="372"/>
      <c r="AV18" s="372"/>
      <c r="AW18" s="372"/>
      <c r="AX18" s="372"/>
      <c r="AY18" s="372"/>
      <c r="AZ18" s="372"/>
      <c r="BA18" s="372"/>
      <c r="BB18" s="372"/>
      <c r="BC18" s="372"/>
      <c r="BD18" s="372"/>
      <c r="BE18" s="372"/>
      <c r="BF18" s="372"/>
      <c r="BG18" s="372"/>
      <c r="BH18" s="372"/>
      <c r="BI18" s="372"/>
      <c r="BJ18" s="372"/>
      <c r="BK18" s="372"/>
      <c r="BL18" s="372"/>
      <c r="BM18" s="372"/>
      <c r="BN18" s="372"/>
      <c r="BO18" s="372"/>
      <c r="BP18" s="372"/>
      <c r="BQ18" s="372"/>
      <c r="BR18" s="372"/>
      <c r="BS18" s="372"/>
      <c r="BT18" s="372"/>
      <c r="BU18" s="372"/>
      <c r="BV18" s="372"/>
      <c r="BW18" s="372"/>
      <c r="BX18" s="372"/>
      <c r="BY18" s="372"/>
      <c r="BZ18" s="372"/>
      <c r="CA18" s="372"/>
      <c r="CB18" s="372"/>
      <c r="CC18" s="372"/>
      <c r="CD18" s="372"/>
      <c r="CE18" s="372"/>
      <c r="CF18" s="372"/>
      <c r="CG18" s="372"/>
      <c r="CH18" s="372"/>
      <c r="CI18" s="372"/>
      <c r="CJ18" s="372"/>
      <c r="CK18" s="372"/>
      <c r="CL18" s="372"/>
      <c r="CM18" s="372"/>
      <c r="CN18" s="372"/>
      <c r="CO18" s="372"/>
      <c r="CP18" s="372"/>
      <c r="CQ18" s="372"/>
      <c r="CR18" s="372"/>
      <c r="CS18" s="372"/>
      <c r="CT18" s="372"/>
      <c r="CU18" s="372"/>
      <c r="CV18" s="372"/>
      <c r="CW18" s="372"/>
      <c r="CX18" s="372"/>
      <c r="CY18" s="372"/>
      <c r="CZ18" s="372"/>
      <c r="DA18" s="372"/>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row>
    <row r="19" spans="1:237" ht="14" customHeight="1" thickTop="1">
      <c r="A19"/>
      <c r="B19"/>
      <c r="C19"/>
      <c r="D19"/>
      <c r="E19"/>
      <c r="F19"/>
      <c r="G19"/>
      <c r="H19"/>
      <c r="I19"/>
      <c r="J19"/>
      <c r="K19"/>
      <c r="L19"/>
      <c r="M19"/>
      <c r="N19" s="10"/>
      <c r="O19" s="10"/>
      <c r="P19" s="10"/>
      <c r="Q19" s="565"/>
      <c r="R19" s="566"/>
      <c r="S19" s="566"/>
      <c r="T19" s="566"/>
      <c r="U19" s="566"/>
      <c r="V19" s="566"/>
      <c r="W19" s="566"/>
      <c r="X19" s="372"/>
      <c r="AB19" s="372"/>
      <c r="AC19" s="372"/>
      <c r="AD19" s="372"/>
      <c r="AE19" s="372"/>
      <c r="AF19" s="372"/>
      <c r="AG19" s="372"/>
      <c r="AH19" s="372"/>
      <c r="AI19" s="372"/>
      <c r="AJ19" s="372"/>
      <c r="AK19" s="372"/>
      <c r="AL19" s="372"/>
      <c r="AM19" s="372"/>
      <c r="AN19" s="372"/>
      <c r="AO19" s="372"/>
      <c r="AP19" s="372"/>
      <c r="AQ19" s="372"/>
      <c r="AR19" s="372"/>
      <c r="AS19" s="372"/>
      <c r="AT19" s="372"/>
      <c r="AU19" s="372"/>
      <c r="AV19" s="372"/>
      <c r="AW19" s="372"/>
      <c r="AX19" s="372"/>
      <c r="AY19" s="372"/>
      <c r="AZ19" s="372"/>
      <c r="BA19" s="372"/>
      <c r="BB19" s="372"/>
      <c r="BC19" s="372"/>
      <c r="BD19" s="372"/>
      <c r="BE19" s="372"/>
      <c r="BF19" s="372"/>
      <c r="BG19" s="372"/>
      <c r="BH19" s="372"/>
      <c r="BI19" s="372"/>
      <c r="BJ19" s="372"/>
      <c r="BK19" s="372"/>
      <c r="BL19" s="372"/>
      <c r="BM19" s="372"/>
      <c r="BN19" s="372"/>
      <c r="BO19" s="372"/>
      <c r="BP19" s="372"/>
      <c r="BQ19" s="372"/>
      <c r="BR19" s="372"/>
      <c r="BS19" s="372"/>
      <c r="BT19" s="372"/>
      <c r="BU19" s="372"/>
      <c r="BV19" s="372"/>
      <c r="BW19" s="372"/>
      <c r="BX19" s="372"/>
      <c r="BY19" s="372"/>
      <c r="BZ19" s="372"/>
      <c r="CA19" s="372"/>
      <c r="CB19" s="372"/>
      <c r="CC19" s="372"/>
      <c r="CD19" s="372"/>
      <c r="CE19" s="372"/>
      <c r="CF19" s="372"/>
      <c r="CG19" s="372"/>
      <c r="CH19" s="372"/>
      <c r="CI19" s="372"/>
      <c r="CJ19" s="372"/>
      <c r="CK19" s="372"/>
      <c r="CL19" s="372"/>
      <c r="CM19" s="372"/>
      <c r="CN19" s="372"/>
      <c r="CO19" s="372"/>
      <c r="CP19" s="372"/>
      <c r="CQ19" s="372"/>
      <c r="CR19" s="372"/>
      <c r="CS19" s="372"/>
      <c r="CT19" s="372"/>
      <c r="CU19" s="372"/>
      <c r="CV19" s="372"/>
      <c r="CW19" s="372"/>
      <c r="CX19" s="372"/>
      <c r="CY19" s="372"/>
      <c r="CZ19" s="372"/>
      <c r="DA19" s="372"/>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row>
    <row r="20" spans="1:237" s="1380" customFormat="1" ht="13">
      <c r="A20" s="1379" t="s">
        <v>1</v>
      </c>
      <c r="B20" s="1416"/>
      <c r="C20" s="1416"/>
      <c r="D20" s="1416"/>
      <c r="E20" s="1416"/>
      <c r="F20" s="1416"/>
      <c r="G20" s="1416"/>
      <c r="H20" s="1416"/>
      <c r="I20" s="1416"/>
      <c r="J20" s="1416"/>
      <c r="K20" s="1416"/>
      <c r="L20" s="1416"/>
      <c r="N20" s="1417"/>
      <c r="O20" s="1418"/>
      <c r="P20" s="1418"/>
      <c r="Q20" s="1417"/>
      <c r="R20" s="1419"/>
      <c r="S20" s="1419"/>
      <c r="T20" s="1419"/>
      <c r="U20" s="1419"/>
      <c r="V20" s="1419"/>
      <c r="W20" s="1419"/>
    </row>
    <row r="21" spans="1:237" s="1380" customFormat="1" ht="26" customHeight="1">
      <c r="A21" s="1606" t="s">
        <v>1369</v>
      </c>
      <c r="B21" s="1605"/>
      <c r="C21" s="1605"/>
      <c r="D21" s="1605"/>
      <c r="E21" s="1605"/>
      <c r="F21" s="1605"/>
      <c r="G21" s="1605"/>
      <c r="H21" s="1605"/>
      <c r="I21" s="1605"/>
      <c r="J21" s="1605"/>
      <c r="K21" s="1605"/>
      <c r="L21" s="1605"/>
      <c r="M21" s="1605"/>
      <c r="N21" s="1605"/>
      <c r="O21" s="1418"/>
      <c r="P21" s="1418"/>
      <c r="Q21" s="1417"/>
      <c r="R21" s="1419"/>
      <c r="S21" s="1419"/>
      <c r="T21" s="1419"/>
      <c r="U21" s="1419"/>
      <c r="V21" s="1419"/>
      <c r="W21" s="1419"/>
    </row>
    <row r="22" spans="1:237" s="1380" customFormat="1" ht="39" customHeight="1">
      <c r="A22" s="1606" t="s">
        <v>1370</v>
      </c>
      <c r="B22" s="1605"/>
      <c r="C22" s="1605"/>
      <c r="D22" s="1605"/>
      <c r="E22" s="1605"/>
      <c r="F22" s="1605"/>
      <c r="G22" s="1605"/>
      <c r="H22" s="1605"/>
      <c r="I22" s="1605"/>
      <c r="J22" s="1605"/>
      <c r="K22" s="1605"/>
      <c r="L22" s="1605"/>
      <c r="M22" s="1605"/>
      <c r="N22" s="1605"/>
      <c r="O22" s="666"/>
      <c r="P22" s="666"/>
      <c r="Q22" s="1381"/>
    </row>
    <row r="23" spans="1:237" s="1380" customFormat="1" ht="26" customHeight="1">
      <c r="A23" s="1607" t="s">
        <v>1371</v>
      </c>
      <c r="B23" s="1605"/>
      <c r="C23" s="1605"/>
      <c r="D23" s="1605"/>
      <c r="E23" s="1605"/>
      <c r="F23" s="1605"/>
      <c r="G23" s="1605"/>
      <c r="H23" s="1605"/>
      <c r="I23" s="1605"/>
      <c r="J23" s="1605"/>
      <c r="K23" s="1605"/>
      <c r="L23" s="1605"/>
      <c r="M23" s="1605"/>
      <c r="N23" s="1605"/>
      <c r="O23" s="1382"/>
      <c r="P23" s="1382"/>
      <c r="Q23" s="1381"/>
    </row>
    <row r="24" spans="1:237" s="1380" customFormat="1" ht="26" customHeight="1">
      <c r="A24" s="1604" t="s">
        <v>1377</v>
      </c>
      <c r="B24" s="1605"/>
      <c r="C24" s="1605"/>
      <c r="D24" s="1605"/>
      <c r="E24" s="1605"/>
      <c r="F24" s="1605"/>
      <c r="G24" s="1605"/>
      <c r="H24" s="1605"/>
      <c r="I24" s="1605"/>
      <c r="J24" s="1605"/>
      <c r="K24" s="1605"/>
      <c r="L24" s="1605"/>
      <c r="M24" s="1605"/>
      <c r="N24" s="1605"/>
      <c r="O24" s="1382"/>
      <c r="P24" s="1382"/>
      <c r="Q24" s="1381"/>
    </row>
    <row r="25" spans="1:237" ht="26" customHeight="1">
      <c r="A25" s="1604" t="s">
        <v>1372</v>
      </c>
      <c r="B25" s="1605"/>
      <c r="C25" s="1605"/>
      <c r="D25" s="1605"/>
      <c r="E25" s="1605"/>
      <c r="F25" s="1605"/>
      <c r="G25" s="1605"/>
      <c r="H25" s="1605"/>
      <c r="I25" s="1605"/>
      <c r="J25" s="1605"/>
      <c r="K25" s="1605"/>
      <c r="L25" s="1605"/>
      <c r="M25" s="1605"/>
      <c r="N25" s="1605"/>
      <c r="O25" s="1382"/>
      <c r="P25" s="1382"/>
      <c r="Q25" s="1381"/>
      <c r="R25" s="1380"/>
      <c r="S25" s="1380"/>
      <c r="T25" s="1380"/>
      <c r="U25" s="1380"/>
      <c r="V25" s="1380"/>
      <c r="W25" s="1380"/>
      <c r="X25" s="1380"/>
      <c r="AB25" s="372"/>
      <c r="AC25" s="372"/>
      <c r="AD25" s="372"/>
      <c r="AE25" s="372"/>
      <c r="AF25" s="372"/>
      <c r="AG25" s="372"/>
      <c r="AH25" s="372"/>
      <c r="AI25" s="372"/>
      <c r="AJ25" s="372"/>
      <c r="AK25" s="372"/>
      <c r="AL25" s="372"/>
      <c r="AM25" s="372"/>
      <c r="AN25" s="372"/>
      <c r="AO25" s="372"/>
      <c r="AP25" s="372"/>
      <c r="AQ25" s="372"/>
      <c r="AR25" s="372"/>
      <c r="AS25" s="372"/>
      <c r="AT25" s="372"/>
      <c r="AU25" s="372"/>
      <c r="AV25" s="372"/>
      <c r="AW25" s="372"/>
      <c r="AX25" s="372"/>
      <c r="AY25" s="372"/>
      <c r="AZ25" s="372"/>
      <c r="BA25" s="372"/>
      <c r="BB25" s="372"/>
      <c r="BC25" s="372"/>
      <c r="BD25" s="372"/>
      <c r="BE25" s="372"/>
      <c r="BF25" s="372"/>
      <c r="BG25" s="372"/>
      <c r="BH25" s="372"/>
      <c r="BI25" s="372"/>
      <c r="BJ25" s="372"/>
      <c r="BK25" s="372"/>
      <c r="BL25" s="372"/>
      <c r="BM25" s="372"/>
      <c r="BN25" s="372"/>
      <c r="BO25" s="372"/>
      <c r="BP25" s="372"/>
      <c r="BQ25" s="372"/>
      <c r="BR25" s="372"/>
      <c r="BS25" s="372"/>
      <c r="BT25" s="372"/>
      <c r="BU25" s="372"/>
      <c r="BV25" s="372"/>
      <c r="BW25" s="372"/>
      <c r="BX25" s="372"/>
      <c r="BY25" s="372"/>
      <c r="BZ25" s="372"/>
      <c r="CA25" s="372"/>
      <c r="CB25" s="372"/>
      <c r="CC25" s="372"/>
      <c r="CD25" s="372"/>
      <c r="CE25" s="372"/>
      <c r="CF25" s="372"/>
      <c r="CG25" s="372"/>
      <c r="CH25" s="372"/>
      <c r="CI25" s="372"/>
      <c r="CJ25" s="372"/>
      <c r="CK25" s="372"/>
      <c r="CL25" s="372"/>
      <c r="CM25" s="372"/>
      <c r="CN25" s="372"/>
      <c r="CO25" s="372"/>
      <c r="CP25" s="372"/>
      <c r="CQ25" s="372"/>
      <c r="CR25" s="372"/>
      <c r="CS25" s="372"/>
      <c r="CT25" s="372"/>
      <c r="CU25" s="372"/>
      <c r="CV25" s="372"/>
      <c r="CW25" s="372"/>
      <c r="CX25" s="372"/>
      <c r="CY25" s="372"/>
      <c r="CZ25" s="372"/>
      <c r="DA25" s="372"/>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row>
    <row r="26" spans="1:237" ht="3" customHeight="1">
      <c r="A26" s="1605"/>
      <c r="B26" s="1605"/>
      <c r="C26" s="1605"/>
      <c r="D26" s="1605"/>
      <c r="E26" s="1605"/>
      <c r="F26" s="1605"/>
      <c r="G26" s="1605"/>
      <c r="H26" s="1605"/>
      <c r="I26" s="1605"/>
      <c r="J26" s="1605"/>
      <c r="K26" s="1605"/>
      <c r="L26" s="1605"/>
      <c r="M26" s="1605"/>
      <c r="N26" s="1605"/>
      <c r="O26" s="1382"/>
      <c r="P26" s="1382"/>
      <c r="Q26" s="1381"/>
      <c r="R26" s="1380"/>
      <c r="S26" s="1380"/>
      <c r="T26" s="1380"/>
      <c r="U26" s="1380"/>
      <c r="V26" s="1380"/>
      <c r="W26" s="1380"/>
      <c r="X26" s="1380"/>
      <c r="AB26" s="372"/>
      <c r="AC26" s="372"/>
      <c r="AD26" s="372"/>
      <c r="AE26" s="372"/>
      <c r="AF26" s="372"/>
      <c r="AG26" s="372"/>
      <c r="AH26" s="372"/>
      <c r="AI26" s="372"/>
      <c r="AJ26" s="372"/>
      <c r="AK26" s="372"/>
      <c r="AL26" s="372"/>
      <c r="AM26" s="372"/>
      <c r="AN26" s="372"/>
      <c r="AO26" s="372"/>
      <c r="AP26" s="372"/>
      <c r="AQ26" s="372"/>
      <c r="AR26" s="372"/>
      <c r="AS26" s="372"/>
      <c r="AT26" s="372"/>
      <c r="AU26" s="372"/>
      <c r="AV26" s="372"/>
      <c r="AW26" s="372"/>
      <c r="AX26" s="372"/>
      <c r="AY26" s="372"/>
      <c r="AZ26" s="372"/>
      <c r="BA26" s="372"/>
      <c r="BB26" s="372"/>
      <c r="BC26" s="372"/>
      <c r="BD26" s="372"/>
      <c r="BE26" s="372"/>
      <c r="BF26" s="372"/>
      <c r="BG26" s="372"/>
      <c r="BH26" s="372"/>
      <c r="BI26" s="372"/>
      <c r="BJ26" s="372"/>
      <c r="BK26" s="372"/>
      <c r="BL26" s="372"/>
      <c r="BM26" s="372"/>
      <c r="BN26" s="372"/>
      <c r="BO26" s="372"/>
      <c r="BP26" s="372"/>
      <c r="BQ26" s="372"/>
      <c r="BR26" s="372"/>
      <c r="BS26" s="372"/>
      <c r="BT26" s="372"/>
      <c r="BU26" s="372"/>
      <c r="BV26" s="372"/>
      <c r="BW26" s="372"/>
      <c r="BX26" s="372"/>
      <c r="BY26" s="372"/>
      <c r="BZ26" s="372"/>
      <c r="CA26" s="372"/>
      <c r="CB26" s="372"/>
      <c r="CC26" s="372"/>
      <c r="CD26" s="372"/>
      <c r="CE26" s="372"/>
      <c r="CF26" s="372"/>
      <c r="CG26" s="372"/>
      <c r="CH26" s="372"/>
      <c r="CI26" s="372"/>
      <c r="CJ26" s="372"/>
      <c r="CK26" s="372"/>
      <c r="CL26" s="372"/>
      <c r="CM26" s="372"/>
      <c r="CN26" s="372"/>
      <c r="CO26" s="372"/>
      <c r="CP26" s="372"/>
      <c r="CQ26" s="372"/>
      <c r="CR26" s="372"/>
      <c r="CS26" s="372"/>
      <c r="CT26" s="372"/>
      <c r="CU26" s="372"/>
      <c r="CV26" s="372"/>
      <c r="CW26" s="372"/>
      <c r="CX26" s="372"/>
      <c r="CY26" s="372"/>
      <c r="CZ26" s="372"/>
      <c r="DA26" s="372"/>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row>
    <row r="27" spans="1:237" ht="3" customHeight="1">
      <c r="A27" s="6"/>
      <c r="B27" s="123"/>
      <c r="C27" s="123"/>
      <c r="D27" s="123"/>
      <c r="E27" s="123"/>
      <c r="F27" s="123"/>
      <c r="G27" s="123"/>
      <c r="H27" s="123"/>
      <c r="I27" s="123"/>
      <c r="J27" s="123"/>
      <c r="K27" s="123"/>
      <c r="L27" s="123"/>
      <c r="M27" s="1"/>
      <c r="N27" s="5"/>
      <c r="O27" s="5"/>
      <c r="P27" s="5"/>
      <c r="Q27" s="450"/>
      <c r="R27" s="343"/>
      <c r="S27" s="343"/>
      <c r="T27" s="343"/>
      <c r="U27" s="343"/>
      <c r="V27" s="343"/>
      <c r="W27" s="343"/>
      <c r="X27" s="372"/>
      <c r="Y27" s="399"/>
      <c r="Z27" s="399"/>
      <c r="AA27" s="399"/>
      <c r="AB27" s="170"/>
      <c r="AC27" s="206"/>
      <c r="AD27" s="372"/>
      <c r="AE27" s="372"/>
      <c r="AF27" s="372"/>
      <c r="AG27" s="372"/>
      <c r="AH27" s="372"/>
      <c r="AI27" s="372"/>
      <c r="AJ27" s="372"/>
      <c r="AK27" s="372"/>
      <c r="AL27" s="372"/>
      <c r="AM27" s="372"/>
      <c r="AN27" s="372"/>
      <c r="AO27" s="372"/>
      <c r="AP27" s="372"/>
      <c r="AQ27" s="372"/>
      <c r="AR27" s="372"/>
      <c r="AS27" s="372"/>
      <c r="AT27" s="372"/>
      <c r="AU27" s="372"/>
      <c r="AV27" s="372"/>
      <c r="AW27" s="372"/>
      <c r="AX27" s="372"/>
      <c r="AY27" s="372"/>
      <c r="AZ27" s="372"/>
      <c r="BA27" s="372"/>
      <c r="BB27" s="372"/>
      <c r="BC27" s="372"/>
      <c r="BD27" s="372"/>
      <c r="BE27" s="372"/>
      <c r="BF27" s="372"/>
      <c r="BG27" s="372"/>
      <c r="BH27" s="372"/>
      <c r="BI27" s="372"/>
      <c r="BJ27" s="372"/>
      <c r="BK27" s="372"/>
      <c r="BL27" s="372"/>
      <c r="BM27" s="372"/>
      <c r="BN27" s="372"/>
      <c r="BO27" s="372"/>
      <c r="BP27" s="372"/>
      <c r="BQ27" s="372"/>
      <c r="BR27" s="372"/>
      <c r="BS27" s="372"/>
      <c r="BT27" s="372"/>
      <c r="BU27" s="372"/>
      <c r="BV27" s="372"/>
      <c r="BW27" s="372"/>
      <c r="BX27" s="372"/>
      <c r="BY27" s="372"/>
      <c r="BZ27" s="372"/>
      <c r="CA27" s="372"/>
      <c r="CB27" s="372"/>
      <c r="CC27" s="372"/>
      <c r="CD27" s="372"/>
      <c r="CE27" s="372"/>
      <c r="CF27" s="372"/>
      <c r="CG27" s="372"/>
      <c r="CH27" s="372"/>
      <c r="CI27" s="372"/>
      <c r="CJ27" s="372"/>
      <c r="CK27" s="372"/>
      <c r="CL27" s="372"/>
      <c r="CM27" s="372"/>
      <c r="CN27" s="372"/>
      <c r="CO27" s="372"/>
      <c r="CP27" s="372"/>
      <c r="CQ27" s="372"/>
      <c r="CR27" s="372"/>
      <c r="CS27" s="372"/>
      <c r="CT27" s="372"/>
      <c r="CU27" s="372"/>
      <c r="CV27" s="372"/>
      <c r="CW27" s="372"/>
      <c r="CX27" s="372"/>
      <c r="CY27" s="372"/>
      <c r="CZ27" s="372"/>
      <c r="DA27" s="372"/>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row>
    <row r="28" spans="1:237" ht="3" customHeight="1">
      <c r="A28" s="1"/>
      <c r="B28" s="123"/>
      <c r="C28" s="123"/>
      <c r="D28" s="123"/>
      <c r="E28" s="123"/>
      <c r="F28" s="123"/>
      <c r="G28" s="123"/>
      <c r="H28" s="123"/>
      <c r="I28" s="123"/>
      <c r="J28" s="123"/>
      <c r="K28" s="123"/>
      <c r="L28" s="123"/>
      <c r="M28" s="1"/>
      <c r="N28" s="5"/>
      <c r="O28" s="5"/>
      <c r="P28" s="5"/>
      <c r="Q28" s="450"/>
      <c r="R28" s="343"/>
      <c r="S28" s="343"/>
      <c r="T28" s="343"/>
      <c r="U28" s="343"/>
      <c r="V28" s="343"/>
      <c r="W28" s="343"/>
      <c r="X28" s="372"/>
      <c r="Y28" s="399"/>
      <c r="Z28" s="392"/>
      <c r="AA28" s="392"/>
      <c r="AB28" s="206" t="s">
        <v>704</v>
      </c>
      <c r="AC28" s="206" t="s">
        <v>708</v>
      </c>
      <c r="AD28" s="372"/>
      <c r="AE28" s="372"/>
      <c r="AF28" s="372"/>
      <c r="AG28" s="372"/>
      <c r="AH28" s="372"/>
      <c r="AI28" s="372"/>
      <c r="AJ28" s="372"/>
      <c r="AK28" s="372"/>
      <c r="AL28" s="372"/>
      <c r="AM28" s="372"/>
      <c r="AN28" s="372"/>
      <c r="AO28" s="372"/>
      <c r="AP28" s="372"/>
      <c r="AQ28" s="372"/>
      <c r="AR28" s="372"/>
      <c r="AS28" s="372"/>
      <c r="AT28" s="372"/>
      <c r="AU28" s="372"/>
      <c r="AV28" s="372"/>
      <c r="AW28" s="372"/>
      <c r="AX28" s="372"/>
      <c r="AY28" s="372"/>
      <c r="AZ28" s="372"/>
      <c r="BA28" s="372"/>
      <c r="BB28" s="372"/>
      <c r="BC28" s="372"/>
      <c r="BD28" s="372"/>
      <c r="BE28" s="372"/>
      <c r="BF28" s="372"/>
      <c r="BG28" s="372"/>
      <c r="BH28" s="372"/>
      <c r="BI28" s="372"/>
      <c r="BJ28" s="372"/>
      <c r="BK28" s="372"/>
      <c r="BL28" s="372"/>
      <c r="BM28" s="372"/>
      <c r="BN28" s="372"/>
      <c r="BO28" s="372"/>
      <c r="BP28" s="372"/>
      <c r="BQ28" s="372"/>
      <c r="BR28" s="372"/>
      <c r="BS28" s="372"/>
      <c r="BT28" s="372"/>
      <c r="BU28" s="372"/>
      <c r="BV28" s="372"/>
      <c r="BW28" s="372"/>
      <c r="BX28" s="372"/>
      <c r="BY28" s="372"/>
      <c r="BZ28" s="372"/>
      <c r="CA28" s="372"/>
      <c r="CB28" s="372"/>
      <c r="CC28" s="372"/>
      <c r="CD28" s="372"/>
      <c r="CE28" s="372"/>
      <c r="CF28" s="372"/>
      <c r="CG28" s="372"/>
      <c r="CH28" s="372"/>
      <c r="CI28" s="372"/>
      <c r="CJ28" s="372"/>
      <c r="CK28" s="372"/>
      <c r="CL28" s="372"/>
      <c r="CM28" s="372"/>
      <c r="CN28" s="372"/>
      <c r="CO28" s="372"/>
      <c r="CP28" s="372"/>
      <c r="CQ28" s="372"/>
      <c r="CR28" s="372"/>
      <c r="CS28" s="372"/>
      <c r="CT28" s="372"/>
      <c r="CU28" s="372"/>
      <c r="CV28" s="372"/>
      <c r="CW28" s="372"/>
      <c r="CX28" s="372"/>
      <c r="CY28" s="372"/>
      <c r="CZ28" s="372"/>
      <c r="DA28" s="372"/>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row>
    <row r="29" spans="1:237" ht="3" customHeight="1">
      <c r="A29" s="1"/>
      <c r="B29" s="1"/>
      <c r="C29" s="1"/>
      <c r="D29" s="1"/>
      <c r="E29" s="1"/>
      <c r="F29" s="1"/>
      <c r="G29" s="1"/>
      <c r="H29" s="1"/>
      <c r="I29" s="1"/>
      <c r="J29" s="1"/>
      <c r="K29" s="1"/>
      <c r="L29" s="1"/>
      <c r="M29" s="1"/>
      <c r="N29" s="5"/>
      <c r="O29" s="5"/>
      <c r="P29" s="5"/>
      <c r="Q29" s="450"/>
      <c r="R29" s="343"/>
      <c r="S29" s="343"/>
      <c r="T29" s="343"/>
      <c r="U29" s="343"/>
      <c r="V29" s="343"/>
      <c r="W29" s="343"/>
      <c r="X29" s="170"/>
      <c r="Y29" s="399"/>
      <c r="Z29" s="392" t="s">
        <v>701</v>
      </c>
      <c r="AA29" s="393">
        <f>K11/1000000000</f>
        <v>26.670179999999998</v>
      </c>
      <c r="AB29" s="394" t="e">
        <f>AA29/#REF!</f>
        <v>#REF!</v>
      </c>
      <c r="AC29" s="206">
        <v>40</v>
      </c>
      <c r="AD29" s="372"/>
      <c r="AE29" s="372"/>
      <c r="AF29" s="372"/>
      <c r="AG29" s="372"/>
      <c r="AH29" s="372"/>
      <c r="AI29" s="372"/>
      <c r="AJ29" s="372"/>
      <c r="AK29" s="372"/>
      <c r="AL29" s="372"/>
      <c r="AM29" s="372"/>
      <c r="AN29" s="372"/>
      <c r="AO29" s="372"/>
      <c r="AP29" s="372"/>
      <c r="AQ29" s="372"/>
      <c r="AR29" s="372"/>
      <c r="AS29" s="372"/>
      <c r="AT29" s="372"/>
      <c r="AU29" s="372"/>
      <c r="AV29" s="372"/>
      <c r="AW29" s="372"/>
      <c r="AX29" s="372"/>
      <c r="AY29" s="372"/>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c r="BW29" s="372"/>
      <c r="BX29" s="372"/>
      <c r="BY29" s="372"/>
      <c r="BZ29" s="372"/>
      <c r="CA29" s="372"/>
      <c r="CB29" s="372"/>
      <c r="CC29" s="372"/>
      <c r="CD29" s="372"/>
      <c r="CE29" s="372"/>
      <c r="CF29" s="372"/>
      <c r="CG29" s="372"/>
      <c r="CH29" s="372"/>
      <c r="CI29" s="372"/>
      <c r="CJ29" s="372"/>
      <c r="CK29" s="372"/>
      <c r="CL29" s="372"/>
      <c r="CM29" s="372"/>
      <c r="CN29" s="372"/>
      <c r="CO29" s="372"/>
      <c r="CP29" s="372"/>
      <c r="CQ29" s="372"/>
      <c r="CR29" s="372"/>
      <c r="CS29" s="372"/>
      <c r="CT29" s="372"/>
      <c r="CU29" s="372"/>
      <c r="CV29" s="372"/>
      <c r="CW29" s="372"/>
      <c r="CX29" s="372"/>
      <c r="CY29" s="372"/>
      <c r="CZ29" s="372"/>
      <c r="DA29" s="372"/>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row>
    <row r="30" spans="1:237" ht="14.15" customHeight="1">
      <c r="A30" s="222"/>
      <c r="B30" s="1"/>
      <c r="C30" s="1"/>
      <c r="D30" s="1"/>
      <c r="E30" s="1"/>
      <c r="F30" s="1"/>
      <c r="G30" s="1"/>
      <c r="H30" s="1"/>
      <c r="I30" s="1"/>
      <c r="J30" s="1"/>
      <c r="K30" s="1"/>
      <c r="L30" s="1"/>
      <c r="M30" s="1"/>
      <c r="N30" s="5"/>
      <c r="O30" s="5"/>
      <c r="P30" s="5"/>
      <c r="Q30" s="450"/>
      <c r="R30" s="343"/>
      <c r="S30" s="343"/>
      <c r="T30" s="343"/>
      <c r="U30" s="343"/>
      <c r="V30" s="343"/>
      <c r="W30" s="343"/>
      <c r="X30" s="170"/>
      <c r="Y30" s="399"/>
      <c r="Z30" s="392" t="s">
        <v>702</v>
      </c>
      <c r="AA30" s="393">
        <f>K12/1000000000</f>
        <v>1.6889069999999999</v>
      </c>
      <c r="AB30" s="394" t="e">
        <f>AA30/#REF!</f>
        <v>#REF!</v>
      </c>
      <c r="AC30" s="206">
        <v>2</v>
      </c>
      <c r="AD30" s="372"/>
      <c r="AE30" s="372"/>
      <c r="AF30" s="372"/>
      <c r="AG30" s="372"/>
      <c r="AH30" s="372"/>
      <c r="AI30" s="372"/>
      <c r="AJ30" s="372"/>
      <c r="AK30" s="372"/>
      <c r="AL30" s="372"/>
      <c r="AM30" s="372"/>
      <c r="AN30" s="372"/>
      <c r="AO30" s="372"/>
      <c r="AP30" s="372"/>
      <c r="AQ30" s="372"/>
      <c r="AR30" s="372"/>
      <c r="AS30" s="372"/>
      <c r="AT30" s="372"/>
      <c r="AU30" s="372"/>
      <c r="AV30" s="372"/>
      <c r="AW30" s="372"/>
      <c r="AX30" s="372"/>
      <c r="AY30" s="372"/>
      <c r="AZ30" s="372"/>
      <c r="BA30" s="372"/>
      <c r="BB30" s="372"/>
      <c r="BC30" s="372"/>
      <c r="BD30" s="372"/>
      <c r="BE30" s="372"/>
      <c r="BF30" s="372"/>
      <c r="BG30" s="372"/>
      <c r="BH30" s="372"/>
      <c r="BI30" s="372"/>
      <c r="BJ30" s="372"/>
      <c r="BK30" s="372"/>
      <c r="BL30" s="372"/>
      <c r="BM30" s="372"/>
      <c r="BN30" s="372"/>
      <c r="BO30" s="372"/>
      <c r="BP30" s="372"/>
      <c r="BQ30" s="372"/>
      <c r="BR30" s="372"/>
      <c r="BS30" s="372"/>
      <c r="BT30" s="372"/>
      <c r="BU30" s="372"/>
      <c r="BV30" s="372"/>
      <c r="BW30" s="372"/>
      <c r="BX30" s="372"/>
      <c r="BY30" s="372"/>
      <c r="BZ30" s="372"/>
      <c r="CA30" s="372"/>
      <c r="CB30" s="372"/>
      <c r="CC30" s="372"/>
      <c r="CD30" s="372"/>
      <c r="CE30" s="372"/>
      <c r="CF30" s="372"/>
      <c r="CG30" s="372"/>
      <c r="CH30" s="372"/>
      <c r="CI30" s="372"/>
      <c r="CJ30" s="372"/>
      <c r="CK30" s="372"/>
      <c r="CL30" s="372"/>
      <c r="CM30" s="372"/>
      <c r="CN30" s="372"/>
      <c r="CO30" s="372"/>
      <c r="CP30" s="372"/>
      <c r="CQ30" s="372"/>
      <c r="CR30" s="372"/>
      <c r="CS30" s="372"/>
      <c r="CT30" s="372"/>
      <c r="CU30" s="372"/>
      <c r="CV30" s="372"/>
      <c r="CW30" s="372"/>
      <c r="CX30" s="372"/>
      <c r="CY30" s="372"/>
      <c r="CZ30" s="372"/>
      <c r="DA30" s="372"/>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row>
    <row r="31" spans="1:237" ht="15.75" customHeight="1">
      <c r="A31" s="3" t="s">
        <v>8</v>
      </c>
      <c r="B31" s="1"/>
      <c r="C31" s="1"/>
      <c r="D31" s="1"/>
      <c r="E31" s="1"/>
      <c r="F31" s="1"/>
      <c r="G31" s="1"/>
      <c r="H31" s="1"/>
      <c r="I31" s="1"/>
      <c r="J31" s="1"/>
      <c r="K31" s="1"/>
      <c r="L31" s="1"/>
      <c r="M31" s="1"/>
      <c r="N31" s="5"/>
      <c r="O31" s="5"/>
      <c r="P31" s="5"/>
      <c r="Q31" s="450"/>
      <c r="R31" s="343"/>
      <c r="S31" s="343"/>
      <c r="V31" s="343"/>
      <c r="W31" s="343"/>
      <c r="X31" s="170"/>
      <c r="Y31" s="399"/>
      <c r="Z31" s="392" t="s">
        <v>703</v>
      </c>
      <c r="AA31" s="393">
        <f>K17/1000000000</f>
        <v>44.721814000000002</v>
      </c>
      <c r="AB31" s="394" t="e">
        <f>AA31/#REF!</f>
        <v>#REF!</v>
      </c>
      <c r="AC31" s="206">
        <v>56</v>
      </c>
      <c r="AD31" s="372"/>
      <c r="AE31" s="372"/>
      <c r="AF31" s="372"/>
      <c r="AG31" s="372"/>
      <c r="AH31" s="372"/>
      <c r="AI31" s="372"/>
      <c r="AJ31" s="372"/>
      <c r="AK31" s="372"/>
      <c r="AL31" s="372"/>
      <c r="AM31" s="372"/>
      <c r="AN31" s="372"/>
      <c r="AO31" s="372"/>
      <c r="AP31" s="372"/>
      <c r="AQ31" s="372"/>
      <c r="AR31" s="372"/>
      <c r="AS31" s="372"/>
      <c r="AT31" s="372"/>
      <c r="AU31" s="372"/>
      <c r="AV31" s="372"/>
      <c r="AW31" s="372"/>
      <c r="AX31" s="372"/>
      <c r="AY31" s="372"/>
      <c r="AZ31" s="372"/>
      <c r="BA31" s="372"/>
      <c r="BB31" s="372"/>
      <c r="BC31" s="372"/>
      <c r="BD31" s="372"/>
      <c r="BE31" s="372"/>
      <c r="BF31" s="372"/>
      <c r="BG31" s="372"/>
      <c r="BH31" s="372"/>
      <c r="BI31" s="372"/>
      <c r="BJ31" s="372"/>
      <c r="BK31" s="372"/>
      <c r="BL31" s="372"/>
      <c r="BM31" s="372"/>
      <c r="BN31" s="372"/>
      <c r="BO31" s="372"/>
      <c r="BP31" s="372"/>
      <c r="BQ31" s="372"/>
      <c r="BR31" s="372"/>
      <c r="BS31" s="372"/>
      <c r="BT31" s="372"/>
      <c r="BU31" s="372"/>
      <c r="BV31" s="372"/>
      <c r="BW31" s="372"/>
      <c r="BX31" s="372"/>
      <c r="BY31" s="372"/>
      <c r="BZ31" s="372"/>
      <c r="CA31" s="372"/>
      <c r="CB31" s="372"/>
      <c r="CC31" s="372"/>
      <c r="CD31" s="372"/>
      <c r="CE31" s="372"/>
      <c r="CF31" s="372"/>
      <c r="CG31" s="372"/>
      <c r="CH31" s="372"/>
      <c r="CI31" s="372"/>
      <c r="CJ31" s="372"/>
      <c r="CK31" s="372"/>
      <c r="CL31" s="372"/>
      <c r="CM31" s="372"/>
      <c r="CN31" s="372"/>
      <c r="CO31" s="372"/>
      <c r="CP31" s="372"/>
      <c r="CQ31" s="372"/>
      <c r="CR31" s="372"/>
      <c r="CS31" s="372"/>
      <c r="CT31" s="372"/>
      <c r="CU31" s="372"/>
      <c r="CV31" s="372"/>
      <c r="CW31" s="372"/>
      <c r="CX31" s="372"/>
      <c r="CY31" s="372"/>
      <c r="CZ31" s="372"/>
      <c r="DA31" s="372"/>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row>
    <row r="32" spans="1:237" ht="24" customHeight="1">
      <c r="A32" s="656"/>
      <c r="B32" s="1"/>
      <c r="C32" s="1"/>
      <c r="D32" s="1"/>
      <c r="E32" s="1"/>
      <c r="F32" s="1"/>
      <c r="G32" s="1"/>
      <c r="H32" s="1"/>
      <c r="I32" s="1"/>
      <c r="J32" s="1"/>
      <c r="K32" s="1"/>
      <c r="L32" s="1"/>
      <c r="M32" s="657"/>
      <c r="N32" s="367"/>
      <c r="O32" s="5"/>
      <c r="P32" s="5"/>
      <c r="Q32" s="450"/>
      <c r="R32" s="343"/>
      <c r="S32" s="343"/>
      <c r="T32" s="571"/>
      <c r="U32" s="571"/>
      <c r="V32" s="343"/>
      <c r="W32" s="343"/>
      <c r="X32" s="170"/>
      <c r="Y32" s="399"/>
      <c r="Z32" s="392"/>
      <c r="AA32" s="392">
        <f>34.3+1.4+1.6+62.7</f>
        <v>100</v>
      </c>
      <c r="AB32" s="206"/>
      <c r="AC32" s="206"/>
      <c r="AD32" s="372"/>
      <c r="AE32" s="372"/>
      <c r="AF32" s="372"/>
      <c r="AG32" s="372"/>
      <c r="AH32" s="372"/>
      <c r="AI32" s="372"/>
      <c r="AJ32" s="372"/>
      <c r="AK32" s="372"/>
      <c r="AL32" s="372"/>
      <c r="AM32" s="372"/>
      <c r="AN32" s="372"/>
      <c r="AO32" s="372"/>
      <c r="AP32" s="372"/>
      <c r="AQ32" s="372"/>
      <c r="AR32" s="372"/>
      <c r="AS32" s="372"/>
      <c r="AT32" s="372"/>
      <c r="AU32" s="372"/>
      <c r="AV32" s="372"/>
      <c r="AW32" s="372"/>
      <c r="AX32" s="372"/>
      <c r="AY32" s="372"/>
      <c r="AZ32" s="372"/>
      <c r="BA32" s="372"/>
      <c r="BB32" s="372"/>
      <c r="BC32" s="372"/>
      <c r="BD32" s="372"/>
      <c r="BE32" s="372"/>
      <c r="BF32" s="372"/>
      <c r="BG32" s="372"/>
      <c r="BH32" s="372"/>
      <c r="BI32" s="372"/>
      <c r="BJ32" s="372"/>
      <c r="BK32" s="372"/>
      <c r="BL32" s="372"/>
      <c r="BM32" s="372"/>
      <c r="BN32" s="372"/>
      <c r="BO32" s="372"/>
      <c r="BP32" s="372"/>
      <c r="BQ32" s="372"/>
      <c r="BR32" s="372"/>
      <c r="BS32" s="372"/>
      <c r="BT32" s="372"/>
      <c r="BU32" s="372"/>
      <c r="BV32" s="372"/>
      <c r="BW32" s="372"/>
      <c r="BX32" s="372"/>
      <c r="BY32" s="372"/>
      <c r="BZ32" s="372"/>
      <c r="CA32" s="372"/>
      <c r="CB32" s="372"/>
      <c r="CC32" s="372"/>
      <c r="CD32" s="372"/>
      <c r="CE32" s="372"/>
      <c r="CF32" s="372"/>
      <c r="CG32" s="372"/>
      <c r="CH32" s="372"/>
      <c r="CI32" s="372"/>
      <c r="CJ32" s="372"/>
      <c r="CK32" s="372"/>
      <c r="CL32" s="372"/>
      <c r="CM32" s="372"/>
      <c r="CN32" s="372"/>
      <c r="CO32" s="372"/>
      <c r="CP32" s="372"/>
      <c r="CQ32" s="372"/>
      <c r="CR32" s="372"/>
      <c r="CS32" s="372"/>
      <c r="CT32" s="372"/>
      <c r="CU32" s="372"/>
      <c r="CV32" s="372"/>
      <c r="CW32" s="372"/>
      <c r="CX32" s="372"/>
      <c r="CY32" s="372"/>
      <c r="CZ32" s="372"/>
      <c r="DA32" s="372"/>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row>
    <row r="33" spans="1:239" ht="15" customHeight="1">
      <c r="A33" s="7" t="s">
        <v>9</v>
      </c>
      <c r="B33" s="560">
        <f>B3</f>
        <v>2014</v>
      </c>
      <c r="C33" s="560" t="str">
        <f>C3</f>
        <v>FY 2015</v>
      </c>
      <c r="D33" s="560" t="str">
        <f>D3</f>
        <v>FY 2016</v>
      </c>
      <c r="E33" s="560" t="str">
        <f>E3</f>
        <v>FY 2017</v>
      </c>
      <c r="F33" s="560" t="str">
        <f>F3</f>
        <v>FY 2018</v>
      </c>
      <c r="G33" s="560"/>
      <c r="H33" s="1421" t="s">
        <v>886</v>
      </c>
      <c r="I33" s="1421" t="s">
        <v>887</v>
      </c>
      <c r="J33" s="560" t="s">
        <v>1168</v>
      </c>
      <c r="K33" s="2" t="s">
        <v>1263</v>
      </c>
      <c r="L33" s="2" t="s">
        <v>1313</v>
      </c>
      <c r="M33" s="658"/>
      <c r="N33" s="448"/>
      <c r="O33" s="5"/>
      <c r="P33" s="5"/>
      <c r="Q33" s="450"/>
      <c r="R33" s="343"/>
      <c r="S33" s="343"/>
      <c r="T33" s="571"/>
      <c r="U33" s="571"/>
      <c r="V33" s="343"/>
      <c r="W33" s="343"/>
      <c r="X33" s="170"/>
      <c r="Y33" s="399"/>
      <c r="Z33" s="399"/>
      <c r="AA33" s="399"/>
      <c r="AB33" s="170"/>
      <c r="AC33" s="206"/>
      <c r="AD33" s="372"/>
      <c r="AE33" s="372"/>
      <c r="AF33" s="372"/>
      <c r="AG33" s="372"/>
      <c r="AH33" s="372"/>
      <c r="AI33" s="372"/>
      <c r="AJ33" s="372"/>
      <c r="AK33" s="372"/>
      <c r="AL33" s="372"/>
      <c r="AM33" s="372"/>
      <c r="AN33" s="372"/>
      <c r="AO33" s="372"/>
      <c r="AP33" s="372"/>
      <c r="AQ33" s="372"/>
      <c r="AR33" s="372"/>
      <c r="AS33" s="372"/>
      <c r="AT33" s="372"/>
      <c r="AU33" s="372"/>
      <c r="AV33" s="372"/>
      <c r="AW33" s="372"/>
      <c r="AX33" s="372"/>
      <c r="AY33" s="372"/>
      <c r="AZ33" s="372"/>
      <c r="BA33" s="372"/>
      <c r="BB33" s="372"/>
      <c r="BC33" s="372"/>
      <c r="BD33" s="372"/>
      <c r="BE33" s="372"/>
      <c r="BF33" s="372"/>
      <c r="BG33" s="372"/>
      <c r="BH33" s="372"/>
      <c r="BI33" s="372"/>
      <c r="BJ33" s="372"/>
      <c r="BK33" s="372"/>
      <c r="BL33" s="372"/>
      <c r="BM33" s="372"/>
      <c r="BN33" s="372"/>
      <c r="BO33" s="372"/>
      <c r="BP33" s="372"/>
      <c r="BQ33" s="372"/>
      <c r="BR33" s="372"/>
      <c r="BS33" s="372"/>
      <c r="BT33" s="372"/>
      <c r="BU33" s="372"/>
      <c r="BV33" s="372"/>
      <c r="BW33" s="372"/>
      <c r="BX33" s="372"/>
      <c r="BY33" s="372"/>
      <c r="BZ33" s="372"/>
      <c r="CA33" s="372"/>
      <c r="CB33" s="372"/>
      <c r="CC33" s="372"/>
      <c r="CD33" s="372"/>
      <c r="CE33" s="372"/>
      <c r="CF33" s="372"/>
      <c r="CG33" s="372"/>
      <c r="CH33" s="372"/>
      <c r="CI33" s="372"/>
      <c r="CJ33" s="372"/>
      <c r="CK33" s="372"/>
      <c r="CL33" s="372"/>
      <c r="CM33" s="372"/>
      <c r="CN33" s="372"/>
      <c r="CO33" s="372"/>
      <c r="CP33" s="372"/>
      <c r="CQ33" s="372"/>
      <c r="CR33" s="372"/>
      <c r="CS33" s="372"/>
      <c r="CT33" s="372"/>
      <c r="CU33" s="372"/>
      <c r="CV33" s="372"/>
      <c r="CW33" s="372"/>
      <c r="CX33" s="372"/>
      <c r="CY33" s="372"/>
      <c r="CZ33" s="372"/>
      <c r="DA33" s="372"/>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row>
    <row r="34" spans="1:239" ht="15" customHeight="1">
      <c r="A34" s="1" t="s">
        <v>10</v>
      </c>
      <c r="B34" s="659"/>
      <c r="C34" s="659"/>
      <c r="D34" s="659"/>
      <c r="E34" s="659"/>
      <c r="F34" s="659"/>
      <c r="G34" s="659"/>
      <c r="H34" s="659">
        <v>46141801.780000001</v>
      </c>
      <c r="I34" s="659">
        <v>49790482.079999998</v>
      </c>
      <c r="J34" s="659">
        <v>53009157.850000001</v>
      </c>
      <c r="K34" s="1580">
        <v>53865800.609999999</v>
      </c>
      <c r="L34" s="1580">
        <v>52714447.130000003</v>
      </c>
      <c r="M34" s="660"/>
      <c r="N34" s="456"/>
      <c r="O34" s="1309"/>
      <c r="P34" s="1309"/>
      <c r="Q34" s="450"/>
      <c r="R34" s="343"/>
      <c r="S34" s="343"/>
      <c r="T34" s="571"/>
      <c r="U34" s="571"/>
      <c r="V34" s="343"/>
      <c r="W34" s="343"/>
      <c r="X34" s="170"/>
      <c r="Y34" s="399"/>
      <c r="Z34" s="399"/>
      <c r="AA34" s="399"/>
      <c r="AB34" s="170"/>
      <c r="AC34" s="372"/>
      <c r="AD34" s="372"/>
      <c r="AE34" s="372"/>
      <c r="AF34" s="372"/>
      <c r="AG34" s="372"/>
      <c r="AH34" s="372"/>
      <c r="AI34" s="372"/>
      <c r="AJ34" s="372"/>
      <c r="AK34" s="372"/>
      <c r="AL34" s="372"/>
      <c r="AM34" s="372"/>
      <c r="AN34" s="372"/>
      <c r="AO34" s="372"/>
      <c r="AP34" s="372"/>
      <c r="AQ34" s="372"/>
      <c r="AR34" s="372"/>
      <c r="AS34" s="372"/>
      <c r="AT34" s="372"/>
      <c r="AU34" s="372"/>
      <c r="AV34" s="372"/>
      <c r="AW34" s="372"/>
      <c r="AX34" s="372"/>
      <c r="AY34" s="372"/>
      <c r="AZ34" s="372"/>
      <c r="BA34" s="372"/>
      <c r="BB34" s="372"/>
      <c r="BC34" s="372"/>
      <c r="BD34" s="372"/>
      <c r="BE34" s="372"/>
      <c r="BF34" s="372"/>
      <c r="BG34" s="372"/>
      <c r="BH34" s="372"/>
      <c r="BI34" s="372"/>
      <c r="BJ34" s="372"/>
      <c r="BK34" s="372"/>
      <c r="BL34" s="372"/>
      <c r="BM34" s="372"/>
      <c r="BN34" s="372"/>
      <c r="BO34" s="372"/>
      <c r="BP34" s="372"/>
      <c r="BQ34" s="372"/>
      <c r="BR34" s="372"/>
      <c r="BS34" s="372"/>
      <c r="BT34" s="372"/>
      <c r="BU34" s="372"/>
      <c r="BV34" s="372"/>
      <c r="BW34" s="372"/>
      <c r="BX34" s="372"/>
      <c r="BY34" s="372"/>
      <c r="BZ34" s="372"/>
      <c r="CA34" s="372"/>
      <c r="CB34" s="372"/>
      <c r="CC34" s="372"/>
      <c r="CD34" s="372"/>
      <c r="CE34" s="372"/>
      <c r="CF34" s="372"/>
      <c r="CG34" s="372"/>
      <c r="CH34" s="372"/>
      <c r="CI34" s="372"/>
      <c r="CJ34" s="372"/>
      <c r="CK34" s="372"/>
      <c r="CL34" s="372"/>
      <c r="CM34" s="372"/>
      <c r="CN34" s="372"/>
      <c r="CO34" s="372"/>
      <c r="CP34" s="372"/>
      <c r="CQ34" s="372"/>
      <c r="CR34" s="372"/>
      <c r="CS34" s="372"/>
      <c r="CT34" s="372"/>
      <c r="CU34" s="372"/>
      <c r="CV34" s="372"/>
      <c r="CW34" s="372"/>
      <c r="CX34" s="372"/>
      <c r="CY34" s="372"/>
      <c r="CZ34" s="372"/>
      <c r="DA34" s="372"/>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row>
    <row r="35" spans="1:239" ht="15.5">
      <c r="A35" s="1" t="s">
        <v>11</v>
      </c>
      <c r="B35" s="661"/>
      <c r="C35" s="661"/>
      <c r="D35" s="661"/>
      <c r="E35" s="661"/>
      <c r="F35" s="661"/>
      <c r="G35" s="661"/>
      <c r="H35" s="661">
        <v>4532077.97</v>
      </c>
      <c r="I35" s="661">
        <v>4206599.4400000004</v>
      </c>
      <c r="J35" s="661">
        <v>4272472.38</v>
      </c>
      <c r="K35" s="1581">
        <v>4541304.24</v>
      </c>
      <c r="L35" s="1581">
        <v>5167145.42</v>
      </c>
      <c r="M35" s="660"/>
      <c r="N35" s="456"/>
      <c r="O35" s="1309"/>
      <c r="P35" s="1309"/>
      <c r="Q35" s="450"/>
      <c r="R35" s="343"/>
      <c r="S35" s="343"/>
      <c r="T35" s="572"/>
      <c r="U35" s="572"/>
      <c r="V35" s="343"/>
      <c r="W35" s="343"/>
      <c r="X35" s="170"/>
      <c r="Y35" s="399"/>
      <c r="Z35" s="399"/>
      <c r="AA35" s="399"/>
      <c r="AB35" s="372"/>
      <c r="AC35" s="372"/>
      <c r="AD35" s="372"/>
      <c r="AE35" s="372"/>
      <c r="AF35" s="372"/>
      <c r="AG35" s="372"/>
      <c r="AH35" s="372"/>
      <c r="AI35" s="372"/>
      <c r="AJ35" s="372"/>
      <c r="AK35" s="372"/>
      <c r="AL35" s="372"/>
      <c r="AM35" s="372"/>
      <c r="AN35" s="372"/>
      <c r="AO35" s="372"/>
      <c r="AP35" s="372"/>
      <c r="AQ35" s="372"/>
      <c r="AR35" s="372"/>
      <c r="AS35" s="372"/>
      <c r="AT35" s="372"/>
      <c r="AU35" s="372"/>
      <c r="AV35" s="372"/>
      <c r="AW35" s="372"/>
      <c r="AX35" s="372"/>
      <c r="AY35" s="372"/>
      <c r="AZ35" s="372"/>
      <c r="BA35" s="372"/>
      <c r="BB35" s="372"/>
      <c r="BC35" s="372"/>
      <c r="BD35" s="372"/>
      <c r="BE35" s="372"/>
      <c r="BF35" s="372"/>
      <c r="BG35" s="372"/>
      <c r="BH35" s="372"/>
      <c r="BI35" s="372"/>
      <c r="BJ35" s="372"/>
      <c r="BK35" s="372"/>
      <c r="BL35" s="372"/>
      <c r="BM35" s="372"/>
      <c r="BN35" s="372"/>
      <c r="BO35" s="372"/>
      <c r="BP35" s="372"/>
      <c r="BQ35" s="372"/>
      <c r="BR35" s="372"/>
      <c r="BS35" s="372"/>
      <c r="BT35" s="372"/>
      <c r="BU35" s="372"/>
      <c r="BV35" s="372"/>
      <c r="BW35" s="372"/>
      <c r="BX35" s="372"/>
      <c r="BY35" s="372"/>
      <c r="BZ35" s="372"/>
      <c r="CA35" s="372"/>
      <c r="CB35" s="372"/>
      <c r="CC35" s="372"/>
      <c r="CD35" s="372"/>
      <c r="CE35" s="372"/>
      <c r="CF35" s="372"/>
      <c r="CG35" s="372"/>
      <c r="CH35" s="372"/>
      <c r="CI35" s="372"/>
      <c r="CJ35" s="372"/>
      <c r="CK35" s="372"/>
      <c r="CL35" s="372"/>
      <c r="CM35" s="372"/>
      <c r="CN35" s="372"/>
      <c r="CO35" s="372"/>
      <c r="CP35" s="372"/>
      <c r="CQ35" s="372"/>
      <c r="CR35" s="372"/>
      <c r="CS35" s="372"/>
      <c r="CT35" s="372"/>
      <c r="CU35" s="372"/>
      <c r="CV35" s="372"/>
      <c r="CW35" s="372"/>
      <c r="CX35" s="372"/>
      <c r="CY35" s="372"/>
      <c r="CZ35" s="372"/>
      <c r="DA35" s="372"/>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row>
    <row r="36" spans="1:239" ht="15.75" customHeight="1">
      <c r="A36" s="395" t="s">
        <v>773</v>
      </c>
      <c r="B36" s="662"/>
      <c r="C36" s="662"/>
      <c r="D36" s="662"/>
      <c r="E36" s="662"/>
      <c r="F36" s="662"/>
      <c r="G36" s="662"/>
      <c r="H36" s="662">
        <v>530984.82999999996</v>
      </c>
      <c r="I36" s="662">
        <v>597142.44000000006</v>
      </c>
      <c r="J36" s="662">
        <v>556301.28999999992</v>
      </c>
      <c r="K36" s="1581">
        <v>430433.49</v>
      </c>
      <c r="L36" s="1581">
        <v>552139.9</v>
      </c>
      <c r="M36" s="660"/>
      <c r="N36" s="456"/>
      <c r="O36" s="1309"/>
      <c r="P36" s="1309"/>
      <c r="Q36" s="450"/>
      <c r="R36" s="343"/>
      <c r="S36" s="343"/>
      <c r="T36" s="572"/>
      <c r="U36" s="572"/>
      <c r="V36" s="343"/>
      <c r="W36" s="343"/>
      <c r="X36" s="170"/>
      <c r="Y36" s="399"/>
      <c r="Z36" s="399"/>
      <c r="AA36" s="399"/>
      <c r="AB36" s="372"/>
      <c r="AC36" s="372"/>
      <c r="AD36" s="372"/>
      <c r="AE36" s="372"/>
      <c r="AF36" s="372"/>
      <c r="AG36" s="372"/>
      <c r="AH36" s="372"/>
      <c r="AI36" s="372"/>
      <c r="AJ36" s="372"/>
      <c r="AK36" s="372"/>
      <c r="AL36" s="372"/>
      <c r="AM36" s="372"/>
      <c r="AN36" s="372"/>
      <c r="AO36" s="372"/>
      <c r="AP36" s="372"/>
      <c r="AQ36" s="372"/>
      <c r="AR36" s="372"/>
      <c r="AS36" s="372"/>
      <c r="AT36" s="372"/>
      <c r="AU36" s="372"/>
      <c r="AV36" s="372"/>
      <c r="AW36" s="372"/>
      <c r="AX36" s="372"/>
      <c r="AY36" s="372"/>
      <c r="AZ36" s="372"/>
      <c r="BA36" s="372"/>
      <c r="BB36" s="372"/>
      <c r="BC36" s="372"/>
      <c r="BD36" s="372"/>
      <c r="BE36" s="372"/>
      <c r="BF36" s="372"/>
      <c r="BG36" s="372"/>
      <c r="BH36" s="372"/>
      <c r="BI36" s="372"/>
      <c r="BJ36" s="372"/>
      <c r="BK36" s="372"/>
      <c r="BL36" s="372"/>
      <c r="BM36" s="372"/>
      <c r="BN36" s="372"/>
      <c r="BO36" s="372"/>
      <c r="BP36" s="372"/>
      <c r="BQ36" s="372"/>
      <c r="BR36" s="372"/>
      <c r="BS36" s="372"/>
      <c r="BT36" s="372"/>
      <c r="BU36" s="372"/>
      <c r="BV36" s="372"/>
      <c r="BW36" s="372"/>
      <c r="BX36" s="372"/>
      <c r="BY36" s="372"/>
      <c r="BZ36" s="372"/>
      <c r="CA36" s="372"/>
      <c r="CB36" s="372"/>
      <c r="CC36" s="372"/>
      <c r="CD36" s="372"/>
      <c r="CE36" s="372"/>
      <c r="CF36" s="372"/>
      <c r="CG36" s="372"/>
      <c r="CH36" s="372"/>
      <c r="CI36" s="372"/>
      <c r="CJ36" s="372"/>
      <c r="CK36" s="372"/>
      <c r="CL36" s="372"/>
      <c r="CM36" s="372"/>
      <c r="CN36" s="372"/>
      <c r="CO36" s="372"/>
      <c r="CP36" s="372"/>
      <c r="CQ36" s="372"/>
      <c r="CR36" s="372"/>
      <c r="CS36" s="372"/>
      <c r="CT36" s="372"/>
      <c r="CU36" s="372"/>
      <c r="CV36" s="372"/>
      <c r="CW36" s="372"/>
      <c r="CX36" s="372"/>
      <c r="CY36" s="372"/>
      <c r="CZ36" s="372"/>
      <c r="DA36" s="372"/>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row>
    <row r="37" spans="1:239" ht="14.15" customHeight="1">
      <c r="A37" s="1043" t="s">
        <v>12</v>
      </c>
      <c r="B37" s="1044"/>
      <c r="C37" s="1044"/>
      <c r="D37" s="1044"/>
      <c r="E37" s="1044"/>
      <c r="F37" s="1044"/>
      <c r="G37" s="1044"/>
      <c r="H37" s="1044">
        <v>50055446.57</v>
      </c>
      <c r="I37" s="1044">
        <v>45005355.57</v>
      </c>
      <c r="J37" s="1044">
        <v>50107750.920000002</v>
      </c>
      <c r="K37" s="1582">
        <v>55521996.640000001</v>
      </c>
      <c r="L37" s="1582">
        <v>59205687.380000003</v>
      </c>
      <c r="M37" s="660"/>
      <c r="N37" s="456"/>
      <c r="O37" s="1309"/>
      <c r="P37" s="1309"/>
      <c r="Q37" s="450"/>
      <c r="R37" s="343"/>
      <c r="S37" s="343"/>
      <c r="T37" s="572"/>
      <c r="U37" s="572"/>
      <c r="V37" s="343"/>
      <c r="W37" s="343"/>
      <c r="X37" s="170"/>
      <c r="AB37" s="372"/>
      <c r="AC37" s="372"/>
      <c r="AD37" s="372"/>
      <c r="AE37" s="372"/>
      <c r="AF37" s="372"/>
      <c r="AG37" s="372"/>
      <c r="AH37" s="372"/>
      <c r="AI37" s="372"/>
      <c r="AJ37" s="372"/>
      <c r="AK37" s="372"/>
      <c r="AL37" s="372"/>
      <c r="AM37" s="372"/>
      <c r="AN37" s="372"/>
      <c r="AO37" s="372"/>
      <c r="AP37" s="372"/>
      <c r="AQ37" s="372"/>
      <c r="AR37" s="372"/>
      <c r="AS37" s="372"/>
      <c r="AT37" s="372"/>
      <c r="AU37" s="372"/>
      <c r="AV37" s="372"/>
      <c r="AW37" s="372"/>
      <c r="AX37" s="372"/>
      <c r="AY37" s="372"/>
      <c r="AZ37" s="372"/>
      <c r="BA37" s="372"/>
      <c r="BB37" s="372"/>
      <c r="BC37" s="372"/>
      <c r="BD37" s="372"/>
      <c r="BE37" s="372"/>
      <c r="BF37" s="372"/>
      <c r="BG37" s="372"/>
      <c r="BH37" s="372"/>
      <c r="BI37" s="372"/>
      <c r="BJ37" s="372"/>
      <c r="BK37" s="372"/>
      <c r="BL37" s="372"/>
      <c r="BM37" s="372"/>
      <c r="BN37" s="372"/>
      <c r="BO37" s="372"/>
      <c r="BP37" s="372"/>
      <c r="BQ37" s="372"/>
      <c r="BR37" s="372"/>
      <c r="BS37" s="372"/>
      <c r="BT37" s="372"/>
      <c r="BU37" s="372"/>
      <c r="BV37" s="372"/>
      <c r="BW37" s="372"/>
      <c r="BX37" s="372"/>
      <c r="BY37" s="372"/>
      <c r="BZ37" s="372"/>
      <c r="CA37" s="372"/>
      <c r="CB37" s="372"/>
      <c r="CC37" s="372"/>
      <c r="CD37" s="372"/>
      <c r="CE37" s="372"/>
      <c r="CF37" s="372"/>
      <c r="CG37" s="372"/>
      <c r="CH37" s="372"/>
      <c r="CI37" s="372"/>
      <c r="CJ37" s="372"/>
      <c r="CK37" s="372"/>
      <c r="CL37" s="372"/>
      <c r="CM37" s="372"/>
      <c r="CN37" s="372"/>
      <c r="CO37" s="372"/>
      <c r="CP37" s="372"/>
      <c r="CQ37" s="372"/>
      <c r="CR37" s="372"/>
      <c r="CS37" s="372"/>
      <c r="CT37" s="372"/>
      <c r="CU37" s="372"/>
      <c r="CV37" s="372"/>
      <c r="CW37" s="372"/>
      <c r="CX37" s="372"/>
      <c r="CY37" s="372"/>
      <c r="CZ37" s="372"/>
      <c r="DA37" s="372"/>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row>
    <row r="38" spans="1:239" ht="15.75" customHeight="1" thickBot="1">
      <c r="A38" s="664" t="s">
        <v>13</v>
      </c>
      <c r="B38" s="1031">
        <f t="shared" ref="B38:L38" si="18">SUM(B34:B37)</f>
        <v>0</v>
      </c>
      <c r="C38" s="1031">
        <f t="shared" si="18"/>
        <v>0</v>
      </c>
      <c r="D38" s="1031">
        <f t="shared" si="18"/>
        <v>0</v>
      </c>
      <c r="E38" s="1031">
        <f t="shared" si="18"/>
        <v>0</v>
      </c>
      <c r="F38" s="1031">
        <f t="shared" si="18"/>
        <v>0</v>
      </c>
      <c r="G38" s="1031"/>
      <c r="H38" s="1031">
        <f t="shared" si="18"/>
        <v>101260311.15000001</v>
      </c>
      <c r="I38" s="1031">
        <f t="shared" ref="I38" si="19">SUM(I34:I37)</f>
        <v>99599579.530000001</v>
      </c>
      <c r="J38" s="1031">
        <f t="shared" si="18"/>
        <v>107945682.44</v>
      </c>
      <c r="K38" s="1583">
        <f t="shared" si="18"/>
        <v>114359534.98</v>
      </c>
      <c r="L38" s="1583">
        <f t="shared" si="18"/>
        <v>117639419.83000001</v>
      </c>
      <c r="M38" s="663"/>
      <c r="N38" s="449"/>
      <c r="O38" s="1309"/>
      <c r="P38" s="1309"/>
      <c r="Q38" s="450"/>
      <c r="R38" s="343"/>
      <c r="S38" s="343"/>
      <c r="T38" s="572"/>
      <c r="U38" s="572"/>
      <c r="V38" s="343"/>
      <c r="W38" s="343"/>
      <c r="X38" s="170"/>
      <c r="AB38" s="372"/>
      <c r="AC38" s="372"/>
      <c r="AD38" s="372"/>
      <c r="AE38" s="372"/>
      <c r="AF38" s="372"/>
      <c r="AG38" s="372"/>
      <c r="AH38" s="372"/>
      <c r="AI38" s="372"/>
      <c r="AJ38" s="372"/>
      <c r="AK38" s="372"/>
      <c r="AL38" s="372"/>
      <c r="AM38" s="372"/>
      <c r="AN38" s="372"/>
      <c r="AO38" s="372"/>
      <c r="AP38" s="372"/>
      <c r="AQ38" s="372"/>
      <c r="AR38" s="372"/>
      <c r="AS38" s="372"/>
      <c r="AT38" s="372"/>
      <c r="AU38" s="372"/>
      <c r="AV38" s="372"/>
      <c r="AW38" s="372"/>
      <c r="AX38" s="372"/>
      <c r="AY38" s="372"/>
      <c r="AZ38" s="372"/>
      <c r="BA38" s="372"/>
      <c r="BB38" s="372"/>
      <c r="BC38" s="372"/>
      <c r="BD38" s="372"/>
      <c r="BE38" s="372"/>
      <c r="BF38" s="372"/>
      <c r="BG38" s="372"/>
      <c r="BH38" s="372"/>
      <c r="BI38" s="372"/>
      <c r="BJ38" s="372"/>
      <c r="BK38" s="372"/>
      <c r="BL38" s="372"/>
      <c r="BM38" s="372"/>
      <c r="BN38" s="372"/>
      <c r="BO38" s="372"/>
      <c r="BP38" s="372"/>
      <c r="BQ38" s="372"/>
      <c r="BR38" s="372"/>
      <c r="BS38" s="372"/>
      <c r="BT38" s="372"/>
      <c r="BU38" s="372"/>
      <c r="BV38" s="372"/>
      <c r="BW38" s="372"/>
      <c r="BX38" s="372"/>
      <c r="BY38" s="372"/>
      <c r="BZ38" s="372"/>
      <c r="CA38" s="372"/>
      <c r="CB38" s="372"/>
      <c r="CC38" s="372"/>
      <c r="CD38" s="372"/>
      <c r="CE38" s="372"/>
      <c r="CF38" s="372"/>
      <c r="CG38" s="372"/>
      <c r="CH38" s="372"/>
      <c r="CI38" s="372"/>
      <c r="CJ38" s="372"/>
      <c r="CK38" s="372"/>
      <c r="CL38" s="372"/>
      <c r="CM38" s="372"/>
      <c r="CN38" s="372"/>
      <c r="CO38" s="372"/>
      <c r="CP38" s="372"/>
      <c r="CQ38" s="372"/>
      <c r="CR38" s="372"/>
      <c r="CS38" s="372"/>
      <c r="CT38" s="372"/>
      <c r="CU38" s="372"/>
      <c r="CV38" s="372"/>
      <c r="CW38" s="372"/>
      <c r="CX38" s="372"/>
      <c r="CY38" s="372"/>
      <c r="CZ38" s="372"/>
      <c r="DA38" s="372"/>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row>
    <row r="39" spans="1:239" ht="14" customHeight="1" thickTop="1">
      <c r="A39" s="1"/>
      <c r="B39" s="1032"/>
      <c r="C39" s="1032"/>
      <c r="D39" s="1032"/>
      <c r="E39" s="1032"/>
      <c r="F39" s="1032"/>
      <c r="G39" s="1032"/>
      <c r="H39" s="1032"/>
      <c r="I39" s="1032"/>
      <c r="J39" s="1032"/>
      <c r="K39" s="1580"/>
      <c r="L39" s="1580"/>
      <c r="M39" s="663"/>
      <c r="N39" s="448"/>
      <c r="O39" s="5"/>
      <c r="P39" s="5"/>
      <c r="Q39" s="450"/>
      <c r="R39" s="343"/>
      <c r="S39" s="343"/>
      <c r="T39" s="571"/>
      <c r="U39" s="571"/>
      <c r="V39" s="343"/>
      <c r="W39" s="343"/>
      <c r="X39" s="372"/>
      <c r="AB39" s="372"/>
      <c r="AC39" s="372"/>
      <c r="AD39" s="372"/>
      <c r="AE39" s="372"/>
      <c r="AF39" s="372"/>
      <c r="AG39" s="372"/>
      <c r="AH39" s="372"/>
      <c r="AI39" s="372"/>
      <c r="AJ39" s="372"/>
      <c r="AK39" s="372"/>
      <c r="AL39" s="372"/>
      <c r="AM39" s="372"/>
      <c r="AN39" s="372"/>
      <c r="AO39" s="372"/>
      <c r="AP39" s="372"/>
      <c r="AQ39" s="372"/>
      <c r="AR39" s="372"/>
      <c r="AS39" s="372"/>
      <c r="AT39" s="372"/>
      <c r="AU39" s="372"/>
      <c r="AV39" s="372"/>
      <c r="AW39" s="372"/>
      <c r="AX39" s="372"/>
      <c r="AY39" s="372"/>
      <c r="AZ39" s="372"/>
      <c r="BA39" s="372"/>
      <c r="BB39" s="372"/>
      <c r="BC39" s="372"/>
      <c r="BD39" s="372"/>
      <c r="BE39" s="372"/>
      <c r="BF39" s="372"/>
      <c r="BG39" s="372"/>
      <c r="BH39" s="372"/>
      <c r="BI39" s="372"/>
      <c r="BJ39" s="372"/>
      <c r="BK39" s="372"/>
      <c r="BL39" s="372"/>
      <c r="BM39" s="372"/>
      <c r="BN39" s="372"/>
      <c r="BO39" s="372"/>
      <c r="BP39" s="372"/>
      <c r="BQ39" s="372"/>
      <c r="BR39" s="372"/>
      <c r="BS39" s="372"/>
      <c r="BT39" s="372"/>
      <c r="BU39" s="372"/>
      <c r="BV39" s="372"/>
      <c r="BW39" s="372"/>
      <c r="BX39" s="372"/>
      <c r="BY39" s="372"/>
      <c r="BZ39" s="372"/>
      <c r="CA39" s="372"/>
      <c r="CB39" s="372"/>
      <c r="CC39" s="372"/>
      <c r="CD39" s="372"/>
      <c r="CE39" s="372"/>
      <c r="CF39" s="372"/>
      <c r="CG39" s="372"/>
      <c r="CH39" s="372"/>
      <c r="CI39" s="372"/>
      <c r="CJ39" s="372"/>
      <c r="CK39" s="372"/>
      <c r="CL39" s="372"/>
      <c r="CM39" s="372"/>
      <c r="CN39" s="372"/>
      <c r="CO39" s="372"/>
      <c r="CP39" s="372"/>
      <c r="CQ39" s="372"/>
      <c r="CR39" s="372"/>
      <c r="CS39" s="372"/>
      <c r="CT39" s="372"/>
      <c r="CU39" s="372"/>
      <c r="CV39" s="372"/>
      <c r="CW39" s="372"/>
      <c r="CX39" s="372"/>
      <c r="CY39" s="372"/>
      <c r="CZ39" s="372"/>
      <c r="DA39" s="372"/>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row>
    <row r="40" spans="1:239" s="1380" customFormat="1" ht="15.5">
      <c r="A40" s="7" t="s">
        <v>14</v>
      </c>
      <c r="B40" s="1033">
        <f>B38/B13*100</f>
        <v>0</v>
      </c>
      <c r="C40" s="1033">
        <f>C38/C13*100</f>
        <v>0</v>
      </c>
      <c r="D40" s="1033">
        <f>D38/D13*100</f>
        <v>0</v>
      </c>
      <c r="E40" s="1033">
        <f>E38/E13*100</f>
        <v>0</v>
      </c>
      <c r="F40" s="1033">
        <f>F38/F13*100</f>
        <v>0</v>
      </c>
      <c r="G40" s="1033"/>
      <c r="H40" s="1033">
        <f>H38/H13*100</f>
        <v>0.45535122302893066</v>
      </c>
      <c r="I40" s="1033">
        <f>I38/I13*100</f>
        <v>0.38865192284399508</v>
      </c>
      <c r="J40" s="1033">
        <f>J38/J13*100</f>
        <v>0.36309755504646241</v>
      </c>
      <c r="K40" s="1584">
        <f>K38/K13*100</f>
        <v>0.40325534803006885</v>
      </c>
      <c r="L40" s="1584">
        <f>L38/L13*100</f>
        <v>0.39920522283406773</v>
      </c>
      <c r="M40" s="665"/>
      <c r="N40" s="448"/>
      <c r="O40" s="5"/>
      <c r="P40" s="5"/>
      <c r="Q40" s="450"/>
      <c r="R40" s="343"/>
      <c r="S40" s="570"/>
      <c r="T40" s="570"/>
      <c r="U40" s="570"/>
      <c r="V40" s="343"/>
      <c r="W40" s="343"/>
      <c r="X40" s="372"/>
    </row>
    <row r="41" spans="1:239" s="1380" customFormat="1" ht="15.5">
      <c r="A41" s="7"/>
      <c r="B41" s="6"/>
      <c r="C41" s="6"/>
      <c r="D41" s="6"/>
      <c r="E41" s="6"/>
      <c r="F41" s="6"/>
      <c r="G41" s="6"/>
      <c r="H41" s="6"/>
      <c r="I41" s="6"/>
      <c r="J41" s="6"/>
      <c r="K41" s="6"/>
      <c r="L41" s="6"/>
      <c r="M41" s="6"/>
      <c r="N41" s="5"/>
      <c r="O41" s="5"/>
      <c r="P41" s="5"/>
      <c r="Q41" s="450"/>
      <c r="R41" s="343"/>
      <c r="S41" s="570"/>
      <c r="T41" s="570"/>
      <c r="U41" s="570"/>
      <c r="V41" s="343"/>
      <c r="W41" s="343"/>
      <c r="X41" s="372"/>
    </row>
    <row r="42" spans="1:239" s="1380" customFormat="1" ht="13">
      <c r="A42" s="1379" t="s">
        <v>15</v>
      </c>
      <c r="N42" s="1381"/>
      <c r="O42" s="1382"/>
      <c r="P42" s="1382"/>
      <c r="Q42" s="1381"/>
    </row>
    <row r="43" spans="1:239" s="1380" customFormat="1" ht="15">
      <c r="A43" s="1383" t="s">
        <v>1392</v>
      </c>
      <c r="N43" s="1381"/>
      <c r="O43" s="1382"/>
      <c r="P43" s="1382"/>
      <c r="Q43" s="1381"/>
    </row>
    <row r="44" spans="1:239" s="6" customFormat="1" ht="13">
      <c r="A44" s="1585" t="s">
        <v>774</v>
      </c>
      <c r="B44" s="1380"/>
      <c r="C44" s="1380"/>
      <c r="D44" s="1380"/>
      <c r="E44" s="1380"/>
      <c r="F44" s="1380"/>
      <c r="G44" s="1380"/>
      <c r="H44" s="1380"/>
      <c r="I44" s="1380"/>
      <c r="J44" s="1380"/>
      <c r="K44" s="1380"/>
      <c r="L44" s="1380"/>
      <c r="M44" s="1380"/>
      <c r="N44" s="1381"/>
      <c r="O44" s="1382"/>
      <c r="P44" s="1382"/>
      <c r="Q44" s="1381"/>
      <c r="R44" s="1380"/>
      <c r="S44" s="1380"/>
      <c r="T44" s="1380"/>
      <c r="U44" s="1380"/>
      <c r="V44" s="1380"/>
      <c r="W44" s="1380"/>
      <c r="X44" s="1380"/>
      <c r="Y44" s="372"/>
      <c r="Z44" s="372"/>
      <c r="AA44" s="372"/>
      <c r="AB44" s="372"/>
      <c r="AC44" s="372"/>
      <c r="AD44" s="372"/>
      <c r="AE44" s="372"/>
      <c r="AF44" s="372"/>
      <c r="AG44" s="372"/>
      <c r="AH44" s="372"/>
      <c r="AI44" s="372"/>
      <c r="AJ44" s="372"/>
      <c r="AK44" s="372"/>
      <c r="AL44" s="372"/>
      <c r="AM44" s="372"/>
      <c r="AN44" s="372"/>
      <c r="AO44" s="372"/>
      <c r="AP44" s="372"/>
      <c r="AQ44" s="372"/>
      <c r="AR44" s="372"/>
      <c r="AS44" s="372"/>
      <c r="AT44" s="372"/>
      <c r="AU44" s="372"/>
      <c r="AV44" s="372"/>
      <c r="AW44" s="372"/>
      <c r="AX44" s="372"/>
      <c r="AY44" s="372"/>
      <c r="AZ44" s="372"/>
      <c r="BA44" s="372"/>
      <c r="BB44" s="372"/>
      <c r="BC44" s="372"/>
      <c r="BD44" s="372"/>
      <c r="BE44" s="372"/>
      <c r="BF44" s="372"/>
      <c r="BG44" s="372"/>
      <c r="BH44" s="372"/>
      <c r="BI44" s="372"/>
      <c r="BJ44" s="372"/>
      <c r="BK44" s="372"/>
      <c r="BL44" s="372"/>
      <c r="BM44" s="372"/>
      <c r="BN44" s="372"/>
      <c r="BO44" s="372"/>
      <c r="BP44" s="372"/>
      <c r="BQ44" s="372"/>
      <c r="BR44" s="372"/>
      <c r="BS44" s="372"/>
      <c r="BT44" s="372"/>
      <c r="BU44" s="372"/>
      <c r="BV44" s="372"/>
      <c r="BW44" s="372"/>
      <c r="BX44" s="372"/>
      <c r="BY44" s="372"/>
      <c r="BZ44" s="372"/>
      <c r="CA44" s="372"/>
      <c r="CB44" s="372"/>
      <c r="CC44" s="372"/>
      <c r="CD44" s="372"/>
      <c r="CE44" s="372"/>
      <c r="CF44" s="372"/>
      <c r="CG44" s="372"/>
      <c r="CH44" s="372"/>
      <c r="CI44" s="372"/>
      <c r="CJ44" s="372"/>
      <c r="CK44" s="372"/>
      <c r="CL44" s="372"/>
      <c r="CM44" s="372"/>
      <c r="CN44" s="372"/>
      <c r="CO44" s="372"/>
      <c r="CP44" s="372"/>
      <c r="CQ44" s="372"/>
      <c r="CR44" s="372"/>
      <c r="CS44" s="372"/>
      <c r="CT44" s="372"/>
      <c r="CU44" s="372"/>
      <c r="CV44" s="372"/>
      <c r="CW44" s="372"/>
      <c r="CX44" s="372"/>
      <c r="CY44" s="372"/>
      <c r="CZ44" s="372"/>
      <c r="DA44" s="372"/>
      <c r="ID44" s="8"/>
      <c r="IE44" s="8"/>
    </row>
    <row r="45" spans="1:239" s="6" customFormat="1" ht="13">
      <c r="A45" s="1586" t="s">
        <v>1391</v>
      </c>
      <c r="B45" s="1380"/>
      <c r="C45" s="1380"/>
      <c r="D45" s="1380"/>
      <c r="E45" s="1380"/>
      <c r="F45" s="1380"/>
      <c r="G45" s="1380"/>
      <c r="H45" s="1380"/>
      <c r="I45" s="1380"/>
      <c r="J45" s="1380"/>
      <c r="K45" s="1380"/>
      <c r="L45" s="1380"/>
      <c r="M45" s="1380"/>
      <c r="N45" s="1381"/>
      <c r="O45" s="1382"/>
      <c r="P45" s="1382"/>
      <c r="Q45" s="1381"/>
      <c r="R45" s="1380"/>
      <c r="S45" s="1380"/>
      <c r="T45" s="1380"/>
      <c r="U45" s="1380"/>
      <c r="V45" s="1380"/>
      <c r="W45" s="1380"/>
      <c r="X45" s="1380"/>
      <c r="Y45" s="372"/>
      <c r="Z45" s="372"/>
      <c r="AA45" s="372"/>
      <c r="AB45" s="372"/>
      <c r="AC45" s="372"/>
      <c r="AD45" s="372"/>
      <c r="AE45" s="372"/>
      <c r="AF45" s="372"/>
      <c r="AG45" s="372"/>
      <c r="AH45" s="372"/>
      <c r="AI45" s="372"/>
      <c r="AJ45" s="372"/>
      <c r="AK45" s="372"/>
      <c r="AL45" s="372"/>
      <c r="AM45" s="372"/>
      <c r="AN45" s="372"/>
      <c r="AO45" s="372"/>
      <c r="AP45" s="372"/>
      <c r="AQ45" s="372"/>
      <c r="AR45" s="372"/>
      <c r="AS45" s="372"/>
      <c r="AT45" s="372"/>
      <c r="AU45" s="372"/>
      <c r="AV45" s="372"/>
      <c r="AW45" s="372"/>
      <c r="AX45" s="372"/>
      <c r="AY45" s="372"/>
      <c r="AZ45" s="372"/>
      <c r="BA45" s="372"/>
      <c r="BB45" s="372"/>
      <c r="BC45" s="372"/>
      <c r="BD45" s="372"/>
      <c r="BE45" s="372"/>
      <c r="BF45" s="372"/>
      <c r="BG45" s="372"/>
      <c r="BH45" s="372"/>
      <c r="BI45" s="372"/>
      <c r="BJ45" s="372"/>
      <c r="BK45" s="372"/>
      <c r="BL45" s="372"/>
      <c r="BM45" s="372"/>
      <c r="BN45" s="372"/>
      <c r="BO45" s="372"/>
      <c r="BP45" s="372"/>
      <c r="BQ45" s="372"/>
      <c r="BR45" s="372"/>
      <c r="BS45" s="372"/>
      <c r="BT45" s="372"/>
      <c r="BU45" s="372"/>
      <c r="BV45" s="372"/>
      <c r="BW45" s="372"/>
      <c r="BX45" s="372"/>
      <c r="BY45" s="372"/>
      <c r="BZ45" s="372"/>
      <c r="CA45" s="372"/>
      <c r="CB45" s="372"/>
      <c r="CC45" s="372"/>
      <c r="CD45" s="372"/>
      <c r="CE45" s="372"/>
      <c r="CF45" s="372"/>
      <c r="CG45" s="372"/>
      <c r="CH45" s="372"/>
      <c r="CI45" s="372"/>
      <c r="CJ45" s="372"/>
      <c r="CK45" s="372"/>
      <c r="CL45" s="372"/>
      <c r="CM45" s="372"/>
      <c r="CN45" s="372"/>
      <c r="CO45" s="372"/>
      <c r="CP45" s="372"/>
      <c r="CQ45" s="372"/>
      <c r="CR45" s="372"/>
      <c r="CS45" s="372"/>
      <c r="CT45" s="372"/>
      <c r="CU45" s="372"/>
      <c r="CV45" s="372"/>
      <c r="CW45" s="372"/>
      <c r="CX45" s="372"/>
      <c r="CY45" s="372"/>
      <c r="CZ45" s="372"/>
      <c r="DA45" s="372"/>
      <c r="ID45" s="8"/>
      <c r="IE45" s="8"/>
    </row>
    <row r="46" spans="1:239" ht="13">
      <c r="A46" s="1379" t="s">
        <v>1393</v>
      </c>
      <c r="B46" s="457"/>
      <c r="C46" s="457"/>
      <c r="D46" s="457"/>
      <c r="E46" s="457"/>
      <c r="F46" s="457"/>
      <c r="G46" s="457"/>
      <c r="H46" s="457"/>
      <c r="I46" s="457"/>
      <c r="J46" s="1237"/>
      <c r="K46" s="6"/>
      <c r="L46" s="6"/>
      <c r="M46" s="6"/>
      <c r="N46" s="14"/>
      <c r="O46" s="14"/>
      <c r="P46" s="14"/>
      <c r="Q46" s="573"/>
      <c r="R46" s="343"/>
      <c r="V46" s="343"/>
      <c r="W46" s="343"/>
      <c r="X46" s="372"/>
      <c r="Y46" s="372"/>
      <c r="Z46" s="372"/>
      <c r="AA46" s="372"/>
      <c r="AB46" s="372"/>
      <c r="AC46" s="372"/>
      <c r="AD46" s="372"/>
      <c r="AE46" s="372"/>
      <c r="AF46" s="372"/>
      <c r="AG46" s="372"/>
      <c r="AH46" s="372"/>
      <c r="AI46" s="372"/>
      <c r="AJ46" s="372"/>
      <c r="AK46" s="372"/>
      <c r="AL46" s="372"/>
      <c r="AM46" s="372"/>
      <c r="AN46" s="372"/>
      <c r="AO46" s="372"/>
      <c r="AP46" s="372"/>
      <c r="AQ46" s="372"/>
      <c r="AR46" s="372"/>
      <c r="AS46" s="372"/>
      <c r="AT46" s="372"/>
      <c r="AU46" s="372"/>
      <c r="AV46" s="372"/>
      <c r="AW46" s="372"/>
      <c r="AX46" s="372"/>
      <c r="AY46" s="372"/>
      <c r="AZ46" s="372"/>
      <c r="BA46" s="372"/>
      <c r="BB46" s="372"/>
      <c r="BC46" s="372"/>
      <c r="BD46" s="372"/>
      <c r="BE46" s="372"/>
      <c r="BF46" s="372"/>
      <c r="BG46" s="372"/>
      <c r="BH46" s="372"/>
      <c r="BI46" s="372"/>
      <c r="BJ46" s="372"/>
      <c r="BK46" s="372"/>
      <c r="BL46" s="372"/>
      <c r="BM46" s="372"/>
      <c r="BN46" s="372"/>
      <c r="BO46" s="372"/>
      <c r="BP46" s="372"/>
      <c r="BQ46" s="372"/>
      <c r="BR46" s="372"/>
      <c r="BS46" s="372"/>
      <c r="BT46" s="372"/>
      <c r="BU46" s="372"/>
      <c r="BV46" s="372"/>
      <c r="BW46" s="372"/>
      <c r="BX46" s="372"/>
      <c r="BY46" s="372"/>
      <c r="BZ46" s="372"/>
      <c r="CA46" s="372"/>
      <c r="CB46" s="372"/>
      <c r="CC46" s="372"/>
      <c r="CD46" s="372"/>
      <c r="CE46" s="372"/>
      <c r="CF46" s="372"/>
      <c r="CG46" s="372"/>
      <c r="CH46" s="372"/>
      <c r="CI46" s="372"/>
      <c r="CJ46" s="372"/>
      <c r="CK46" s="372"/>
      <c r="CL46" s="372"/>
      <c r="CM46" s="372"/>
      <c r="CN46" s="372"/>
      <c r="CO46" s="372"/>
      <c r="CP46" s="372"/>
      <c r="CQ46" s="372"/>
      <c r="CR46" s="372"/>
      <c r="CS46" s="372"/>
      <c r="CT46" s="372"/>
      <c r="CU46" s="372"/>
      <c r="CV46" s="372"/>
      <c r="CW46" s="372"/>
      <c r="CX46" s="372"/>
      <c r="CY46" s="372"/>
      <c r="CZ46" s="372"/>
      <c r="DA46" s="372"/>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row>
    <row r="47" spans="1:239" ht="13">
      <c r="A47" s="1587" t="s">
        <v>1394</v>
      </c>
      <c r="N47" s="14"/>
      <c r="O47" s="14"/>
      <c r="P47" s="14"/>
      <c r="Q47" s="573"/>
      <c r="R47" s="343"/>
      <c r="V47" s="343"/>
      <c r="W47" s="343"/>
      <c r="X47" s="372"/>
      <c r="Y47" s="372"/>
      <c r="Z47" s="372"/>
      <c r="AA47" s="372"/>
      <c r="AB47" s="372"/>
      <c r="AC47" s="372"/>
      <c r="AD47" s="372"/>
      <c r="AE47" s="372"/>
      <c r="AF47" s="372"/>
      <c r="AG47" s="372"/>
      <c r="AH47" s="372"/>
      <c r="AI47" s="372"/>
      <c r="AJ47" s="372"/>
      <c r="AK47" s="372"/>
      <c r="AL47" s="372"/>
      <c r="AM47" s="372"/>
      <c r="AN47" s="372"/>
      <c r="AO47" s="372"/>
      <c r="AP47" s="372"/>
      <c r="AQ47" s="372"/>
      <c r="AR47" s="372"/>
      <c r="AS47" s="372"/>
      <c r="AT47" s="372"/>
      <c r="AU47" s="372"/>
      <c r="AV47" s="372"/>
      <c r="AW47" s="372"/>
      <c r="AX47" s="372"/>
      <c r="AY47" s="372"/>
      <c r="AZ47" s="372"/>
      <c r="BA47" s="372"/>
      <c r="BB47" s="372"/>
      <c r="BC47" s="372"/>
      <c r="BD47" s="372"/>
      <c r="BE47" s="372"/>
      <c r="BF47" s="372"/>
      <c r="BG47" s="372"/>
      <c r="BH47" s="372"/>
      <c r="BI47" s="372"/>
      <c r="BJ47" s="372"/>
      <c r="BK47" s="372"/>
      <c r="BL47" s="372"/>
      <c r="BM47" s="372"/>
      <c r="BN47" s="372"/>
      <c r="BO47" s="372"/>
      <c r="BP47" s="372"/>
      <c r="BQ47" s="372"/>
      <c r="BR47" s="372"/>
      <c r="BS47" s="372"/>
      <c r="BT47" s="372"/>
      <c r="BU47" s="372"/>
      <c r="BV47" s="372"/>
      <c r="BW47" s="372"/>
      <c r="BX47" s="372"/>
      <c r="BY47" s="372"/>
      <c r="BZ47" s="372"/>
      <c r="CA47" s="372"/>
      <c r="CB47" s="372"/>
      <c r="CC47" s="372"/>
      <c r="CD47" s="372"/>
      <c r="CE47" s="372"/>
      <c r="CF47" s="372"/>
      <c r="CG47" s="372"/>
      <c r="CH47" s="372"/>
      <c r="CI47" s="372"/>
      <c r="CJ47" s="372"/>
      <c r="CK47" s="372"/>
      <c r="CL47" s="372"/>
      <c r="CM47" s="372"/>
      <c r="CN47" s="372"/>
      <c r="CO47" s="372"/>
      <c r="CP47" s="372"/>
      <c r="CQ47" s="372"/>
      <c r="CR47" s="372"/>
      <c r="CS47" s="372"/>
      <c r="CT47" s="372"/>
      <c r="CU47" s="372"/>
      <c r="CV47" s="372"/>
      <c r="CW47" s="372"/>
      <c r="CX47" s="372"/>
      <c r="CY47" s="372"/>
      <c r="CZ47" s="372"/>
      <c r="DA47" s="372"/>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row>
    <row r="48" spans="1:239" s="667" customFormat="1" ht="12.75" customHeight="1">
      <c r="A48" s="369"/>
      <c r="B48" s="8"/>
      <c r="C48" s="8"/>
      <c r="D48" s="8"/>
      <c r="E48" s="8"/>
      <c r="F48" s="8"/>
      <c r="G48" s="8"/>
      <c r="H48" s="8"/>
      <c r="I48" s="8"/>
      <c r="J48" s="8"/>
      <c r="K48" s="8"/>
      <c r="L48" s="8"/>
      <c r="M48" s="8"/>
      <c r="N48" s="14"/>
      <c r="O48" s="14"/>
      <c r="P48" s="14"/>
      <c r="Q48" s="573"/>
      <c r="R48" s="343"/>
      <c r="S48" s="570"/>
      <c r="T48" s="570"/>
      <c r="U48" s="570"/>
      <c r="V48" s="343"/>
      <c r="W48" s="343"/>
      <c r="X48" s="372"/>
    </row>
    <row r="49" spans="1:237">
      <c r="A49" s="6"/>
      <c r="N49" s="14"/>
      <c r="O49" s="14"/>
      <c r="P49" s="14"/>
      <c r="Q49" s="573"/>
      <c r="R49" s="343"/>
      <c r="S49" s="343"/>
      <c r="T49" s="572"/>
      <c r="U49" s="572"/>
      <c r="V49" s="343"/>
      <c r="W49" s="343"/>
      <c r="X49" s="372"/>
      <c r="Y49" s="372"/>
      <c r="Z49" s="372"/>
      <c r="AA49" s="372"/>
      <c r="AB49" s="372"/>
      <c r="AC49" s="372"/>
      <c r="AD49" s="372"/>
      <c r="AE49" s="372"/>
      <c r="AF49" s="372"/>
      <c r="AG49" s="372"/>
      <c r="AH49" s="372"/>
      <c r="AI49" s="372"/>
      <c r="AJ49" s="372"/>
      <c r="AK49" s="372"/>
      <c r="AL49" s="372"/>
      <c r="AM49" s="372"/>
      <c r="AN49" s="372"/>
      <c r="AO49" s="372"/>
      <c r="AP49" s="372"/>
      <c r="AQ49" s="372"/>
      <c r="AR49" s="372"/>
      <c r="AS49" s="372"/>
      <c r="AT49" s="372"/>
      <c r="AU49" s="372"/>
      <c r="AV49" s="372"/>
      <c r="AW49" s="372"/>
      <c r="AX49" s="372"/>
      <c r="AY49" s="372"/>
      <c r="AZ49" s="372"/>
      <c r="BA49" s="372"/>
      <c r="BB49" s="372"/>
      <c r="BC49" s="372"/>
      <c r="BD49" s="372"/>
      <c r="BE49" s="372"/>
      <c r="BF49" s="372"/>
      <c r="BG49" s="372"/>
      <c r="BH49" s="372"/>
      <c r="BI49" s="372"/>
      <c r="BJ49" s="372"/>
      <c r="BK49" s="372"/>
      <c r="BL49" s="372"/>
      <c r="BM49" s="372"/>
      <c r="BN49" s="372"/>
      <c r="BO49" s="372"/>
      <c r="BP49" s="372"/>
      <c r="BQ49" s="372"/>
      <c r="BR49" s="372"/>
      <c r="BS49" s="372"/>
      <c r="BT49" s="372"/>
      <c r="BU49" s="372"/>
      <c r="BV49" s="372"/>
      <c r="BW49" s="372"/>
      <c r="BX49" s="372"/>
      <c r="BY49" s="372"/>
      <c r="BZ49" s="372"/>
      <c r="CA49" s="372"/>
      <c r="CB49" s="372"/>
      <c r="CC49" s="372"/>
      <c r="CD49" s="372"/>
      <c r="CE49" s="372"/>
      <c r="CF49" s="372"/>
      <c r="CG49" s="372"/>
      <c r="CH49" s="372"/>
      <c r="CI49" s="372"/>
      <c r="CJ49" s="372"/>
      <c r="CK49" s="372"/>
      <c r="CL49" s="372"/>
      <c r="CM49" s="372"/>
      <c r="CN49" s="372"/>
      <c r="CO49" s="372"/>
      <c r="CP49" s="372"/>
      <c r="CQ49" s="372"/>
      <c r="CR49" s="372"/>
      <c r="CS49" s="372"/>
      <c r="CT49" s="372"/>
      <c r="CU49" s="372"/>
      <c r="CV49" s="372"/>
      <c r="CW49" s="372"/>
      <c r="CX49" s="372"/>
      <c r="CY49" s="372"/>
      <c r="CZ49" s="372"/>
      <c r="DA49" s="372"/>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row>
    <row r="50" spans="1:237" ht="13">
      <c r="A50" s="745" t="s">
        <v>1165</v>
      </c>
      <c r="B50" s="668"/>
      <c r="C50" s="668"/>
      <c r="D50" s="668"/>
      <c r="E50" s="669"/>
      <c r="F50" s="667"/>
      <c r="G50" s="667"/>
      <c r="H50" s="667"/>
      <c r="I50" s="667"/>
      <c r="J50" s="667"/>
      <c r="K50" s="667"/>
      <c r="L50" s="667"/>
      <c r="M50" s="667"/>
      <c r="N50" s="667"/>
      <c r="O50" s="667"/>
      <c r="P50" s="667"/>
      <c r="Q50" s="667"/>
      <c r="R50" s="667"/>
      <c r="S50" s="667"/>
      <c r="T50" s="667"/>
      <c r="U50" s="667"/>
      <c r="V50" s="667"/>
      <c r="W50" s="667"/>
      <c r="X50" s="667"/>
      <c r="Y50" s="372"/>
      <c r="Z50" s="372"/>
      <c r="AA50" s="372"/>
      <c r="AB50" s="372"/>
      <c r="AC50" s="372"/>
      <c r="AD50" s="372"/>
      <c r="AE50" s="372"/>
      <c r="AF50" s="372"/>
      <c r="AG50" s="372"/>
      <c r="AH50" s="372"/>
      <c r="AI50" s="372"/>
      <c r="AJ50" s="372"/>
      <c r="AK50" s="372"/>
      <c r="AL50" s="372"/>
      <c r="AM50" s="372"/>
      <c r="AN50" s="372"/>
      <c r="AO50" s="372"/>
      <c r="AP50" s="372"/>
      <c r="AQ50" s="372"/>
      <c r="AR50" s="372"/>
      <c r="AS50" s="372"/>
      <c r="AT50" s="372"/>
      <c r="AU50" s="372"/>
      <c r="AV50" s="372"/>
      <c r="AW50" s="372"/>
      <c r="AX50" s="372"/>
      <c r="AY50" s="372"/>
      <c r="AZ50" s="372"/>
      <c r="BA50" s="372"/>
      <c r="BB50" s="372"/>
      <c r="BC50" s="372"/>
      <c r="BD50" s="372"/>
      <c r="BE50" s="372"/>
      <c r="BF50" s="372"/>
      <c r="BG50" s="372"/>
      <c r="BH50" s="372"/>
      <c r="BI50" s="372"/>
      <c r="BJ50" s="372"/>
      <c r="BK50" s="372"/>
      <c r="BL50" s="372"/>
      <c r="BM50" s="372"/>
      <c r="BN50" s="372"/>
      <c r="BO50" s="372"/>
      <c r="BP50" s="372"/>
      <c r="BQ50" s="372"/>
      <c r="BR50" s="372"/>
      <c r="BS50" s="372"/>
      <c r="BT50" s="372"/>
      <c r="BU50" s="372"/>
      <c r="BV50" s="372"/>
      <c r="BW50" s="372"/>
      <c r="BX50" s="372"/>
      <c r="BY50" s="372"/>
      <c r="BZ50" s="372"/>
      <c r="CA50" s="372"/>
      <c r="CB50" s="372"/>
      <c r="CC50" s="372"/>
      <c r="CD50" s="372"/>
      <c r="CE50" s="372"/>
      <c r="CF50" s="372"/>
      <c r="CG50" s="372"/>
      <c r="CH50" s="372"/>
      <c r="CI50" s="372"/>
      <c r="CJ50" s="372"/>
      <c r="CK50" s="372"/>
      <c r="CL50" s="372"/>
      <c r="CM50" s="372"/>
      <c r="CN50" s="372"/>
      <c r="CO50" s="372"/>
      <c r="CP50" s="372"/>
      <c r="CQ50" s="372"/>
      <c r="CR50" s="372"/>
      <c r="CS50" s="372"/>
      <c r="CT50" s="372"/>
      <c r="CU50" s="372"/>
      <c r="CV50" s="372"/>
      <c r="CW50" s="372"/>
      <c r="CX50" s="372"/>
      <c r="CY50" s="372"/>
      <c r="CZ50" s="372"/>
      <c r="DA50" s="372"/>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row>
    <row r="51" spans="1:237" ht="14.15" customHeight="1">
      <c r="A51" s="745" t="s">
        <v>1166</v>
      </c>
      <c r="B51" s="396"/>
      <c r="C51" s="396"/>
      <c r="D51" s="396"/>
      <c r="E51" s="396"/>
      <c r="F51" s="396"/>
      <c r="G51" s="396"/>
      <c r="H51" s="396"/>
      <c r="I51" s="396"/>
      <c r="J51" s="396"/>
      <c r="K51" s="396"/>
      <c r="L51" s="396"/>
      <c r="M51" s="396"/>
      <c r="N51" s="396"/>
      <c r="O51" s="396"/>
      <c r="P51" s="396"/>
      <c r="Q51" s="574"/>
      <c r="R51" s="574"/>
      <c r="S51" s="574"/>
      <c r="T51" s="574"/>
      <c r="U51" s="343"/>
      <c r="V51" s="343"/>
      <c r="W51" s="343"/>
      <c r="X51" s="372"/>
      <c r="Y51" s="372"/>
      <c r="Z51" s="372"/>
      <c r="AA51" s="372"/>
      <c r="AB51" s="372"/>
      <c r="AC51" s="372"/>
      <c r="AD51" s="372"/>
      <c r="AE51" s="372"/>
      <c r="AF51" s="372"/>
      <c r="AG51" s="372"/>
      <c r="AH51" s="372"/>
      <c r="AI51" s="372"/>
      <c r="AJ51" s="372"/>
      <c r="AK51" s="372"/>
      <c r="AL51" s="372"/>
      <c r="AM51" s="372"/>
      <c r="AN51" s="372"/>
      <c r="AO51" s="372"/>
      <c r="AP51" s="372"/>
      <c r="AQ51" s="372"/>
      <c r="AR51" s="372"/>
      <c r="AS51" s="372"/>
      <c r="AT51" s="372"/>
      <c r="AU51" s="372"/>
      <c r="AV51" s="372"/>
      <c r="AW51" s="372"/>
      <c r="AX51" s="372"/>
      <c r="AY51" s="372"/>
      <c r="AZ51" s="372"/>
      <c r="BA51" s="372"/>
      <c r="BB51" s="372"/>
      <c r="BC51" s="372"/>
      <c r="BD51" s="372"/>
      <c r="BE51" s="372"/>
      <c r="BF51" s="372"/>
      <c r="BG51" s="372"/>
      <c r="BH51" s="372"/>
      <c r="BI51" s="372"/>
      <c r="BJ51" s="372"/>
      <c r="BK51" s="372"/>
      <c r="BL51" s="372"/>
      <c r="BM51" s="372"/>
      <c r="BN51" s="372"/>
      <c r="BO51" s="372"/>
      <c r="BP51" s="372"/>
      <c r="BQ51" s="372"/>
      <c r="BR51" s="372"/>
      <c r="BS51" s="372"/>
      <c r="BT51" s="372"/>
      <c r="BU51" s="372"/>
      <c r="BV51" s="372"/>
      <c r="BW51" s="372"/>
      <c r="BX51" s="372"/>
      <c r="BY51" s="372"/>
      <c r="BZ51" s="372"/>
      <c r="CA51" s="372"/>
      <c r="CB51" s="372"/>
      <c r="CC51" s="372"/>
      <c r="CD51" s="372"/>
      <c r="CE51" s="372"/>
      <c r="CF51" s="372"/>
      <c r="CG51" s="372"/>
      <c r="CH51" s="372"/>
      <c r="CI51" s="372"/>
      <c r="CJ51" s="372"/>
      <c r="CK51" s="372"/>
      <c r="CL51" s="372"/>
      <c r="CM51" s="372"/>
      <c r="CN51" s="372"/>
      <c r="CO51" s="372"/>
      <c r="CP51" s="372"/>
      <c r="CQ51" s="372"/>
      <c r="CR51" s="372"/>
      <c r="CS51" s="372"/>
      <c r="CT51" s="372"/>
      <c r="CU51" s="372"/>
      <c r="CV51" s="372"/>
      <c r="CW51" s="372"/>
      <c r="CX51" s="372"/>
      <c r="CY51" s="372"/>
      <c r="CZ51" s="372"/>
      <c r="DA51" s="372"/>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row>
    <row r="52" spans="1:237" ht="14.15" customHeight="1">
      <c r="A52" s="745" t="s">
        <v>1167</v>
      </c>
      <c r="B52" s="2"/>
      <c r="C52" s="2"/>
      <c r="D52" s="2"/>
      <c r="E52" s="2"/>
      <c r="F52" s="2"/>
      <c r="G52" s="2"/>
      <c r="H52" s="2"/>
      <c r="I52" s="2"/>
      <c r="J52" s="2"/>
      <c r="K52" s="2"/>
      <c r="L52" s="2"/>
      <c r="M52" s="2"/>
      <c r="N52" s="2"/>
      <c r="O52" s="2"/>
      <c r="P52" s="2"/>
      <c r="Q52" s="500"/>
      <c r="R52" s="500"/>
      <c r="S52" s="500"/>
      <c r="T52" s="500"/>
      <c r="U52" s="500"/>
      <c r="V52" s="500"/>
      <c r="W52" s="500"/>
      <c r="X52" s="372"/>
      <c r="Y52" s="372"/>
      <c r="Z52" s="372"/>
      <c r="AA52" s="372"/>
      <c r="AB52" s="372"/>
      <c r="AC52" s="372"/>
      <c r="AD52" s="372"/>
      <c r="AE52" s="372"/>
      <c r="AF52" s="372"/>
      <c r="AG52" s="372"/>
      <c r="AH52" s="372"/>
      <c r="AI52" s="372"/>
      <c r="AJ52" s="372"/>
      <c r="AK52" s="372"/>
      <c r="AL52" s="372"/>
      <c r="AM52" s="372"/>
      <c r="AN52" s="372"/>
      <c r="AO52" s="372"/>
      <c r="AP52" s="372"/>
      <c r="AQ52" s="372"/>
      <c r="AR52" s="372"/>
      <c r="AS52" s="372"/>
      <c r="AT52" s="372"/>
      <c r="AU52" s="372"/>
      <c r="AV52" s="372"/>
      <c r="AW52" s="372"/>
      <c r="AX52" s="372"/>
      <c r="AY52" s="372"/>
      <c r="AZ52" s="372"/>
      <c r="BA52" s="372"/>
      <c r="BB52" s="372"/>
      <c r="BC52" s="372"/>
      <c r="BD52" s="372"/>
      <c r="BE52" s="372"/>
      <c r="BF52" s="372"/>
      <c r="BG52" s="372"/>
      <c r="BH52" s="372"/>
      <c r="BI52" s="372"/>
      <c r="BJ52" s="372"/>
      <c r="BK52" s="372"/>
      <c r="BL52" s="372"/>
      <c r="BM52" s="372"/>
      <c r="BN52" s="372"/>
      <c r="BO52" s="372"/>
      <c r="BP52" s="372"/>
      <c r="BQ52" s="372"/>
      <c r="BR52" s="372"/>
      <c r="BS52" s="372"/>
      <c r="BT52" s="372"/>
      <c r="BU52" s="372"/>
      <c r="BV52" s="372"/>
      <c r="BW52" s="372"/>
      <c r="BX52" s="372"/>
      <c r="BY52" s="372"/>
      <c r="BZ52" s="372"/>
      <c r="CA52" s="372"/>
      <c r="CB52" s="372"/>
      <c r="CC52" s="372"/>
      <c r="CD52" s="372"/>
      <c r="CE52" s="372"/>
      <c r="CF52" s="372"/>
      <c r="CG52" s="372"/>
      <c r="CH52" s="372"/>
      <c r="CI52" s="372"/>
      <c r="CJ52" s="372"/>
      <c r="CK52" s="372"/>
      <c r="CL52" s="372"/>
      <c r="CM52" s="372"/>
      <c r="CN52" s="372"/>
      <c r="CO52" s="372"/>
      <c r="CP52" s="372"/>
      <c r="CQ52" s="372"/>
      <c r="CR52" s="372"/>
      <c r="CS52" s="372"/>
      <c r="CT52" s="372"/>
      <c r="CU52" s="372"/>
      <c r="CV52" s="372"/>
      <c r="CW52" s="372"/>
      <c r="CX52" s="372"/>
      <c r="CY52" s="372"/>
      <c r="CZ52" s="372"/>
      <c r="DA52" s="372"/>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row>
    <row r="53" spans="1:237" ht="14.15" customHeight="1">
      <c r="B53" s="6"/>
      <c r="C53" s="6"/>
      <c r="D53" s="6"/>
      <c r="E53" s="6"/>
      <c r="F53" s="6"/>
      <c r="G53" s="6"/>
      <c r="H53" s="6"/>
      <c r="I53" s="6"/>
      <c r="J53" s="6"/>
      <c r="K53" s="6"/>
      <c r="L53" s="6"/>
      <c r="M53" s="6"/>
      <c r="N53" s="14"/>
      <c r="O53" s="14"/>
      <c r="P53" s="14"/>
      <c r="Q53" s="573"/>
      <c r="R53" s="343"/>
      <c r="S53" s="343"/>
      <c r="T53" s="343"/>
      <c r="U53" s="343"/>
      <c r="V53" s="343"/>
      <c r="W53" s="343"/>
      <c r="X53" s="372"/>
      <c r="Y53" s="372"/>
      <c r="Z53" s="372"/>
      <c r="AA53" s="372"/>
      <c r="AB53" s="372"/>
      <c r="AC53" s="372"/>
      <c r="AD53" s="372"/>
      <c r="AE53" s="372"/>
      <c r="AF53" s="372"/>
      <c r="AG53" s="372"/>
      <c r="AH53" s="372"/>
      <c r="AI53" s="372"/>
      <c r="AJ53" s="372"/>
      <c r="AK53" s="372"/>
      <c r="AL53" s="372"/>
      <c r="AM53" s="372"/>
      <c r="AN53" s="372"/>
      <c r="AO53" s="372"/>
      <c r="AP53" s="372"/>
      <c r="AQ53" s="372"/>
      <c r="AR53" s="372"/>
      <c r="AS53" s="372"/>
      <c r="AT53" s="372"/>
      <c r="AU53" s="372"/>
      <c r="AV53" s="372"/>
      <c r="AW53" s="372"/>
      <c r="AX53" s="372"/>
      <c r="AY53" s="372"/>
      <c r="AZ53" s="372"/>
      <c r="BA53" s="372"/>
      <c r="BB53" s="372"/>
      <c r="BC53" s="372"/>
      <c r="BD53" s="372"/>
      <c r="BE53" s="372"/>
      <c r="BF53" s="372"/>
      <c r="BG53" s="372"/>
      <c r="BH53" s="372"/>
      <c r="BI53" s="372"/>
      <c r="BJ53" s="372"/>
      <c r="BK53" s="372"/>
      <c r="BL53" s="372"/>
      <c r="BM53" s="372"/>
      <c r="BN53" s="372"/>
      <c r="BO53" s="372"/>
      <c r="BP53" s="372"/>
      <c r="BQ53" s="372"/>
      <c r="BR53" s="372"/>
      <c r="BS53" s="372"/>
      <c r="BT53" s="372"/>
      <c r="BU53" s="372"/>
      <c r="BV53" s="372"/>
      <c r="BW53" s="372"/>
      <c r="BX53" s="372"/>
      <c r="BY53" s="372"/>
      <c r="BZ53" s="372"/>
      <c r="CA53" s="372"/>
      <c r="CB53" s="372"/>
      <c r="CC53" s="372"/>
      <c r="CD53" s="372"/>
      <c r="CE53" s="372"/>
      <c r="CF53" s="372"/>
      <c r="CG53" s="372"/>
      <c r="CH53" s="372"/>
      <c r="CI53" s="372"/>
      <c r="CJ53" s="372"/>
      <c r="CK53" s="372"/>
      <c r="CL53" s="372"/>
      <c r="CM53" s="372"/>
      <c r="CN53" s="372"/>
      <c r="CO53" s="372"/>
      <c r="CP53" s="372"/>
      <c r="CQ53" s="372"/>
      <c r="CR53" s="372"/>
      <c r="CS53" s="372"/>
      <c r="CT53" s="372"/>
      <c r="CU53" s="372"/>
      <c r="CV53" s="372"/>
      <c r="CW53" s="372"/>
      <c r="CX53" s="372"/>
      <c r="CY53" s="372"/>
      <c r="CZ53" s="372"/>
      <c r="DA53" s="372"/>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row>
    <row r="54" spans="1:237" ht="14.15" customHeight="1">
      <c r="A54" s="6"/>
      <c r="B54" s="6"/>
      <c r="C54" s="6"/>
      <c r="D54" s="6"/>
      <c r="E54" s="6"/>
      <c r="F54" s="6"/>
      <c r="G54" s="6"/>
      <c r="H54" s="6"/>
      <c r="I54" s="6"/>
      <c r="J54" s="6"/>
      <c r="K54" s="6"/>
      <c r="L54" s="6"/>
      <c r="M54" s="6"/>
      <c r="N54" s="14"/>
      <c r="O54" s="14"/>
      <c r="P54" s="14"/>
      <c r="Q54" s="573"/>
      <c r="R54" s="343"/>
      <c r="S54" s="343"/>
      <c r="T54" s="343"/>
      <c r="U54" s="343"/>
      <c r="V54" s="343"/>
      <c r="W54" s="343"/>
      <c r="X54" s="372"/>
      <c r="Y54" s="372"/>
      <c r="Z54" s="372"/>
      <c r="AA54" s="372"/>
      <c r="AB54" s="372"/>
      <c r="AC54" s="372"/>
      <c r="AD54" s="372"/>
      <c r="AE54" s="372"/>
      <c r="AF54" s="372"/>
      <c r="AG54" s="372"/>
      <c r="AH54" s="372"/>
      <c r="AI54" s="372"/>
      <c r="AJ54" s="372"/>
      <c r="AK54" s="372"/>
      <c r="AL54" s="372"/>
      <c r="AM54" s="372"/>
      <c r="AN54" s="372"/>
      <c r="AO54" s="372"/>
      <c r="AP54" s="372"/>
      <c r="AQ54" s="372"/>
      <c r="AR54" s="372"/>
      <c r="AS54" s="372"/>
      <c r="AT54" s="372"/>
      <c r="AU54" s="372"/>
      <c r="AV54" s="372"/>
      <c r="AW54" s="372"/>
      <c r="AX54" s="372"/>
      <c r="AY54" s="372"/>
      <c r="AZ54" s="372"/>
      <c r="BA54" s="372"/>
      <c r="BB54" s="372"/>
      <c r="BC54" s="372"/>
      <c r="BD54" s="372"/>
      <c r="BE54" s="372"/>
      <c r="BF54" s="372"/>
      <c r="BG54" s="372"/>
      <c r="BH54" s="372"/>
      <c r="BI54" s="372"/>
      <c r="BJ54" s="372"/>
      <c r="BK54" s="372"/>
      <c r="BL54" s="372"/>
      <c r="BM54" s="372"/>
      <c r="BN54" s="372"/>
      <c r="BO54" s="372"/>
      <c r="BP54" s="372"/>
      <c r="BQ54" s="372"/>
      <c r="BR54" s="372"/>
      <c r="BS54" s="372"/>
      <c r="BT54" s="372"/>
      <c r="BU54" s="372"/>
      <c r="BV54" s="372"/>
      <c r="BW54" s="372"/>
      <c r="BX54" s="372"/>
      <c r="BY54" s="372"/>
      <c r="BZ54" s="372"/>
      <c r="CA54" s="372"/>
      <c r="CB54" s="372"/>
      <c r="CC54" s="372"/>
      <c r="CD54" s="372"/>
      <c r="CE54" s="372"/>
      <c r="CF54" s="372"/>
      <c r="CG54" s="372"/>
      <c r="CH54" s="372"/>
      <c r="CI54" s="372"/>
      <c r="CJ54" s="372"/>
      <c r="CK54" s="372"/>
      <c r="CL54" s="372"/>
      <c r="CM54" s="372"/>
      <c r="CN54" s="372"/>
      <c r="CO54" s="372"/>
      <c r="CP54" s="372"/>
      <c r="CQ54" s="372"/>
      <c r="CR54" s="372"/>
      <c r="CS54" s="372"/>
      <c r="CT54" s="372"/>
      <c r="CU54" s="372"/>
      <c r="CV54" s="372"/>
      <c r="CW54" s="372"/>
      <c r="CX54" s="372"/>
      <c r="CY54" s="372"/>
      <c r="CZ54" s="372"/>
      <c r="DA54" s="372"/>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row>
    <row r="55" spans="1:237" ht="14.15" customHeight="1">
      <c r="A55" s="6"/>
      <c r="B55" s="6"/>
      <c r="C55" s="6"/>
      <c r="D55" s="6"/>
      <c r="E55" s="6"/>
      <c r="F55" s="6"/>
      <c r="G55" s="6"/>
      <c r="H55" s="6"/>
      <c r="I55" s="6"/>
      <c r="J55" s="6"/>
      <c r="K55" s="6"/>
      <c r="L55" s="6"/>
      <c r="M55" s="6"/>
      <c r="N55" s="14"/>
      <c r="O55" s="14"/>
      <c r="P55" s="14"/>
      <c r="Q55" s="573"/>
      <c r="R55" s="343"/>
      <c r="S55" s="343"/>
      <c r="T55" s="343"/>
      <c r="U55" s="343"/>
      <c r="V55" s="343"/>
      <c r="W55" s="343"/>
      <c r="X55" s="372"/>
      <c r="Y55" s="372"/>
      <c r="Z55" s="372"/>
      <c r="AA55" s="372"/>
      <c r="AB55" s="372"/>
      <c r="AC55" s="372"/>
      <c r="AD55" s="372"/>
      <c r="AE55" s="372"/>
      <c r="AF55" s="372"/>
      <c r="AG55" s="372"/>
      <c r="AH55" s="372"/>
      <c r="AI55" s="372"/>
      <c r="AJ55" s="372"/>
      <c r="AK55" s="372"/>
      <c r="AL55" s="372"/>
      <c r="AM55" s="372"/>
      <c r="AN55" s="372"/>
      <c r="AO55" s="372"/>
      <c r="AP55" s="372"/>
      <c r="AQ55" s="372"/>
      <c r="AR55" s="372"/>
      <c r="AS55" s="372"/>
      <c r="AT55" s="372"/>
      <c r="AU55" s="372"/>
      <c r="AV55" s="372"/>
      <c r="AW55" s="372"/>
      <c r="AX55" s="372"/>
      <c r="AY55" s="372"/>
      <c r="AZ55" s="372"/>
      <c r="BA55" s="372"/>
      <c r="BB55" s="372"/>
      <c r="BC55" s="372"/>
      <c r="BD55" s="372"/>
      <c r="BE55" s="372"/>
      <c r="BF55" s="372"/>
      <c r="BG55" s="372"/>
      <c r="BH55" s="372"/>
      <c r="BI55" s="372"/>
      <c r="BJ55" s="372"/>
      <c r="BK55" s="372"/>
      <c r="BL55" s="372"/>
      <c r="BM55" s="372"/>
      <c r="BN55" s="372"/>
      <c r="BO55" s="372"/>
      <c r="BP55" s="372"/>
      <c r="BQ55" s="372"/>
      <c r="BR55" s="372"/>
      <c r="BS55" s="372"/>
      <c r="BT55" s="372"/>
      <c r="BU55" s="372"/>
      <c r="BV55" s="372"/>
      <c r="BW55" s="372"/>
      <c r="BX55" s="372"/>
      <c r="BY55" s="372"/>
      <c r="BZ55" s="372"/>
      <c r="CA55" s="372"/>
      <c r="CB55" s="372"/>
      <c r="CC55" s="372"/>
      <c r="CD55" s="372"/>
      <c r="CE55" s="372"/>
      <c r="CF55" s="372"/>
      <c r="CG55" s="372"/>
      <c r="CH55" s="372"/>
      <c r="CI55" s="372"/>
      <c r="CJ55" s="372"/>
      <c r="CK55" s="372"/>
      <c r="CL55" s="372"/>
      <c r="CM55" s="372"/>
      <c r="CN55" s="372"/>
      <c r="CO55" s="372"/>
      <c r="CP55" s="372"/>
      <c r="CQ55" s="372"/>
      <c r="CR55" s="372"/>
      <c r="CS55" s="372"/>
      <c r="CT55" s="372"/>
      <c r="CU55" s="372"/>
      <c r="CV55" s="372"/>
      <c r="CW55" s="372"/>
      <c r="CX55" s="372"/>
      <c r="CY55" s="372"/>
      <c r="CZ55" s="372"/>
      <c r="DA55" s="372"/>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row>
    <row r="56" spans="1:237" ht="14.15" customHeight="1">
      <c r="A56" s="6"/>
      <c r="B56" s="6"/>
      <c r="C56" s="6"/>
      <c r="D56" s="6"/>
      <c r="E56" s="6"/>
      <c r="F56" s="6"/>
      <c r="G56" s="6"/>
      <c r="H56" s="6"/>
      <c r="I56" s="6"/>
      <c r="J56" s="6"/>
      <c r="K56" s="6"/>
      <c r="L56" s="6"/>
      <c r="M56" s="6"/>
      <c r="N56" s="14"/>
      <c r="O56" s="14"/>
      <c r="P56" s="14"/>
      <c r="Q56" s="573"/>
      <c r="R56" s="343"/>
      <c r="S56" s="343"/>
      <c r="T56" s="343"/>
      <c r="U56" s="343"/>
      <c r="V56" s="343"/>
      <c r="W56" s="343"/>
      <c r="X56" s="372"/>
      <c r="Y56" s="372"/>
      <c r="Z56" s="372"/>
      <c r="AA56" s="372"/>
      <c r="AB56" s="372"/>
      <c r="AC56" s="372"/>
      <c r="AD56" s="372"/>
      <c r="AE56" s="372"/>
      <c r="AF56" s="372"/>
      <c r="AG56" s="372"/>
      <c r="AH56" s="372"/>
      <c r="AI56" s="372"/>
      <c r="AJ56" s="372"/>
      <c r="AK56" s="372"/>
      <c r="AL56" s="372"/>
      <c r="AM56" s="372"/>
      <c r="AN56" s="372"/>
      <c r="AO56" s="372"/>
      <c r="AP56" s="372"/>
      <c r="AQ56" s="372"/>
      <c r="AR56" s="372"/>
      <c r="AS56" s="372"/>
      <c r="AT56" s="372"/>
      <c r="AU56" s="372"/>
      <c r="AV56" s="372"/>
      <c r="AW56" s="372"/>
      <c r="AX56" s="372"/>
      <c r="AY56" s="372"/>
      <c r="AZ56" s="372"/>
      <c r="BA56" s="372"/>
      <c r="BB56" s="372"/>
      <c r="BC56" s="372"/>
      <c r="BD56" s="372"/>
      <c r="BE56" s="372"/>
      <c r="BF56" s="372"/>
      <c r="BG56" s="372"/>
      <c r="BH56" s="372"/>
      <c r="BI56" s="372"/>
      <c r="BJ56" s="372"/>
      <c r="BK56" s="372"/>
      <c r="BL56" s="372"/>
      <c r="BM56" s="372"/>
      <c r="BN56" s="372"/>
      <c r="BO56" s="372"/>
      <c r="BP56" s="372"/>
      <c r="BQ56" s="372"/>
      <c r="BR56" s="372"/>
      <c r="BS56" s="372"/>
      <c r="BT56" s="372"/>
      <c r="BU56" s="372"/>
      <c r="BV56" s="372"/>
      <c r="BW56" s="372"/>
      <c r="BX56" s="372"/>
      <c r="BY56" s="372"/>
      <c r="BZ56" s="372"/>
      <c r="CA56" s="372"/>
      <c r="CB56" s="372"/>
      <c r="CC56" s="372"/>
      <c r="CD56" s="372"/>
      <c r="CE56" s="372"/>
      <c r="CF56" s="372"/>
      <c r="CG56" s="372"/>
      <c r="CH56" s="372"/>
      <c r="CI56" s="372"/>
      <c r="CJ56" s="372"/>
      <c r="CK56" s="372"/>
      <c r="CL56" s="372"/>
      <c r="CM56" s="372"/>
      <c r="CN56" s="372"/>
      <c r="CO56" s="372"/>
      <c r="CP56" s="372"/>
      <c r="CQ56" s="372"/>
      <c r="CR56" s="372"/>
      <c r="CS56" s="372"/>
      <c r="CT56" s="372"/>
      <c r="CU56" s="372"/>
      <c r="CV56" s="372"/>
      <c r="CW56" s="372"/>
      <c r="CX56" s="372"/>
      <c r="CY56" s="372"/>
      <c r="CZ56" s="372"/>
      <c r="DA56" s="372"/>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row>
    <row r="57" spans="1:237" ht="14.15" customHeight="1">
      <c r="A57" s="6"/>
      <c r="B57" s="6"/>
      <c r="C57" s="6"/>
      <c r="D57" s="6"/>
      <c r="E57" s="6"/>
      <c r="F57" s="6"/>
      <c r="G57" s="6"/>
      <c r="H57" s="6"/>
      <c r="I57" s="6"/>
      <c r="J57" s="1422"/>
      <c r="K57" s="6"/>
      <c r="L57" s="6"/>
      <c r="M57" s="6"/>
      <c r="N57" s="14"/>
      <c r="O57" s="14"/>
      <c r="P57" s="14"/>
      <c r="Q57" s="573"/>
      <c r="R57" s="343"/>
      <c r="S57" s="343"/>
      <c r="T57" s="343"/>
      <c r="U57" s="343"/>
      <c r="V57" s="343"/>
      <c r="W57" s="343"/>
      <c r="X57" s="372"/>
      <c r="Y57" s="372"/>
      <c r="Z57" s="372"/>
      <c r="AA57" s="372"/>
      <c r="AB57" s="372"/>
      <c r="AC57" s="372"/>
      <c r="AD57" s="372"/>
      <c r="AE57" s="372"/>
      <c r="AF57" s="372"/>
      <c r="AG57" s="372"/>
      <c r="AH57" s="372"/>
      <c r="AI57" s="372"/>
      <c r="AJ57" s="372"/>
      <c r="AK57" s="372"/>
      <c r="AL57" s="372"/>
      <c r="AM57" s="372"/>
      <c r="AN57" s="372"/>
      <c r="AO57" s="372"/>
      <c r="AP57" s="372"/>
      <c r="AQ57" s="372"/>
      <c r="AR57" s="372"/>
      <c r="AS57" s="372"/>
      <c r="AT57" s="372"/>
      <c r="AU57" s="372"/>
      <c r="AV57" s="372"/>
      <c r="AW57" s="372"/>
      <c r="AX57" s="372"/>
      <c r="AY57" s="372"/>
      <c r="AZ57" s="372"/>
      <c r="BA57" s="372"/>
      <c r="BB57" s="372"/>
      <c r="BC57" s="372"/>
      <c r="BD57" s="372"/>
      <c r="BE57" s="372"/>
      <c r="BF57" s="372"/>
      <c r="BG57" s="372"/>
      <c r="BH57" s="372"/>
      <c r="BI57" s="372"/>
      <c r="BJ57" s="372"/>
      <c r="BK57" s="372"/>
      <c r="BL57" s="372"/>
      <c r="BM57" s="372"/>
      <c r="BN57" s="372"/>
      <c r="BO57" s="372"/>
      <c r="BP57" s="372"/>
      <c r="BQ57" s="372"/>
      <c r="BR57" s="372"/>
      <c r="BS57" s="372"/>
      <c r="BT57" s="372"/>
      <c r="BU57" s="372"/>
      <c r="BV57" s="372"/>
      <c r="BW57" s="372"/>
      <c r="BX57" s="372"/>
      <c r="BY57" s="372"/>
      <c r="BZ57" s="372"/>
      <c r="CA57" s="372"/>
      <c r="CB57" s="372"/>
      <c r="CC57" s="372"/>
      <c r="CD57" s="372"/>
      <c r="CE57" s="372"/>
      <c r="CF57" s="372"/>
      <c r="CG57" s="372"/>
      <c r="CH57" s="372"/>
      <c r="CI57" s="372"/>
      <c r="CJ57" s="372"/>
      <c r="CK57" s="372"/>
      <c r="CL57" s="372"/>
      <c r="CM57" s="372"/>
      <c r="CN57" s="372"/>
      <c r="CO57" s="372"/>
      <c r="CP57" s="372"/>
      <c r="CQ57" s="372"/>
      <c r="CR57" s="372"/>
      <c r="CS57" s="372"/>
      <c r="CT57" s="372"/>
      <c r="CU57" s="372"/>
      <c r="CV57" s="372"/>
      <c r="CW57" s="372"/>
      <c r="CX57" s="372"/>
      <c r="CY57" s="372"/>
      <c r="CZ57" s="372"/>
      <c r="DA57" s="372"/>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row>
    <row r="58" spans="1:237" ht="14.15" customHeight="1">
      <c r="A58" s="6"/>
      <c r="B58" s="6"/>
      <c r="C58" s="6"/>
      <c r="D58" s="6"/>
      <c r="E58" s="6"/>
      <c r="F58" s="6"/>
      <c r="G58" s="6"/>
      <c r="H58" s="6"/>
      <c r="I58" s="6"/>
      <c r="J58" s="1422"/>
      <c r="K58" s="6"/>
      <c r="L58" s="6"/>
      <c r="M58" s="6"/>
      <c r="N58" s="14"/>
      <c r="O58" s="14"/>
      <c r="P58" s="14"/>
      <c r="Q58" s="573"/>
      <c r="R58" s="343"/>
      <c r="S58" s="343"/>
      <c r="T58" s="343"/>
      <c r="U58" s="343"/>
      <c r="V58" s="343"/>
      <c r="W58" s="343"/>
      <c r="X58" s="372"/>
      <c r="Y58" s="372"/>
      <c r="Z58" s="372"/>
      <c r="AA58" s="372"/>
      <c r="AB58" s="372"/>
      <c r="AC58" s="372"/>
      <c r="AD58" s="372"/>
      <c r="AE58" s="372"/>
      <c r="AF58" s="372"/>
      <c r="AG58" s="372"/>
      <c r="AH58" s="372"/>
      <c r="AI58" s="372"/>
      <c r="AJ58" s="372"/>
      <c r="AK58" s="372"/>
      <c r="AL58" s="372"/>
      <c r="AM58" s="372"/>
      <c r="AN58" s="372"/>
      <c r="AO58" s="372"/>
      <c r="AP58" s="372"/>
      <c r="AQ58" s="372"/>
      <c r="AR58" s="372"/>
      <c r="AS58" s="372"/>
      <c r="AT58" s="372"/>
      <c r="AU58" s="372"/>
      <c r="AV58" s="372"/>
      <c r="AW58" s="372"/>
      <c r="AX58" s="372"/>
      <c r="AY58" s="372"/>
      <c r="AZ58" s="372"/>
      <c r="BA58" s="372"/>
      <c r="BB58" s="372"/>
      <c r="BC58" s="372"/>
      <c r="BD58" s="372"/>
      <c r="BE58" s="372"/>
      <c r="BF58" s="372"/>
      <c r="BG58" s="372"/>
      <c r="BH58" s="372"/>
      <c r="BI58" s="372"/>
      <c r="BJ58" s="372"/>
      <c r="BK58" s="372"/>
      <c r="BL58" s="372"/>
      <c r="BM58" s="372"/>
      <c r="BN58" s="372"/>
      <c r="BO58" s="372"/>
      <c r="BP58" s="372"/>
      <c r="BQ58" s="372"/>
      <c r="BR58" s="372"/>
      <c r="BS58" s="372"/>
      <c r="BT58" s="372"/>
      <c r="BU58" s="372"/>
      <c r="BV58" s="372"/>
      <c r="BW58" s="372"/>
      <c r="BX58" s="372"/>
      <c r="BY58" s="372"/>
      <c r="BZ58" s="372"/>
      <c r="CA58" s="372"/>
      <c r="CB58" s="372"/>
      <c r="CC58" s="372"/>
      <c r="CD58" s="372"/>
      <c r="CE58" s="372"/>
      <c r="CF58" s="372"/>
      <c r="CG58" s="372"/>
      <c r="CH58" s="372"/>
      <c r="CI58" s="372"/>
      <c r="CJ58" s="372"/>
      <c r="CK58" s="372"/>
      <c r="CL58" s="372"/>
      <c r="CM58" s="372"/>
      <c r="CN58" s="372"/>
      <c r="CO58" s="372"/>
      <c r="CP58" s="372"/>
      <c r="CQ58" s="372"/>
      <c r="CR58" s="372"/>
      <c r="CS58" s="372"/>
      <c r="CT58" s="372"/>
      <c r="CU58" s="372"/>
      <c r="CV58" s="372"/>
      <c r="CW58" s="372"/>
      <c r="CX58" s="372"/>
      <c r="CY58" s="372"/>
      <c r="CZ58" s="372"/>
      <c r="DA58" s="372"/>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row>
    <row r="59" spans="1:237" ht="14.15" customHeight="1">
      <c r="A59" s="6"/>
      <c r="B59" s="6"/>
      <c r="C59" s="6"/>
      <c r="D59" s="6"/>
      <c r="E59" s="6"/>
      <c r="F59" s="6"/>
      <c r="G59" s="6"/>
      <c r="H59" s="6"/>
      <c r="I59" s="6"/>
      <c r="J59" s="15"/>
      <c r="K59" s="6"/>
      <c r="L59" s="6"/>
      <c r="M59" s="6"/>
      <c r="N59" s="14"/>
      <c r="O59" s="14"/>
      <c r="P59" s="14"/>
      <c r="Q59" s="573"/>
      <c r="R59" s="343"/>
      <c r="S59" s="343"/>
      <c r="T59" s="343"/>
      <c r="U59" s="343"/>
      <c r="V59" s="343"/>
      <c r="W59" s="343"/>
      <c r="X59" s="372"/>
      <c r="Y59" s="372"/>
      <c r="Z59" s="372"/>
      <c r="AA59" s="372"/>
      <c r="AB59" s="372"/>
      <c r="AC59" s="372"/>
      <c r="AD59" s="372"/>
      <c r="AE59" s="372"/>
      <c r="AF59" s="372"/>
      <c r="AG59" s="372"/>
      <c r="AH59" s="372"/>
      <c r="AI59" s="372"/>
      <c r="AJ59" s="372"/>
      <c r="AK59" s="372"/>
      <c r="AL59" s="372"/>
      <c r="AM59" s="372"/>
      <c r="AN59" s="372"/>
      <c r="AO59" s="372"/>
      <c r="AP59" s="372"/>
      <c r="AQ59" s="372"/>
      <c r="AR59" s="372"/>
      <c r="AS59" s="372"/>
      <c r="AT59" s="372"/>
      <c r="AU59" s="372"/>
      <c r="AV59" s="372"/>
      <c r="AW59" s="372"/>
      <c r="AX59" s="372"/>
      <c r="AY59" s="372"/>
      <c r="AZ59" s="372"/>
      <c r="BA59" s="372"/>
      <c r="BB59" s="372"/>
      <c r="BC59" s="372"/>
      <c r="BD59" s="372"/>
      <c r="BE59" s="372"/>
      <c r="BF59" s="372"/>
      <c r="BG59" s="372"/>
      <c r="BH59" s="372"/>
      <c r="BI59" s="372"/>
      <c r="BJ59" s="372"/>
      <c r="BK59" s="372"/>
      <c r="BL59" s="372"/>
      <c r="BM59" s="372"/>
      <c r="BN59" s="372"/>
      <c r="BO59" s="372"/>
      <c r="BP59" s="372"/>
      <c r="BQ59" s="372"/>
      <c r="BR59" s="372"/>
      <c r="BS59" s="372"/>
      <c r="BT59" s="372"/>
      <c r="BU59" s="372"/>
      <c r="BV59" s="372"/>
      <c r="BW59" s="372"/>
      <c r="BX59" s="372"/>
      <c r="BY59" s="372"/>
      <c r="BZ59" s="372"/>
      <c r="CA59" s="372"/>
      <c r="CB59" s="372"/>
      <c r="CC59" s="372"/>
      <c r="CD59" s="372"/>
      <c r="CE59" s="372"/>
      <c r="CF59" s="372"/>
      <c r="CG59" s="372"/>
      <c r="CH59" s="372"/>
      <c r="CI59" s="372"/>
      <c r="CJ59" s="372"/>
      <c r="CK59" s="372"/>
      <c r="CL59" s="372"/>
      <c r="CM59" s="372"/>
      <c r="CN59" s="372"/>
      <c r="CO59" s="372"/>
      <c r="CP59" s="372"/>
      <c r="CQ59" s="372"/>
      <c r="CR59" s="372"/>
      <c r="CS59" s="372"/>
      <c r="CT59" s="372"/>
      <c r="CU59" s="372"/>
      <c r="CV59" s="372"/>
      <c r="CW59" s="372"/>
      <c r="CX59" s="372"/>
      <c r="CY59" s="372"/>
      <c r="CZ59" s="372"/>
      <c r="DA59" s="372"/>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row>
    <row r="60" spans="1:237" ht="14.15" customHeight="1">
      <c r="A60" s="6"/>
      <c r="B60" s="15"/>
      <c r="C60" s="15"/>
      <c r="D60" s="15"/>
      <c r="E60" s="15"/>
      <c r="F60" s="15"/>
      <c r="G60" s="15"/>
      <c r="H60" s="15"/>
      <c r="I60" s="15"/>
      <c r="J60" s="15"/>
      <c r="K60" s="15"/>
      <c r="L60" s="15"/>
      <c r="M60" s="15"/>
      <c r="N60" s="14"/>
      <c r="O60" s="14"/>
      <c r="P60" s="14"/>
      <c r="Q60" s="573"/>
      <c r="R60" s="343"/>
      <c r="S60" s="343"/>
      <c r="T60" s="343"/>
      <c r="U60" s="343"/>
      <c r="V60" s="343"/>
      <c r="W60" s="343"/>
      <c r="X60" s="372"/>
      <c r="Y60" s="372"/>
      <c r="Z60" s="388"/>
      <c r="AA60" s="389"/>
      <c r="AB60" s="372"/>
      <c r="AC60" s="372"/>
      <c r="AD60" s="372"/>
      <c r="AE60" s="372"/>
      <c r="AF60" s="372"/>
      <c r="AG60" s="372"/>
      <c r="AH60" s="372"/>
      <c r="AI60" s="372"/>
      <c r="AJ60" s="372"/>
      <c r="AK60" s="372"/>
      <c r="AL60" s="372"/>
      <c r="AM60" s="372"/>
      <c r="AN60" s="372"/>
      <c r="AO60" s="372"/>
      <c r="AP60" s="372"/>
      <c r="AQ60" s="372"/>
      <c r="AR60" s="372"/>
      <c r="AS60" s="372"/>
      <c r="AT60" s="372"/>
      <c r="AU60" s="372"/>
      <c r="AV60" s="372"/>
      <c r="AW60" s="372"/>
      <c r="AX60" s="372"/>
      <c r="AY60" s="372"/>
      <c r="AZ60" s="372"/>
      <c r="BA60" s="372"/>
      <c r="BB60" s="372"/>
      <c r="BC60" s="372"/>
      <c r="BD60" s="372"/>
      <c r="BE60" s="372"/>
      <c r="BF60" s="372"/>
      <c r="BG60" s="372"/>
      <c r="BH60" s="372"/>
      <c r="BI60" s="372"/>
      <c r="BJ60" s="372"/>
      <c r="BK60" s="372"/>
      <c r="BL60" s="372"/>
      <c r="BM60" s="372"/>
      <c r="BN60" s="372"/>
      <c r="BO60" s="372"/>
      <c r="BP60" s="372"/>
      <c r="BQ60" s="372"/>
      <c r="BR60" s="372"/>
      <c r="BS60" s="372"/>
      <c r="BT60" s="372"/>
      <c r="BU60" s="372"/>
      <c r="BV60" s="372"/>
      <c r="BW60" s="372"/>
      <c r="BX60" s="372"/>
      <c r="BY60" s="372"/>
      <c r="BZ60" s="372"/>
      <c r="CA60" s="372"/>
      <c r="CB60" s="372"/>
      <c r="CC60" s="372"/>
      <c r="CD60" s="372"/>
      <c r="CE60" s="372"/>
      <c r="CF60" s="372"/>
      <c r="CG60" s="372"/>
      <c r="CH60" s="372"/>
      <c r="CI60" s="372"/>
      <c r="CJ60" s="372"/>
      <c r="CK60" s="372"/>
      <c r="CL60" s="372"/>
      <c r="CM60" s="372"/>
      <c r="CN60" s="372"/>
      <c r="CO60" s="372"/>
      <c r="CP60" s="372"/>
      <c r="CQ60" s="372"/>
      <c r="CR60" s="372"/>
      <c r="CS60" s="372"/>
      <c r="CT60" s="372"/>
      <c r="CU60" s="372"/>
      <c r="CV60" s="372"/>
      <c r="CW60" s="372"/>
      <c r="CX60" s="372"/>
      <c r="CY60" s="372"/>
      <c r="CZ60" s="372"/>
      <c r="DA60" s="372"/>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row>
    <row r="61" spans="1:237" ht="14.15" customHeight="1">
      <c r="A61" s="6"/>
      <c r="B61" s="6"/>
      <c r="C61" s="6"/>
      <c r="D61" s="6"/>
      <c r="E61" s="6"/>
      <c r="F61" s="6"/>
      <c r="G61" s="6"/>
      <c r="H61" s="6"/>
      <c r="I61" s="6"/>
      <c r="J61" s="15"/>
      <c r="K61" s="6"/>
      <c r="L61" s="6"/>
      <c r="M61" s="6"/>
      <c r="N61" s="14"/>
      <c r="O61" s="14"/>
      <c r="P61" s="14"/>
      <c r="Q61" s="573"/>
      <c r="R61" s="343"/>
      <c r="S61" s="343"/>
      <c r="T61" s="343"/>
      <c r="U61" s="343"/>
      <c r="V61" s="343"/>
      <c r="W61" s="343"/>
      <c r="X61" s="372"/>
      <c r="Y61" s="390"/>
      <c r="Z61" s="391"/>
      <c r="AA61" s="391"/>
      <c r="AB61" s="372"/>
      <c r="AC61" s="372"/>
      <c r="AD61" s="372"/>
      <c r="AE61" s="372"/>
      <c r="AF61" s="372"/>
      <c r="AG61" s="372"/>
      <c r="AH61" s="372"/>
      <c r="AI61" s="372"/>
      <c r="AJ61" s="372"/>
      <c r="AK61" s="372"/>
      <c r="AL61" s="372"/>
      <c r="AM61" s="372"/>
      <c r="AN61" s="372"/>
      <c r="AO61" s="372"/>
      <c r="AP61" s="372"/>
      <c r="AQ61" s="372"/>
      <c r="AR61" s="372"/>
      <c r="AS61" s="372"/>
      <c r="AT61" s="372"/>
      <c r="AU61" s="372"/>
      <c r="AV61" s="372"/>
      <c r="AW61" s="372"/>
      <c r="AX61" s="372"/>
      <c r="AY61" s="372"/>
      <c r="AZ61" s="372"/>
      <c r="BA61" s="372"/>
      <c r="BB61" s="372"/>
      <c r="BC61" s="372"/>
      <c r="BD61" s="372"/>
      <c r="BE61" s="372"/>
      <c r="BF61" s="372"/>
      <c r="BG61" s="372"/>
      <c r="BH61" s="372"/>
      <c r="BI61" s="372"/>
      <c r="BJ61" s="372"/>
      <c r="BK61" s="372"/>
      <c r="BL61" s="372"/>
      <c r="BM61" s="372"/>
      <c r="BN61" s="372"/>
      <c r="BO61" s="372"/>
      <c r="BP61" s="372"/>
      <c r="BQ61" s="372"/>
      <c r="BR61" s="372"/>
      <c r="BS61" s="372"/>
      <c r="BT61" s="372"/>
      <c r="BU61" s="372"/>
      <c r="BV61" s="372"/>
      <c r="BW61" s="372"/>
      <c r="BX61" s="372"/>
      <c r="BY61" s="372"/>
      <c r="BZ61" s="372"/>
      <c r="CA61" s="372"/>
      <c r="CB61" s="372"/>
      <c r="CC61" s="372"/>
      <c r="CD61" s="372"/>
      <c r="CE61" s="372"/>
      <c r="CF61" s="372"/>
      <c r="CG61" s="372"/>
      <c r="CH61" s="372"/>
      <c r="CI61" s="372"/>
      <c r="CJ61" s="372"/>
      <c r="CK61" s="372"/>
      <c r="CL61" s="372"/>
      <c r="CM61" s="372"/>
      <c r="CN61" s="372"/>
      <c r="CO61" s="372"/>
      <c r="CP61" s="372"/>
      <c r="CQ61" s="372"/>
      <c r="CR61" s="372"/>
      <c r="CS61" s="372"/>
      <c r="CT61" s="372"/>
      <c r="CU61" s="372"/>
      <c r="CV61" s="372"/>
      <c r="CW61" s="372"/>
      <c r="CX61" s="372"/>
      <c r="CY61" s="372"/>
      <c r="CZ61" s="372"/>
      <c r="DA61" s="372"/>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row>
    <row r="62" spans="1:237" ht="14.15" customHeight="1">
      <c r="A62" s="6"/>
      <c r="B62" s="6"/>
      <c r="C62" s="6"/>
      <c r="D62" s="6"/>
      <c r="E62" s="6"/>
      <c r="F62" s="6"/>
      <c r="G62" s="6"/>
      <c r="H62" s="6"/>
      <c r="I62" s="6"/>
      <c r="J62" s="15"/>
      <c r="K62" s="6"/>
      <c r="L62" s="6"/>
      <c r="M62" s="6"/>
      <c r="N62" s="14"/>
      <c r="O62" s="14"/>
      <c r="P62" s="14"/>
      <c r="Q62" s="573"/>
      <c r="R62" s="343"/>
      <c r="S62" s="343"/>
      <c r="T62" s="343"/>
      <c r="U62" s="343"/>
      <c r="V62" s="343"/>
      <c r="W62" s="343"/>
      <c r="X62" s="372"/>
      <c r="Y62" s="372"/>
      <c r="Z62" s="372"/>
      <c r="AA62" s="372"/>
      <c r="AB62" s="372"/>
      <c r="AC62" s="372"/>
      <c r="AD62" s="372"/>
      <c r="AE62" s="372"/>
      <c r="AF62" s="372"/>
      <c r="AG62" s="372"/>
      <c r="AH62" s="372"/>
      <c r="AI62" s="372"/>
      <c r="AJ62" s="372"/>
      <c r="AK62" s="372"/>
      <c r="AL62" s="372"/>
      <c r="AM62" s="372"/>
      <c r="AN62" s="372"/>
      <c r="AO62" s="372"/>
      <c r="AP62" s="372"/>
      <c r="AQ62" s="372"/>
      <c r="AR62" s="372"/>
      <c r="AS62" s="372"/>
      <c r="AT62" s="372"/>
      <c r="AU62" s="372"/>
      <c r="AV62" s="372"/>
      <c r="AW62" s="372"/>
      <c r="AX62" s="372"/>
      <c r="AY62" s="372"/>
      <c r="AZ62" s="372"/>
      <c r="BA62" s="372"/>
      <c r="BB62" s="372"/>
      <c r="BC62" s="372"/>
      <c r="BD62" s="372"/>
      <c r="BE62" s="372"/>
      <c r="BF62" s="372"/>
      <c r="BG62" s="372"/>
      <c r="BH62" s="372"/>
      <c r="BI62" s="372"/>
      <c r="BJ62" s="372"/>
      <c r="BK62" s="372"/>
      <c r="BL62" s="372"/>
      <c r="BM62" s="372"/>
      <c r="BN62" s="372"/>
      <c r="BO62" s="372"/>
      <c r="BP62" s="372"/>
      <c r="BQ62" s="372"/>
      <c r="BR62" s="372"/>
      <c r="BS62" s="372"/>
      <c r="BT62" s="372"/>
      <c r="BU62" s="372"/>
      <c r="BV62" s="372"/>
      <c r="BW62" s="372"/>
      <c r="BX62" s="372"/>
      <c r="BY62" s="372"/>
      <c r="BZ62" s="372"/>
      <c r="CA62" s="372"/>
      <c r="CB62" s="372"/>
      <c r="CC62" s="372"/>
      <c r="CD62" s="372"/>
      <c r="CE62" s="372"/>
      <c r="CF62" s="372"/>
      <c r="CG62" s="372"/>
      <c r="CH62" s="372"/>
      <c r="CI62" s="372"/>
      <c r="CJ62" s="372"/>
      <c r="CK62" s="372"/>
      <c r="CL62" s="372"/>
      <c r="CM62" s="372"/>
      <c r="CN62" s="372"/>
      <c r="CO62" s="372"/>
      <c r="CP62" s="372"/>
      <c r="CQ62" s="372"/>
      <c r="CR62" s="372"/>
      <c r="CS62" s="372"/>
      <c r="CT62" s="372"/>
      <c r="CU62" s="372"/>
      <c r="CV62" s="372"/>
      <c r="CW62" s="372"/>
      <c r="CX62" s="372"/>
      <c r="CY62" s="372"/>
      <c r="CZ62" s="372"/>
      <c r="DA62" s="372"/>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row>
    <row r="63" spans="1:237" ht="14.15" customHeight="1">
      <c r="A63" s="16"/>
      <c r="B63" s="6"/>
      <c r="C63" s="6"/>
      <c r="D63" s="6"/>
      <c r="E63" s="6"/>
      <c r="F63" s="6"/>
      <c r="G63" s="6"/>
      <c r="H63" s="6"/>
      <c r="I63" s="6"/>
      <c r="J63" s="15"/>
      <c r="K63" s="1423"/>
      <c r="L63" s="1423"/>
      <c r="M63" s="6"/>
      <c r="N63" s="14"/>
      <c r="O63" s="14"/>
      <c r="P63" s="14"/>
      <c r="Q63" s="573"/>
      <c r="R63" s="343"/>
      <c r="S63" s="343"/>
      <c r="T63" s="343"/>
      <c r="U63" s="343"/>
      <c r="V63" s="343"/>
      <c r="W63" s="343"/>
      <c r="X63" s="372"/>
      <c r="Y63" s="372"/>
      <c r="Z63" s="372"/>
      <c r="AA63" s="372"/>
      <c r="AB63" s="372"/>
      <c r="AC63" s="372"/>
      <c r="AD63" s="372"/>
      <c r="AE63" s="372"/>
      <c r="AF63" s="372"/>
      <c r="AG63" s="372"/>
      <c r="AH63" s="372"/>
      <c r="AI63" s="372"/>
      <c r="AJ63" s="372"/>
      <c r="AK63" s="372"/>
      <c r="AL63" s="372"/>
      <c r="AM63" s="372"/>
      <c r="AN63" s="372"/>
      <c r="AO63" s="372"/>
      <c r="AP63" s="372"/>
      <c r="AQ63" s="372"/>
      <c r="AR63" s="372"/>
      <c r="AS63" s="372"/>
      <c r="AT63" s="372"/>
      <c r="AU63" s="372"/>
      <c r="AV63" s="372"/>
      <c r="AW63" s="372"/>
      <c r="AX63" s="372"/>
      <c r="AY63" s="372"/>
      <c r="AZ63" s="372"/>
      <c r="BA63" s="372"/>
      <c r="BB63" s="372"/>
      <c r="BC63" s="372"/>
      <c r="BD63" s="372"/>
      <c r="BE63" s="372"/>
      <c r="BF63" s="372"/>
      <c r="BG63" s="372"/>
      <c r="BH63" s="372"/>
      <c r="BI63" s="372"/>
      <c r="BJ63" s="372"/>
      <c r="BK63" s="372"/>
      <c r="BL63" s="372"/>
      <c r="BM63" s="372"/>
      <c r="BN63" s="372"/>
      <c r="BO63" s="372"/>
      <c r="BP63" s="372"/>
      <c r="BQ63" s="372"/>
      <c r="BR63" s="372"/>
      <c r="BS63" s="372"/>
      <c r="BT63" s="372"/>
      <c r="BU63" s="372"/>
      <c r="BV63" s="372"/>
      <c r="BW63" s="372"/>
      <c r="BX63" s="372"/>
      <c r="BY63" s="372"/>
      <c r="BZ63" s="372"/>
      <c r="CA63" s="372"/>
      <c r="CB63" s="372"/>
      <c r="CC63" s="372"/>
      <c r="CD63" s="372"/>
      <c r="CE63" s="372"/>
      <c r="CF63" s="372"/>
      <c r="CG63" s="372"/>
      <c r="CH63" s="372"/>
      <c r="CI63" s="372"/>
      <c r="CJ63" s="372"/>
      <c r="CK63" s="372"/>
      <c r="CL63" s="372"/>
      <c r="CM63" s="372"/>
      <c r="CN63" s="372"/>
      <c r="CO63" s="372"/>
      <c r="CP63" s="372"/>
      <c r="CQ63" s="372"/>
      <c r="CR63" s="372"/>
      <c r="CS63" s="372"/>
      <c r="CT63" s="372"/>
      <c r="CU63" s="372"/>
      <c r="CV63" s="372"/>
      <c r="CW63" s="372"/>
      <c r="CX63" s="372"/>
      <c r="CY63" s="372"/>
      <c r="CZ63" s="372"/>
      <c r="DA63" s="372"/>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row>
    <row r="64" spans="1:237" ht="14.15" customHeight="1">
      <c r="A64" s="6"/>
      <c r="B64" s="6"/>
      <c r="C64" s="6"/>
      <c r="D64" s="6"/>
      <c r="E64" s="6"/>
      <c r="F64" s="6"/>
      <c r="G64" s="6"/>
      <c r="H64" s="6"/>
      <c r="I64" s="6"/>
      <c r="J64" s="15"/>
      <c r="K64" s="1423"/>
      <c r="L64" s="1423"/>
      <c r="M64" s="6"/>
      <c r="N64" s="14"/>
      <c r="O64" s="14"/>
      <c r="P64" s="14"/>
      <c r="Q64" s="573"/>
      <c r="R64" s="343"/>
      <c r="S64" s="343"/>
      <c r="T64" s="343"/>
      <c r="U64" s="343"/>
      <c r="V64" s="343"/>
      <c r="W64" s="343"/>
      <c r="X64" s="372"/>
      <c r="Y64" s="372"/>
      <c r="Z64" s="372"/>
      <c r="AA64" s="372"/>
      <c r="AB64" s="372"/>
      <c r="AC64" s="372"/>
      <c r="AD64" s="372"/>
      <c r="AE64" s="372"/>
      <c r="AF64" s="372"/>
      <c r="AG64" s="372"/>
      <c r="AH64" s="372"/>
      <c r="AI64" s="372"/>
      <c r="AJ64" s="372"/>
      <c r="AK64" s="372"/>
      <c r="AL64" s="372"/>
      <c r="AM64" s="372"/>
      <c r="AN64" s="372"/>
      <c r="AO64" s="372"/>
      <c r="AP64" s="372"/>
      <c r="AQ64" s="372"/>
      <c r="AR64" s="372"/>
      <c r="AS64" s="372"/>
      <c r="AT64" s="372"/>
      <c r="AU64" s="372"/>
      <c r="AV64" s="372"/>
      <c r="AW64" s="372"/>
      <c r="AX64" s="372"/>
      <c r="AY64" s="372"/>
      <c r="AZ64" s="372"/>
      <c r="BA64" s="372"/>
      <c r="BB64" s="372"/>
      <c r="BC64" s="372"/>
      <c r="BD64" s="372"/>
      <c r="BE64" s="372"/>
      <c r="BF64" s="372"/>
      <c r="BG64" s="372"/>
      <c r="BH64" s="372"/>
      <c r="BI64" s="372"/>
      <c r="BJ64" s="372"/>
      <c r="BK64" s="372"/>
      <c r="BL64" s="372"/>
      <c r="BM64" s="372"/>
      <c r="BN64" s="372"/>
      <c r="BO64" s="372"/>
      <c r="BP64" s="372"/>
      <c r="BQ64" s="372"/>
      <c r="BR64" s="372"/>
      <c r="BS64" s="372"/>
      <c r="BT64" s="372"/>
      <c r="BU64" s="372"/>
      <c r="BV64" s="372"/>
      <c r="BW64" s="372"/>
      <c r="BX64" s="372"/>
      <c r="BY64" s="372"/>
      <c r="BZ64" s="372"/>
      <c r="CA64" s="372"/>
      <c r="CB64" s="372"/>
      <c r="CC64" s="372"/>
      <c r="CD64" s="372"/>
      <c r="CE64" s="372"/>
      <c r="CF64" s="372"/>
      <c r="CG64" s="372"/>
      <c r="CH64" s="372"/>
      <c r="CI64" s="372"/>
      <c r="CJ64" s="372"/>
      <c r="CK64" s="372"/>
      <c r="CL64" s="372"/>
      <c r="CM64" s="372"/>
      <c r="CN64" s="372"/>
      <c r="CO64" s="372"/>
      <c r="CP64" s="372"/>
      <c r="CQ64" s="372"/>
      <c r="CR64" s="372"/>
      <c r="CS64" s="372"/>
      <c r="CT64" s="372"/>
      <c r="CU64" s="372"/>
      <c r="CV64" s="372"/>
      <c r="CW64" s="372"/>
      <c r="CX64" s="372"/>
      <c r="CY64" s="372"/>
      <c r="CZ64" s="372"/>
      <c r="DA64" s="372"/>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row>
    <row r="65" spans="1:237" ht="14.15" customHeight="1">
      <c r="A65" s="6"/>
      <c r="B65" s="6"/>
      <c r="C65" s="6"/>
      <c r="D65" s="6"/>
      <c r="E65" s="6"/>
      <c r="F65" s="6"/>
      <c r="G65" s="6"/>
      <c r="H65" s="6"/>
      <c r="I65" s="6"/>
      <c r="J65" s="6"/>
      <c r="K65" s="6"/>
      <c r="L65" s="6"/>
      <c r="M65" s="6"/>
      <c r="N65" s="14"/>
      <c r="O65" s="14"/>
      <c r="P65" s="14"/>
      <c r="Q65" s="573"/>
      <c r="R65" s="343"/>
      <c r="S65" s="343"/>
      <c r="T65" s="343"/>
      <c r="U65" s="343"/>
      <c r="V65" s="343"/>
      <c r="W65" s="343"/>
      <c r="X65" s="372"/>
      <c r="Y65" s="372"/>
      <c r="Z65" s="372"/>
      <c r="AA65" s="372"/>
      <c r="AB65" s="372"/>
      <c r="AC65" s="372"/>
      <c r="AD65" s="372"/>
      <c r="AE65" s="372"/>
      <c r="AF65" s="372"/>
      <c r="AG65" s="372"/>
      <c r="AH65" s="372"/>
      <c r="AI65" s="372"/>
      <c r="AJ65" s="372"/>
      <c r="AK65" s="372"/>
      <c r="AL65" s="372"/>
      <c r="AM65" s="372"/>
      <c r="AN65" s="372"/>
      <c r="AO65" s="372"/>
      <c r="AP65" s="372"/>
      <c r="AQ65" s="372"/>
      <c r="AR65" s="372"/>
      <c r="AS65" s="372"/>
      <c r="AT65" s="372"/>
      <c r="AU65" s="372"/>
      <c r="AV65" s="372"/>
      <c r="AW65" s="372"/>
      <c r="AX65" s="372"/>
      <c r="AY65" s="372"/>
      <c r="AZ65" s="372"/>
      <c r="BA65" s="372"/>
      <c r="BB65" s="372"/>
      <c r="BC65" s="372"/>
      <c r="BD65" s="372"/>
      <c r="BE65" s="372"/>
      <c r="BF65" s="372"/>
      <c r="BG65" s="372"/>
      <c r="BH65" s="372"/>
      <c r="BI65" s="372"/>
      <c r="BJ65" s="372"/>
      <c r="BK65" s="372"/>
      <c r="BL65" s="372"/>
      <c r="BM65" s="372"/>
      <c r="BN65" s="372"/>
      <c r="BO65" s="372"/>
      <c r="BP65" s="372"/>
      <c r="BQ65" s="372"/>
      <c r="BR65" s="372"/>
      <c r="BS65" s="372"/>
      <c r="BT65" s="372"/>
      <c r="BU65" s="372"/>
      <c r="BV65" s="372"/>
      <c r="BW65" s="372"/>
      <c r="BX65" s="372"/>
      <c r="BY65" s="372"/>
      <c r="BZ65" s="372"/>
      <c r="CA65" s="372"/>
      <c r="CB65" s="372"/>
      <c r="CC65" s="372"/>
      <c r="CD65" s="372"/>
      <c r="CE65" s="372"/>
      <c r="CF65" s="372"/>
      <c r="CG65" s="372"/>
      <c r="CH65" s="372"/>
      <c r="CI65" s="372"/>
      <c r="CJ65" s="372"/>
      <c r="CK65" s="372"/>
      <c r="CL65" s="372"/>
      <c r="CM65" s="372"/>
      <c r="CN65" s="372"/>
      <c r="CO65" s="372"/>
      <c r="CP65" s="372"/>
      <c r="CQ65" s="372"/>
      <c r="CR65" s="372"/>
      <c r="CS65" s="372"/>
      <c r="CT65" s="372"/>
      <c r="CU65" s="372"/>
      <c r="CV65" s="372"/>
      <c r="CW65" s="372"/>
      <c r="CX65" s="372"/>
      <c r="CY65" s="372"/>
      <c r="CZ65" s="372"/>
      <c r="DA65" s="372"/>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row>
    <row r="66" spans="1:237" ht="14.15" customHeight="1">
      <c r="A66" s="6"/>
      <c r="B66" s="6"/>
      <c r="C66" s="6"/>
      <c r="D66" s="6"/>
      <c r="E66" s="6"/>
      <c r="F66" s="6"/>
      <c r="G66" s="6"/>
      <c r="H66" s="6"/>
      <c r="I66" s="6"/>
      <c r="J66" s="6"/>
      <c r="K66" s="6"/>
      <c r="L66" s="6"/>
      <c r="M66" s="6"/>
      <c r="N66" s="14"/>
      <c r="O66" s="14"/>
      <c r="P66" s="14"/>
      <c r="Q66" s="573"/>
      <c r="R66" s="343"/>
      <c r="S66" s="343"/>
      <c r="T66" s="343"/>
      <c r="U66" s="343"/>
      <c r="V66" s="343"/>
      <c r="W66" s="343"/>
      <c r="X66" s="372"/>
      <c r="Y66" s="372"/>
      <c r="Z66" s="372"/>
      <c r="AA66" s="372"/>
      <c r="AB66" s="372"/>
      <c r="AC66" s="372"/>
      <c r="AD66" s="372"/>
      <c r="AE66" s="372"/>
      <c r="AF66" s="372"/>
      <c r="AG66" s="372"/>
      <c r="AH66" s="372"/>
      <c r="AI66" s="372"/>
      <c r="AJ66" s="372"/>
      <c r="AK66" s="372"/>
      <c r="AL66" s="372"/>
      <c r="AM66" s="372"/>
      <c r="AN66" s="372"/>
      <c r="AO66" s="372"/>
      <c r="AP66" s="372"/>
      <c r="AQ66" s="372"/>
      <c r="AR66" s="372"/>
      <c r="AS66" s="372"/>
      <c r="AT66" s="372"/>
      <c r="AU66" s="372"/>
      <c r="AV66" s="372"/>
      <c r="AW66" s="372"/>
      <c r="AX66" s="372"/>
      <c r="AY66" s="372"/>
      <c r="AZ66" s="372"/>
      <c r="BA66" s="372"/>
      <c r="BB66" s="372"/>
      <c r="BC66" s="372"/>
      <c r="BD66" s="372"/>
      <c r="BE66" s="372"/>
      <c r="BF66" s="372"/>
      <c r="BG66" s="372"/>
      <c r="BH66" s="372"/>
      <c r="BI66" s="372"/>
      <c r="BJ66" s="372"/>
      <c r="BK66" s="372"/>
      <c r="BL66" s="372"/>
      <c r="BM66" s="372"/>
      <c r="BN66" s="372"/>
      <c r="BO66" s="372"/>
      <c r="BP66" s="372"/>
      <c r="BQ66" s="372"/>
      <c r="BR66" s="372"/>
      <c r="BS66" s="372"/>
      <c r="BT66" s="372"/>
      <c r="BU66" s="372"/>
      <c r="BV66" s="372"/>
      <c r="BW66" s="372"/>
      <c r="BX66" s="372"/>
      <c r="BY66" s="372"/>
      <c r="BZ66" s="372"/>
      <c r="CA66" s="372"/>
      <c r="CB66" s="372"/>
      <c r="CC66" s="372"/>
      <c r="CD66" s="372"/>
      <c r="CE66" s="372"/>
      <c r="CF66" s="372"/>
      <c r="CG66" s="372"/>
      <c r="CH66" s="372"/>
      <c r="CI66" s="372"/>
      <c r="CJ66" s="372"/>
      <c r="CK66" s="372"/>
      <c r="CL66" s="372"/>
      <c r="CM66" s="372"/>
      <c r="CN66" s="372"/>
      <c r="CO66" s="372"/>
      <c r="CP66" s="372"/>
      <c r="CQ66" s="372"/>
      <c r="CR66" s="372"/>
      <c r="CS66" s="372"/>
      <c r="CT66" s="372"/>
      <c r="CU66" s="372"/>
      <c r="CV66" s="372"/>
      <c r="CW66" s="372"/>
      <c r="CX66" s="372"/>
      <c r="CY66" s="372"/>
      <c r="CZ66" s="372"/>
      <c r="DA66" s="372"/>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row>
    <row r="67" spans="1:237" ht="14.15" customHeight="1">
      <c r="A67" s="6"/>
      <c r="B67" s="6"/>
      <c r="C67" s="6"/>
      <c r="D67" s="6"/>
      <c r="E67" s="6"/>
      <c r="F67" s="6"/>
      <c r="G67" s="6"/>
      <c r="H67" s="6"/>
      <c r="I67" s="6"/>
      <c r="J67" s="6"/>
      <c r="K67" s="6"/>
      <c r="L67" s="6"/>
      <c r="M67" s="6"/>
      <c r="N67" s="14"/>
      <c r="O67" s="14"/>
      <c r="P67" s="14"/>
      <c r="Q67" s="573"/>
      <c r="R67" s="343"/>
      <c r="S67" s="343"/>
      <c r="T67" s="343"/>
      <c r="U67" s="343"/>
      <c r="V67" s="343"/>
      <c r="W67" s="343"/>
      <c r="X67" s="372"/>
      <c r="Y67" s="372"/>
      <c r="Z67" s="372"/>
      <c r="AA67" s="372"/>
      <c r="AB67" s="372"/>
      <c r="AC67" s="372"/>
      <c r="AD67" s="372"/>
      <c r="AE67" s="372"/>
      <c r="AF67" s="372"/>
      <c r="AG67" s="372"/>
      <c r="AH67" s="372"/>
      <c r="AI67" s="372"/>
      <c r="AJ67" s="372"/>
      <c r="AK67" s="372"/>
      <c r="AL67" s="372"/>
      <c r="AM67" s="372"/>
      <c r="AN67" s="372"/>
      <c r="AO67" s="372"/>
      <c r="AP67" s="372"/>
      <c r="AQ67" s="372"/>
      <c r="AR67" s="372"/>
      <c r="AS67" s="372"/>
      <c r="AT67" s="372"/>
      <c r="AU67" s="372"/>
      <c r="AV67" s="372"/>
      <c r="AW67" s="372"/>
      <c r="AX67" s="372"/>
      <c r="AY67" s="372"/>
      <c r="AZ67" s="372"/>
      <c r="BA67" s="372"/>
      <c r="BB67" s="372"/>
      <c r="BC67" s="372"/>
      <c r="BD67" s="372"/>
      <c r="BE67" s="372"/>
      <c r="BF67" s="372"/>
      <c r="BG67" s="372"/>
      <c r="BH67" s="372"/>
      <c r="BI67" s="372"/>
      <c r="BJ67" s="372"/>
      <c r="BK67" s="372"/>
      <c r="BL67" s="372"/>
      <c r="BM67" s="372"/>
      <c r="BN67" s="372"/>
      <c r="BO67" s="372"/>
      <c r="BP67" s="372"/>
      <c r="BQ67" s="372"/>
      <c r="BR67" s="372"/>
      <c r="BS67" s="372"/>
      <c r="BT67" s="372"/>
      <c r="BU67" s="372"/>
      <c r="BV67" s="372"/>
      <c r="BW67" s="372"/>
      <c r="BX67" s="372"/>
      <c r="BY67" s="372"/>
      <c r="BZ67" s="372"/>
      <c r="CA67" s="372"/>
      <c r="CB67" s="372"/>
      <c r="CC67" s="372"/>
      <c r="CD67" s="372"/>
      <c r="CE67" s="372"/>
      <c r="CF67" s="372"/>
      <c r="CG67" s="372"/>
      <c r="CH67" s="372"/>
      <c r="CI67" s="372"/>
      <c r="CJ67" s="372"/>
      <c r="CK67" s="372"/>
      <c r="CL67" s="372"/>
      <c r="CM67" s="372"/>
      <c r="CN67" s="372"/>
      <c r="CO67" s="372"/>
      <c r="CP67" s="372"/>
      <c r="CQ67" s="372"/>
      <c r="CR67" s="372"/>
      <c r="CS67" s="372"/>
      <c r="CT67" s="372"/>
      <c r="CU67" s="372"/>
      <c r="CV67" s="372"/>
      <c r="CW67" s="372"/>
      <c r="CX67" s="372"/>
      <c r="CY67" s="372"/>
      <c r="CZ67" s="372"/>
      <c r="DA67" s="372"/>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row>
    <row r="68" spans="1:237" ht="14.15" customHeight="1">
      <c r="A68" s="6"/>
      <c r="B68" s="6"/>
      <c r="C68" s="6"/>
      <c r="D68" s="6"/>
      <c r="E68" s="6"/>
      <c r="F68" s="6"/>
      <c r="G68" s="6"/>
      <c r="H68" s="6"/>
      <c r="I68" s="6"/>
      <c r="J68" s="6"/>
      <c r="K68" s="6"/>
      <c r="L68" s="6"/>
      <c r="M68" s="6"/>
      <c r="N68" s="14"/>
      <c r="O68" s="14"/>
      <c r="P68" s="14"/>
      <c r="Q68" s="573"/>
      <c r="R68" s="343"/>
      <c r="S68" s="343"/>
      <c r="T68" s="343"/>
      <c r="U68" s="343"/>
      <c r="V68" s="343"/>
      <c r="W68" s="343"/>
      <c r="X68" s="372"/>
      <c r="Y68" s="372"/>
      <c r="Z68" s="372"/>
      <c r="AA68" s="372"/>
      <c r="AB68" s="372"/>
      <c r="AC68" s="372"/>
      <c r="AD68" s="372"/>
      <c r="AE68" s="372"/>
      <c r="AF68" s="372"/>
      <c r="AG68" s="372"/>
      <c r="AH68" s="372"/>
      <c r="AI68" s="372"/>
      <c r="AJ68" s="372"/>
      <c r="AK68" s="372"/>
      <c r="AL68" s="372"/>
      <c r="AM68" s="372"/>
      <c r="AN68" s="372"/>
      <c r="AO68" s="372"/>
      <c r="AP68" s="372"/>
      <c r="AQ68" s="372"/>
      <c r="AR68" s="372"/>
      <c r="AS68" s="372"/>
      <c r="AT68" s="372"/>
      <c r="AU68" s="372"/>
      <c r="AV68" s="372"/>
      <c r="AW68" s="372"/>
      <c r="AX68" s="372"/>
      <c r="AY68" s="372"/>
      <c r="AZ68" s="372"/>
      <c r="BA68" s="372"/>
      <c r="BB68" s="372"/>
      <c r="BC68" s="372"/>
      <c r="BD68" s="372"/>
      <c r="BE68" s="372"/>
      <c r="BF68" s="372"/>
      <c r="BG68" s="372"/>
      <c r="BH68" s="372"/>
      <c r="BI68" s="372"/>
      <c r="BJ68" s="372"/>
      <c r="BK68" s="372"/>
      <c r="BL68" s="372"/>
      <c r="BM68" s="372"/>
      <c r="BN68" s="372"/>
      <c r="BO68" s="372"/>
      <c r="BP68" s="372"/>
      <c r="BQ68" s="372"/>
      <c r="BR68" s="372"/>
      <c r="BS68" s="372"/>
      <c r="BT68" s="372"/>
      <c r="BU68" s="372"/>
      <c r="BV68" s="372"/>
      <c r="BW68" s="372"/>
      <c r="BX68" s="372"/>
      <c r="BY68" s="372"/>
      <c r="BZ68" s="372"/>
      <c r="CA68" s="372"/>
      <c r="CB68" s="372"/>
      <c r="CC68" s="372"/>
      <c r="CD68" s="372"/>
      <c r="CE68" s="372"/>
      <c r="CF68" s="372"/>
      <c r="CG68" s="372"/>
      <c r="CH68" s="372"/>
      <c r="CI68" s="372"/>
      <c r="CJ68" s="372"/>
      <c r="CK68" s="372"/>
      <c r="CL68" s="372"/>
      <c r="CM68" s="372"/>
      <c r="CN68" s="372"/>
      <c r="CO68" s="372"/>
      <c r="CP68" s="372"/>
      <c r="CQ68" s="372"/>
      <c r="CR68" s="372"/>
      <c r="CS68" s="372"/>
      <c r="CT68" s="372"/>
      <c r="CU68" s="372"/>
      <c r="CV68" s="372"/>
      <c r="CW68" s="372"/>
      <c r="CX68" s="372"/>
      <c r="CY68" s="372"/>
      <c r="CZ68" s="372"/>
      <c r="DA68" s="372"/>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row>
    <row r="69" spans="1:237" ht="14.15" customHeight="1">
      <c r="A69" s="6"/>
      <c r="B69" s="6"/>
      <c r="C69" s="6"/>
      <c r="D69" s="6"/>
      <c r="E69" s="6"/>
      <c r="F69" s="6"/>
      <c r="G69" s="6"/>
      <c r="H69" s="6"/>
      <c r="I69" s="6"/>
      <c r="J69" s="6"/>
      <c r="K69" s="6"/>
      <c r="L69" s="6"/>
      <c r="M69" s="6"/>
      <c r="N69" s="14"/>
      <c r="O69" s="14"/>
      <c r="P69" s="14"/>
      <c r="Q69" s="573"/>
      <c r="R69" s="343"/>
      <c r="S69" s="343"/>
      <c r="T69" s="343"/>
      <c r="U69" s="343"/>
      <c r="V69" s="343"/>
      <c r="W69" s="343"/>
      <c r="X69" s="372"/>
      <c r="Y69" s="372"/>
      <c r="Z69" s="372"/>
      <c r="AA69" s="372"/>
      <c r="AB69" s="372"/>
      <c r="AC69" s="372"/>
      <c r="AD69" s="372"/>
      <c r="AE69" s="372"/>
      <c r="AF69" s="372"/>
      <c r="AG69" s="372"/>
      <c r="AH69" s="372"/>
      <c r="AI69" s="372"/>
      <c r="AJ69" s="372"/>
      <c r="AK69" s="372"/>
      <c r="AL69" s="372"/>
      <c r="AM69" s="372"/>
      <c r="AN69" s="372"/>
      <c r="AO69" s="372"/>
      <c r="AP69" s="372"/>
      <c r="AQ69" s="372"/>
      <c r="AR69" s="372"/>
      <c r="AS69" s="372"/>
      <c r="AT69" s="372"/>
      <c r="AU69" s="372"/>
      <c r="AV69" s="372"/>
      <c r="AW69" s="372"/>
      <c r="AX69" s="372"/>
      <c r="AY69" s="372"/>
      <c r="AZ69" s="372"/>
      <c r="BA69" s="372"/>
      <c r="BB69" s="372"/>
      <c r="BC69" s="372"/>
      <c r="BD69" s="372"/>
      <c r="BE69" s="372"/>
      <c r="BF69" s="372"/>
      <c r="BG69" s="372"/>
      <c r="BH69" s="372"/>
      <c r="BI69" s="372"/>
      <c r="BJ69" s="372"/>
      <c r="BK69" s="372"/>
      <c r="BL69" s="372"/>
      <c r="BM69" s="372"/>
      <c r="BN69" s="372"/>
      <c r="BO69" s="372"/>
      <c r="BP69" s="372"/>
      <c r="BQ69" s="372"/>
      <c r="BR69" s="372"/>
      <c r="BS69" s="372"/>
      <c r="BT69" s="372"/>
      <c r="BU69" s="372"/>
      <c r="BV69" s="372"/>
      <c r="BW69" s="372"/>
      <c r="BX69" s="372"/>
      <c r="BY69" s="372"/>
      <c r="BZ69" s="372"/>
      <c r="CA69" s="372"/>
      <c r="CB69" s="372"/>
      <c r="CC69" s="372"/>
      <c r="CD69" s="372"/>
      <c r="CE69" s="372"/>
      <c r="CF69" s="372"/>
      <c r="CG69" s="372"/>
      <c r="CH69" s="372"/>
      <c r="CI69" s="372"/>
      <c r="CJ69" s="372"/>
      <c r="CK69" s="372"/>
      <c r="CL69" s="372"/>
      <c r="CM69" s="372"/>
      <c r="CN69" s="372"/>
      <c r="CO69" s="372"/>
      <c r="CP69" s="372"/>
      <c r="CQ69" s="372"/>
      <c r="CR69" s="372"/>
      <c r="CS69" s="372"/>
      <c r="CT69" s="372"/>
      <c r="CU69" s="372"/>
      <c r="CV69" s="372"/>
      <c r="CW69" s="372"/>
      <c r="CX69" s="372"/>
      <c r="CY69" s="372"/>
      <c r="CZ69" s="372"/>
      <c r="DA69" s="372"/>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row>
    <row r="70" spans="1:237" ht="14.15" customHeight="1">
      <c r="A70" s="6"/>
      <c r="B70" s="6"/>
      <c r="C70" s="6"/>
      <c r="D70" s="6"/>
      <c r="E70" s="6"/>
      <c r="F70" s="6"/>
      <c r="G70" s="6"/>
      <c r="H70" s="6"/>
      <c r="I70" s="6"/>
      <c r="J70" s="6"/>
      <c r="K70" s="6"/>
      <c r="L70" s="6"/>
      <c r="M70" s="6"/>
      <c r="N70" s="14"/>
      <c r="O70" s="14"/>
      <c r="P70" s="14"/>
      <c r="Q70" s="573"/>
      <c r="R70" s="343"/>
      <c r="S70" s="343"/>
      <c r="T70" s="343"/>
      <c r="U70" s="343"/>
      <c r="V70" s="343"/>
      <c r="W70" s="343"/>
      <c r="X70" s="372"/>
      <c r="Y70" s="372"/>
      <c r="Z70" s="372"/>
      <c r="AA70" s="372"/>
      <c r="AB70" s="372"/>
      <c r="AC70" s="372"/>
      <c r="AD70" s="372"/>
      <c r="AE70" s="372"/>
      <c r="AF70" s="372"/>
      <c r="AG70" s="372"/>
      <c r="AH70" s="372"/>
      <c r="AI70" s="372"/>
      <c r="AJ70" s="372"/>
      <c r="AK70" s="372"/>
      <c r="AL70" s="372"/>
      <c r="AM70" s="372"/>
      <c r="AN70" s="372"/>
      <c r="AO70" s="372"/>
      <c r="AP70" s="372"/>
      <c r="AQ70" s="372"/>
      <c r="AR70" s="372"/>
      <c r="AS70" s="372"/>
      <c r="AT70" s="372"/>
      <c r="AU70" s="372"/>
      <c r="AV70" s="372"/>
      <c r="AW70" s="372"/>
      <c r="AX70" s="372"/>
      <c r="AY70" s="372"/>
      <c r="AZ70" s="372"/>
      <c r="BA70" s="372"/>
      <c r="BB70" s="372"/>
      <c r="BC70" s="372"/>
      <c r="BD70" s="372"/>
      <c r="BE70" s="372"/>
      <c r="BF70" s="372"/>
      <c r="BG70" s="372"/>
      <c r="BH70" s="372"/>
      <c r="BI70" s="372"/>
      <c r="BJ70" s="372"/>
      <c r="BK70" s="372"/>
      <c r="BL70" s="372"/>
      <c r="BM70" s="372"/>
      <c r="BN70" s="372"/>
      <c r="BO70" s="372"/>
      <c r="BP70" s="372"/>
      <c r="BQ70" s="372"/>
      <c r="BR70" s="372"/>
      <c r="BS70" s="372"/>
      <c r="BT70" s="372"/>
      <c r="BU70" s="372"/>
      <c r="BV70" s="372"/>
      <c r="BW70" s="372"/>
      <c r="BX70" s="372"/>
      <c r="BY70" s="372"/>
      <c r="BZ70" s="372"/>
      <c r="CA70" s="372"/>
      <c r="CB70" s="372"/>
      <c r="CC70" s="372"/>
      <c r="CD70" s="372"/>
      <c r="CE70" s="372"/>
      <c r="CF70" s="372"/>
      <c r="CG70" s="372"/>
      <c r="CH70" s="372"/>
      <c r="CI70" s="372"/>
      <c r="CJ70" s="372"/>
      <c r="CK70" s="372"/>
      <c r="CL70" s="372"/>
      <c r="CM70" s="372"/>
      <c r="CN70" s="372"/>
      <c r="CO70" s="372"/>
      <c r="CP70" s="372"/>
      <c r="CQ70" s="372"/>
      <c r="CR70" s="372"/>
      <c r="CS70" s="372"/>
      <c r="CT70" s="372"/>
      <c r="CU70" s="372"/>
      <c r="CV70" s="372"/>
      <c r="CW70" s="372"/>
      <c r="CX70" s="372"/>
      <c r="CY70" s="372"/>
      <c r="CZ70" s="372"/>
      <c r="DA70" s="372"/>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row>
    <row r="71" spans="1:237" ht="14.15" customHeight="1">
      <c r="A71" s="6"/>
      <c r="B71" s="6"/>
      <c r="C71" s="6"/>
      <c r="D71" s="6"/>
      <c r="E71" s="6"/>
      <c r="F71" s="6"/>
      <c r="G71" s="6"/>
      <c r="H71" s="6"/>
      <c r="I71" s="6"/>
      <c r="J71" s="6"/>
      <c r="K71" s="6"/>
      <c r="L71" s="6"/>
      <c r="M71" s="6"/>
      <c r="N71" s="14"/>
      <c r="O71" s="14"/>
      <c r="P71" s="14"/>
      <c r="Q71" s="573"/>
      <c r="R71" s="343"/>
      <c r="S71" s="343"/>
      <c r="T71" s="343"/>
      <c r="U71" s="343"/>
      <c r="V71" s="343"/>
      <c r="W71" s="343"/>
      <c r="X71" s="372"/>
      <c r="Y71" s="372"/>
      <c r="Z71" s="372"/>
      <c r="AA71" s="372"/>
      <c r="AB71" s="372"/>
      <c r="AC71" s="372"/>
      <c r="AD71" s="372"/>
      <c r="AE71" s="372"/>
      <c r="AF71" s="372"/>
      <c r="AG71" s="372"/>
      <c r="AH71" s="372"/>
      <c r="AI71" s="372"/>
      <c r="AJ71" s="372"/>
      <c r="AK71" s="372"/>
      <c r="AL71" s="372"/>
      <c r="AM71" s="372"/>
      <c r="AN71" s="372"/>
      <c r="AO71" s="372"/>
      <c r="AP71" s="372"/>
      <c r="AQ71" s="372"/>
      <c r="AR71" s="372"/>
      <c r="AS71" s="372"/>
      <c r="AT71" s="372"/>
      <c r="AU71" s="372"/>
      <c r="AV71" s="372"/>
      <c r="AW71" s="372"/>
      <c r="AX71" s="372"/>
      <c r="AY71" s="372"/>
      <c r="AZ71" s="372"/>
      <c r="BA71" s="372"/>
      <c r="BB71" s="372"/>
      <c r="BC71" s="372"/>
      <c r="BD71" s="372"/>
      <c r="BE71" s="372"/>
      <c r="BF71" s="372"/>
      <c r="BG71" s="372"/>
      <c r="BH71" s="372"/>
      <c r="BI71" s="372"/>
      <c r="BJ71" s="372"/>
      <c r="BK71" s="372"/>
      <c r="BL71" s="372"/>
      <c r="BM71" s="372"/>
      <c r="BN71" s="372"/>
      <c r="BO71" s="372"/>
      <c r="BP71" s="372"/>
      <c r="BQ71" s="372"/>
      <c r="BR71" s="372"/>
      <c r="BS71" s="372"/>
      <c r="BT71" s="372"/>
      <c r="BU71" s="372"/>
      <c r="BV71" s="372"/>
      <c r="BW71" s="372"/>
      <c r="BX71" s="372"/>
      <c r="BY71" s="372"/>
      <c r="BZ71" s="372"/>
      <c r="CA71" s="372"/>
      <c r="CB71" s="372"/>
      <c r="CC71" s="372"/>
      <c r="CD71" s="372"/>
      <c r="CE71" s="372"/>
      <c r="CF71" s="372"/>
      <c r="CG71" s="372"/>
      <c r="CH71" s="372"/>
      <c r="CI71" s="372"/>
      <c r="CJ71" s="372"/>
      <c r="CK71" s="372"/>
      <c r="CL71" s="372"/>
      <c r="CM71" s="372"/>
      <c r="CN71" s="372"/>
      <c r="CO71" s="372"/>
      <c r="CP71" s="372"/>
      <c r="CQ71" s="372"/>
      <c r="CR71" s="372"/>
      <c r="CS71" s="372"/>
      <c r="CT71" s="372"/>
      <c r="CU71" s="372"/>
      <c r="CV71" s="372"/>
      <c r="CW71" s="372"/>
      <c r="CX71" s="372"/>
      <c r="CY71" s="372"/>
      <c r="CZ71" s="372"/>
      <c r="DA71" s="372"/>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row>
    <row r="72" spans="1:237" ht="14.15" customHeight="1">
      <c r="A72" s="6"/>
      <c r="B72" s="6"/>
      <c r="C72" s="6"/>
      <c r="D72" s="6"/>
      <c r="E72" s="6"/>
      <c r="F72" s="6"/>
      <c r="G72" s="6"/>
      <c r="H72" s="6"/>
      <c r="I72" s="6"/>
      <c r="J72" s="6"/>
      <c r="K72" s="6"/>
      <c r="L72" s="6"/>
      <c r="M72" s="6"/>
      <c r="N72" s="14"/>
      <c r="O72" s="14"/>
      <c r="P72" s="14"/>
      <c r="Q72" s="573"/>
      <c r="R72" s="343"/>
      <c r="S72" s="343"/>
      <c r="T72" s="343"/>
      <c r="U72" s="343"/>
      <c r="V72" s="343"/>
      <c r="W72" s="343"/>
      <c r="X72" s="372"/>
      <c r="Y72" s="372"/>
      <c r="Z72" s="372"/>
      <c r="AA72" s="372"/>
      <c r="AB72" s="372"/>
      <c r="AC72" s="372"/>
      <c r="AD72" s="372"/>
      <c r="AE72" s="372"/>
      <c r="AF72" s="372"/>
      <c r="AG72" s="372"/>
      <c r="AH72" s="372"/>
      <c r="AI72" s="372"/>
      <c r="AJ72" s="372"/>
      <c r="AK72" s="372"/>
      <c r="AL72" s="372"/>
      <c r="AM72" s="372"/>
      <c r="AN72" s="372"/>
      <c r="AO72" s="372"/>
      <c r="AP72" s="372"/>
      <c r="AQ72" s="372"/>
      <c r="AR72" s="372"/>
      <c r="AS72" s="372"/>
      <c r="AT72" s="372"/>
      <c r="AU72" s="372"/>
      <c r="AV72" s="372"/>
      <c r="AW72" s="372"/>
      <c r="AX72" s="372"/>
      <c r="AY72" s="372"/>
      <c r="AZ72" s="372"/>
      <c r="BA72" s="372"/>
      <c r="BB72" s="372"/>
      <c r="BC72" s="372"/>
      <c r="BD72" s="372"/>
      <c r="BE72" s="372"/>
      <c r="BF72" s="372"/>
      <c r="BG72" s="372"/>
      <c r="BH72" s="372"/>
      <c r="BI72" s="372"/>
      <c r="BJ72" s="372"/>
      <c r="BK72" s="372"/>
      <c r="BL72" s="372"/>
      <c r="BM72" s="372"/>
      <c r="BN72" s="372"/>
      <c r="BO72" s="372"/>
      <c r="BP72" s="372"/>
      <c r="BQ72" s="372"/>
      <c r="BR72" s="372"/>
      <c r="BS72" s="372"/>
      <c r="BT72" s="372"/>
      <c r="BU72" s="372"/>
      <c r="BV72" s="372"/>
      <c r="BW72" s="372"/>
      <c r="BX72" s="372"/>
      <c r="BY72" s="372"/>
      <c r="BZ72" s="372"/>
      <c r="CA72" s="372"/>
      <c r="CB72" s="372"/>
      <c r="CC72" s="372"/>
      <c r="CD72" s="372"/>
      <c r="CE72" s="372"/>
      <c r="CF72" s="372"/>
      <c r="CG72" s="372"/>
      <c r="CH72" s="372"/>
      <c r="CI72" s="372"/>
      <c r="CJ72" s="372"/>
      <c r="CK72" s="372"/>
      <c r="CL72" s="372"/>
      <c r="CM72" s="372"/>
      <c r="CN72" s="372"/>
      <c r="CO72" s="372"/>
      <c r="CP72" s="372"/>
      <c r="CQ72" s="372"/>
      <c r="CR72" s="372"/>
      <c r="CS72" s="372"/>
      <c r="CT72" s="372"/>
      <c r="CU72" s="372"/>
      <c r="CV72" s="372"/>
      <c r="CW72" s="372"/>
      <c r="CX72" s="372"/>
      <c r="CY72" s="372"/>
      <c r="CZ72" s="372"/>
      <c r="DA72" s="372"/>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row>
    <row r="73" spans="1:237" ht="14.15" customHeight="1">
      <c r="A73" s="6"/>
      <c r="B73" s="6"/>
      <c r="C73" s="6"/>
      <c r="D73" s="6"/>
      <c r="E73" s="6"/>
      <c r="F73" s="6"/>
      <c r="G73" s="6"/>
      <c r="H73" s="6"/>
      <c r="I73" s="6"/>
      <c r="J73" s="6"/>
      <c r="K73" s="6"/>
      <c r="L73" s="6"/>
      <c r="M73" s="6"/>
      <c r="N73" s="14"/>
      <c r="O73" s="14"/>
      <c r="P73" s="14"/>
      <c r="Q73" s="573"/>
      <c r="R73" s="343"/>
      <c r="S73" s="343"/>
      <c r="T73" s="343"/>
      <c r="U73" s="343"/>
      <c r="V73" s="343"/>
      <c r="W73" s="343"/>
      <c r="X73" s="372"/>
      <c r="Y73" s="372"/>
      <c r="Z73" s="372"/>
      <c r="AA73" s="372"/>
      <c r="AB73" s="372"/>
      <c r="AC73" s="372"/>
      <c r="AD73" s="372"/>
      <c r="AE73" s="372"/>
      <c r="AF73" s="372"/>
      <c r="AG73" s="372"/>
      <c r="AH73" s="372"/>
      <c r="AI73" s="372"/>
      <c r="AJ73" s="372"/>
      <c r="AK73" s="372"/>
      <c r="AL73" s="372"/>
      <c r="AM73" s="372"/>
      <c r="AN73" s="372"/>
      <c r="AO73" s="372"/>
      <c r="AP73" s="372"/>
      <c r="AQ73" s="372"/>
      <c r="AR73" s="372"/>
      <c r="AS73" s="372"/>
      <c r="AT73" s="372"/>
      <c r="AU73" s="372"/>
      <c r="AV73" s="372"/>
      <c r="AW73" s="372"/>
      <c r="AX73" s="372"/>
      <c r="AY73" s="372"/>
      <c r="AZ73" s="372"/>
      <c r="BA73" s="372"/>
      <c r="BB73" s="372"/>
      <c r="BC73" s="372"/>
      <c r="BD73" s="372"/>
      <c r="BE73" s="372"/>
      <c r="BF73" s="372"/>
      <c r="BG73" s="372"/>
      <c r="BH73" s="372"/>
      <c r="BI73" s="372"/>
      <c r="BJ73" s="372"/>
      <c r="BK73" s="372"/>
      <c r="BL73" s="372"/>
      <c r="BM73" s="372"/>
      <c r="BN73" s="372"/>
      <c r="BO73" s="372"/>
      <c r="BP73" s="372"/>
      <c r="BQ73" s="372"/>
      <c r="BR73" s="372"/>
      <c r="BS73" s="372"/>
      <c r="BT73" s="372"/>
      <c r="BU73" s="372"/>
      <c r="BV73" s="372"/>
      <c r="BW73" s="372"/>
      <c r="BX73" s="372"/>
      <c r="BY73" s="372"/>
      <c r="BZ73" s="372"/>
      <c r="CA73" s="372"/>
      <c r="CB73" s="372"/>
      <c r="CC73" s="372"/>
      <c r="CD73" s="372"/>
      <c r="CE73" s="372"/>
      <c r="CF73" s="372"/>
      <c r="CG73" s="372"/>
      <c r="CH73" s="372"/>
      <c r="CI73" s="372"/>
      <c r="CJ73" s="372"/>
      <c r="CK73" s="372"/>
      <c r="CL73" s="372"/>
      <c r="CM73" s="372"/>
      <c r="CN73" s="372"/>
      <c r="CO73" s="372"/>
      <c r="CP73" s="372"/>
      <c r="CQ73" s="372"/>
      <c r="CR73" s="372"/>
      <c r="CS73" s="372"/>
      <c r="CT73" s="372"/>
      <c r="CU73" s="372"/>
      <c r="CV73" s="372"/>
      <c r="CW73" s="372"/>
      <c r="CX73" s="372"/>
      <c r="CY73" s="372"/>
      <c r="CZ73" s="372"/>
      <c r="DA73" s="372"/>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row>
    <row r="74" spans="1:237" ht="14.15" customHeight="1">
      <c r="A74" s="6"/>
      <c r="B74" s="6"/>
      <c r="C74" s="6"/>
      <c r="D74" s="6"/>
      <c r="E74" s="6"/>
      <c r="F74" s="6"/>
      <c r="G74" s="6"/>
      <c r="H74" s="6"/>
      <c r="I74" s="6"/>
      <c r="J74" s="6"/>
      <c r="K74" s="6"/>
      <c r="L74" s="6"/>
      <c r="M74" s="6"/>
      <c r="N74" s="14"/>
      <c r="O74" s="14"/>
      <c r="P74" s="14"/>
      <c r="Q74" s="573"/>
      <c r="R74" s="343"/>
      <c r="S74" s="343"/>
      <c r="T74" s="343"/>
      <c r="U74" s="343"/>
      <c r="V74" s="343"/>
      <c r="W74" s="343"/>
      <c r="X74" s="372"/>
      <c r="Y74" s="372"/>
      <c r="Z74" s="372"/>
      <c r="AA74" s="372"/>
      <c r="AB74" s="372"/>
      <c r="AC74" s="372"/>
      <c r="AD74" s="372"/>
      <c r="AE74" s="372"/>
      <c r="AF74" s="372"/>
      <c r="AG74" s="372"/>
      <c r="AH74" s="372"/>
      <c r="AI74" s="372"/>
      <c r="AJ74" s="372"/>
      <c r="AK74" s="372"/>
      <c r="AL74" s="372"/>
      <c r="AM74" s="372"/>
      <c r="AN74" s="372"/>
      <c r="AO74" s="372"/>
      <c r="AP74" s="372"/>
      <c r="AQ74" s="372"/>
      <c r="AR74" s="372"/>
      <c r="AS74" s="372"/>
      <c r="AT74" s="372"/>
      <c r="AU74" s="372"/>
      <c r="AV74" s="372"/>
      <c r="AW74" s="372"/>
      <c r="AX74" s="372"/>
      <c r="AY74" s="372"/>
      <c r="AZ74" s="372"/>
      <c r="BA74" s="372"/>
      <c r="BB74" s="372"/>
      <c r="BC74" s="372"/>
      <c r="BD74" s="372"/>
      <c r="BE74" s="372"/>
      <c r="BF74" s="372"/>
      <c r="BG74" s="372"/>
      <c r="BH74" s="372"/>
      <c r="BI74" s="372"/>
      <c r="BJ74" s="372"/>
      <c r="BK74" s="372"/>
      <c r="BL74" s="372"/>
      <c r="BM74" s="372"/>
      <c r="BN74" s="372"/>
      <c r="BO74" s="372"/>
      <c r="BP74" s="372"/>
      <c r="BQ74" s="372"/>
      <c r="BR74" s="372"/>
      <c r="BS74" s="372"/>
      <c r="BT74" s="372"/>
      <c r="BU74" s="372"/>
      <c r="BV74" s="372"/>
      <c r="BW74" s="372"/>
      <c r="BX74" s="372"/>
      <c r="BY74" s="372"/>
      <c r="BZ74" s="372"/>
      <c r="CA74" s="372"/>
      <c r="CB74" s="372"/>
      <c r="CC74" s="372"/>
      <c r="CD74" s="372"/>
      <c r="CE74" s="372"/>
      <c r="CF74" s="372"/>
      <c r="CG74" s="372"/>
      <c r="CH74" s="372"/>
      <c r="CI74" s="372"/>
      <c r="CJ74" s="372"/>
      <c r="CK74" s="372"/>
      <c r="CL74" s="372"/>
      <c r="CM74" s="372"/>
      <c r="CN74" s="372"/>
      <c r="CO74" s="372"/>
      <c r="CP74" s="372"/>
      <c r="CQ74" s="372"/>
      <c r="CR74" s="372"/>
      <c r="CS74" s="372"/>
      <c r="CT74" s="372"/>
      <c r="CU74" s="372"/>
      <c r="CV74" s="372"/>
      <c r="CW74" s="372"/>
      <c r="CX74" s="372"/>
      <c r="CY74" s="372"/>
      <c r="CZ74" s="372"/>
      <c r="DA74" s="372"/>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row>
    <row r="75" spans="1:237" ht="14.15" customHeight="1">
      <c r="A75" s="6"/>
      <c r="B75" s="6"/>
      <c r="C75" s="6"/>
      <c r="D75" s="6"/>
      <c r="E75" s="6"/>
      <c r="F75" s="6"/>
      <c r="G75" s="6"/>
      <c r="H75" s="6"/>
      <c r="I75" s="6"/>
      <c r="J75" s="6"/>
      <c r="K75" s="6"/>
      <c r="L75" s="6"/>
      <c r="M75" s="6"/>
      <c r="N75" s="14"/>
      <c r="O75" s="14"/>
      <c r="P75" s="14"/>
      <c r="Q75" s="573"/>
      <c r="R75" s="343"/>
      <c r="S75" s="343"/>
      <c r="T75" s="343"/>
      <c r="U75" s="343"/>
      <c r="V75" s="343"/>
      <c r="W75" s="343"/>
      <c r="X75" s="372"/>
      <c r="Y75" s="372"/>
      <c r="Z75" s="372"/>
      <c r="AA75" s="372"/>
      <c r="AB75" s="372"/>
      <c r="AC75" s="372"/>
      <c r="AD75" s="372"/>
      <c r="AE75" s="372"/>
      <c r="AF75" s="372"/>
      <c r="AG75" s="372"/>
      <c r="AH75" s="372"/>
      <c r="AI75" s="372"/>
      <c r="AJ75" s="372"/>
      <c r="AK75" s="372"/>
      <c r="AL75" s="372"/>
      <c r="AM75" s="372"/>
      <c r="AN75" s="372"/>
      <c r="AO75" s="372"/>
      <c r="AP75" s="372"/>
      <c r="AQ75" s="372"/>
      <c r="AR75" s="372"/>
      <c r="AS75" s="372"/>
      <c r="AT75" s="372"/>
      <c r="AU75" s="372"/>
      <c r="AV75" s="372"/>
      <c r="AW75" s="372"/>
      <c r="AX75" s="372"/>
      <c r="AY75" s="372"/>
      <c r="AZ75" s="372"/>
      <c r="BA75" s="372"/>
      <c r="BB75" s="372"/>
      <c r="BC75" s="372"/>
      <c r="BD75" s="372"/>
      <c r="BE75" s="372"/>
      <c r="BF75" s="372"/>
      <c r="BG75" s="372"/>
      <c r="BH75" s="372"/>
      <c r="BI75" s="372"/>
      <c r="BJ75" s="372"/>
      <c r="BK75" s="372"/>
      <c r="BL75" s="372"/>
      <c r="BM75" s="372"/>
      <c r="BN75" s="372"/>
      <c r="BO75" s="372"/>
      <c r="BP75" s="372"/>
      <c r="BQ75" s="372"/>
      <c r="BR75" s="372"/>
      <c r="BS75" s="372"/>
      <c r="BT75" s="372"/>
      <c r="BU75" s="372"/>
      <c r="BV75" s="372"/>
      <c r="BW75" s="372"/>
      <c r="BX75" s="372"/>
      <c r="BY75" s="372"/>
      <c r="BZ75" s="372"/>
      <c r="CA75" s="372"/>
      <c r="CB75" s="372"/>
      <c r="CC75" s="372"/>
      <c r="CD75" s="372"/>
      <c r="CE75" s="372"/>
      <c r="CF75" s="372"/>
      <c r="CG75" s="372"/>
      <c r="CH75" s="372"/>
      <c r="CI75" s="372"/>
      <c r="CJ75" s="372"/>
      <c r="CK75" s="372"/>
      <c r="CL75" s="372"/>
      <c r="CM75" s="372"/>
      <c r="CN75" s="372"/>
      <c r="CO75" s="372"/>
      <c r="CP75" s="372"/>
      <c r="CQ75" s="372"/>
      <c r="CR75" s="372"/>
      <c r="CS75" s="372"/>
      <c r="CT75" s="372"/>
      <c r="CU75" s="372"/>
      <c r="CV75" s="372"/>
      <c r="CW75" s="372"/>
      <c r="CX75" s="372"/>
      <c r="CY75" s="372"/>
      <c r="CZ75" s="372"/>
      <c r="DA75" s="372"/>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row>
    <row r="76" spans="1:237" ht="14.15" customHeight="1">
      <c r="A76" s="6"/>
      <c r="B76" s="6"/>
      <c r="C76" s="6"/>
      <c r="D76" s="6"/>
      <c r="E76" s="6"/>
      <c r="F76" s="6"/>
      <c r="G76" s="6"/>
      <c r="H76" s="6"/>
      <c r="I76" s="6"/>
      <c r="J76" s="6"/>
      <c r="K76" s="6"/>
      <c r="L76" s="6"/>
      <c r="M76" s="6"/>
      <c r="N76" s="14"/>
      <c r="O76" s="14"/>
      <c r="P76" s="14"/>
      <c r="Q76" s="573"/>
      <c r="R76" s="343"/>
      <c r="S76" s="343"/>
      <c r="T76" s="343"/>
      <c r="U76" s="343"/>
      <c r="V76" s="343"/>
      <c r="W76" s="343"/>
      <c r="X76" s="372"/>
      <c r="Y76" s="372"/>
      <c r="Z76" s="372"/>
      <c r="AA76" s="372"/>
      <c r="AB76" s="372"/>
      <c r="AC76" s="372"/>
      <c r="AD76" s="372"/>
      <c r="AE76" s="372"/>
      <c r="AF76" s="372"/>
      <c r="AG76" s="372"/>
      <c r="AH76" s="372"/>
      <c r="AI76" s="372"/>
      <c r="AJ76" s="372"/>
      <c r="AK76" s="372"/>
      <c r="AL76" s="372"/>
      <c r="AM76" s="372"/>
      <c r="AN76" s="372"/>
      <c r="AO76" s="372"/>
      <c r="AP76" s="372"/>
      <c r="AQ76" s="372"/>
      <c r="AR76" s="372"/>
      <c r="AS76" s="372"/>
      <c r="AT76" s="372"/>
      <c r="AU76" s="372"/>
      <c r="AV76" s="372"/>
      <c r="AW76" s="372"/>
      <c r="AX76" s="372"/>
      <c r="AY76" s="372"/>
      <c r="AZ76" s="372"/>
      <c r="BA76" s="372"/>
      <c r="BB76" s="372"/>
      <c r="BC76" s="372"/>
      <c r="BD76" s="372"/>
      <c r="BE76" s="372"/>
      <c r="BF76" s="372"/>
      <c r="BG76" s="372"/>
      <c r="BH76" s="372"/>
      <c r="BI76" s="372"/>
      <c r="BJ76" s="372"/>
      <c r="BK76" s="372"/>
      <c r="BL76" s="372"/>
      <c r="BM76" s="372"/>
      <c r="BN76" s="372"/>
      <c r="BO76" s="372"/>
      <c r="BP76" s="372"/>
      <c r="BQ76" s="372"/>
      <c r="BR76" s="372"/>
      <c r="BS76" s="372"/>
      <c r="BT76" s="372"/>
      <c r="BU76" s="372"/>
      <c r="BV76" s="372"/>
      <c r="BW76" s="372"/>
      <c r="BX76" s="372"/>
      <c r="BY76" s="372"/>
      <c r="BZ76" s="372"/>
      <c r="CA76" s="372"/>
      <c r="CB76" s="372"/>
      <c r="CC76" s="372"/>
      <c r="CD76" s="372"/>
      <c r="CE76" s="372"/>
      <c r="CF76" s="372"/>
      <c r="CG76" s="372"/>
      <c r="CH76" s="372"/>
      <c r="CI76" s="372"/>
      <c r="CJ76" s="372"/>
      <c r="CK76" s="372"/>
      <c r="CL76" s="372"/>
      <c r="CM76" s="372"/>
      <c r="CN76" s="372"/>
      <c r="CO76" s="372"/>
      <c r="CP76" s="372"/>
      <c r="CQ76" s="372"/>
      <c r="CR76" s="372"/>
      <c r="CS76" s="372"/>
      <c r="CT76" s="372"/>
      <c r="CU76" s="372"/>
      <c r="CV76" s="372"/>
      <c r="CW76" s="372"/>
      <c r="CX76" s="372"/>
      <c r="CY76" s="372"/>
      <c r="CZ76" s="372"/>
      <c r="DA76" s="372"/>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row>
    <row r="77" spans="1:237" ht="14.15" customHeight="1">
      <c r="A77" s="6"/>
      <c r="B77" s="6"/>
      <c r="C77" s="6"/>
      <c r="D77" s="6"/>
      <c r="E77" s="6"/>
      <c r="F77" s="6"/>
      <c r="G77" s="6"/>
      <c r="H77" s="6"/>
      <c r="I77" s="6"/>
      <c r="J77" s="6"/>
      <c r="K77" s="6"/>
      <c r="L77" s="6"/>
      <c r="M77" s="6"/>
      <c r="N77" s="14"/>
      <c r="O77" s="14"/>
      <c r="P77" s="14"/>
      <c r="Q77" s="573"/>
      <c r="R77" s="343"/>
      <c r="S77" s="343"/>
      <c r="T77" s="343"/>
      <c r="U77" s="343"/>
      <c r="V77" s="343"/>
      <c r="W77" s="343"/>
      <c r="X77" s="372"/>
      <c r="Y77" s="372"/>
      <c r="Z77" s="372"/>
      <c r="AA77" s="372"/>
      <c r="AB77" s="372"/>
      <c r="AC77" s="372"/>
      <c r="AD77" s="372"/>
      <c r="AE77" s="372"/>
      <c r="AF77" s="372"/>
      <c r="AG77" s="372"/>
      <c r="AH77" s="372"/>
      <c r="AI77" s="372"/>
      <c r="AJ77" s="372"/>
      <c r="AK77" s="372"/>
      <c r="AL77" s="372"/>
      <c r="AM77" s="372"/>
      <c r="AN77" s="372"/>
      <c r="AO77" s="372"/>
      <c r="AP77" s="372"/>
      <c r="AQ77" s="372"/>
      <c r="AR77" s="372"/>
      <c r="AS77" s="372"/>
      <c r="AT77" s="372"/>
      <c r="AU77" s="372"/>
      <c r="AV77" s="372"/>
      <c r="AW77" s="372"/>
      <c r="AX77" s="372"/>
      <c r="AY77" s="372"/>
      <c r="AZ77" s="372"/>
      <c r="BA77" s="372"/>
      <c r="BB77" s="372"/>
      <c r="BC77" s="372"/>
      <c r="BD77" s="372"/>
      <c r="BE77" s="372"/>
      <c r="BF77" s="372"/>
      <c r="BG77" s="372"/>
      <c r="BH77" s="372"/>
      <c r="BI77" s="372"/>
      <c r="BJ77" s="372"/>
      <c r="BK77" s="372"/>
      <c r="BL77" s="372"/>
      <c r="BM77" s="372"/>
      <c r="BN77" s="372"/>
      <c r="BO77" s="372"/>
      <c r="BP77" s="372"/>
      <c r="BQ77" s="372"/>
      <c r="BR77" s="372"/>
      <c r="BS77" s="372"/>
      <c r="BT77" s="372"/>
      <c r="BU77" s="372"/>
      <c r="BV77" s="372"/>
      <c r="BW77" s="372"/>
      <c r="BX77" s="372"/>
      <c r="BY77" s="372"/>
      <c r="BZ77" s="372"/>
      <c r="CA77" s="372"/>
      <c r="CB77" s="372"/>
      <c r="CC77" s="372"/>
      <c r="CD77" s="372"/>
      <c r="CE77" s="372"/>
      <c r="CF77" s="372"/>
      <c r="CG77" s="372"/>
      <c r="CH77" s="372"/>
      <c r="CI77" s="372"/>
      <c r="CJ77" s="372"/>
      <c r="CK77" s="372"/>
      <c r="CL77" s="372"/>
      <c r="CM77" s="372"/>
      <c r="CN77" s="372"/>
      <c r="CO77" s="372"/>
      <c r="CP77" s="372"/>
      <c r="CQ77" s="372"/>
      <c r="CR77" s="372"/>
      <c r="CS77" s="372"/>
      <c r="CT77" s="372"/>
      <c r="CU77" s="372"/>
      <c r="CV77" s="372"/>
      <c r="CW77" s="372"/>
      <c r="CX77" s="372"/>
      <c r="CY77" s="372"/>
      <c r="CZ77" s="372"/>
      <c r="DA77" s="372"/>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row>
    <row r="78" spans="1:237" ht="14.15" customHeight="1">
      <c r="A78" s="6"/>
      <c r="B78" s="6"/>
      <c r="C78" s="6"/>
      <c r="D78" s="6"/>
      <c r="E78" s="6"/>
      <c r="F78" s="6"/>
      <c r="G78" s="6"/>
      <c r="H78" s="6"/>
      <c r="I78" s="6"/>
      <c r="J78" s="6"/>
      <c r="K78" s="6"/>
      <c r="L78" s="6"/>
      <c r="M78" s="6"/>
      <c r="N78" s="14"/>
      <c r="O78" s="14"/>
      <c r="P78" s="14"/>
      <c r="Q78" s="573"/>
      <c r="R78" s="343"/>
      <c r="S78" s="343"/>
      <c r="T78" s="343"/>
      <c r="U78" s="343"/>
      <c r="V78" s="343"/>
      <c r="W78" s="343"/>
      <c r="X78" s="372"/>
      <c r="Y78" s="372"/>
      <c r="Z78" s="372"/>
      <c r="AA78" s="372"/>
      <c r="AB78" s="372"/>
      <c r="AC78" s="372"/>
      <c r="AD78" s="372"/>
      <c r="AE78" s="372"/>
      <c r="AF78" s="372"/>
      <c r="AG78" s="372"/>
      <c r="AH78" s="372"/>
      <c r="AI78" s="372"/>
      <c r="AJ78" s="372"/>
      <c r="AK78" s="372"/>
      <c r="AL78" s="372"/>
      <c r="AM78" s="372"/>
      <c r="AN78" s="372"/>
      <c r="AO78" s="372"/>
      <c r="AP78" s="372"/>
      <c r="AQ78" s="372"/>
      <c r="AR78" s="372"/>
      <c r="AS78" s="372"/>
      <c r="AT78" s="372"/>
      <c r="AU78" s="372"/>
      <c r="AV78" s="372"/>
      <c r="AW78" s="372"/>
      <c r="AX78" s="372"/>
      <c r="AY78" s="372"/>
      <c r="AZ78" s="372"/>
      <c r="BA78" s="372"/>
      <c r="BB78" s="372"/>
      <c r="BC78" s="372"/>
      <c r="BD78" s="372"/>
      <c r="BE78" s="372"/>
      <c r="BF78" s="372"/>
      <c r="BG78" s="372"/>
      <c r="BH78" s="372"/>
      <c r="BI78" s="372"/>
      <c r="BJ78" s="372"/>
      <c r="BK78" s="372"/>
      <c r="BL78" s="372"/>
      <c r="BM78" s="372"/>
      <c r="BN78" s="372"/>
      <c r="BO78" s="372"/>
      <c r="BP78" s="372"/>
      <c r="BQ78" s="372"/>
      <c r="BR78" s="372"/>
      <c r="BS78" s="372"/>
      <c r="BT78" s="372"/>
      <c r="BU78" s="372"/>
      <c r="BV78" s="372"/>
      <c r="BW78" s="372"/>
      <c r="BX78" s="372"/>
      <c r="BY78" s="372"/>
      <c r="BZ78" s="372"/>
      <c r="CA78" s="372"/>
      <c r="CB78" s="372"/>
      <c r="CC78" s="372"/>
      <c r="CD78" s="372"/>
      <c r="CE78" s="372"/>
      <c r="CF78" s="372"/>
      <c r="CG78" s="372"/>
      <c r="CH78" s="372"/>
      <c r="CI78" s="372"/>
      <c r="CJ78" s="372"/>
      <c r="CK78" s="372"/>
      <c r="CL78" s="372"/>
      <c r="CM78" s="372"/>
      <c r="CN78" s="372"/>
      <c r="CO78" s="372"/>
      <c r="CP78" s="372"/>
      <c r="CQ78" s="372"/>
      <c r="CR78" s="372"/>
      <c r="CS78" s="372"/>
      <c r="CT78" s="372"/>
      <c r="CU78" s="372"/>
      <c r="CV78" s="372"/>
      <c r="CW78" s="372"/>
      <c r="CX78" s="372"/>
      <c r="CY78" s="372"/>
      <c r="CZ78" s="372"/>
      <c r="DA78" s="372"/>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row>
    <row r="79" spans="1:237" ht="14.15" customHeight="1">
      <c r="A79" s="6"/>
      <c r="B79" s="6"/>
      <c r="C79" s="6"/>
      <c r="D79" s="6"/>
      <c r="E79" s="6"/>
      <c r="F79" s="6"/>
      <c r="G79" s="6"/>
      <c r="H79" s="6"/>
      <c r="I79" s="6"/>
      <c r="J79" s="6"/>
      <c r="K79" s="6"/>
      <c r="L79" s="6"/>
      <c r="M79" s="6"/>
      <c r="N79" s="14"/>
      <c r="O79" s="14"/>
      <c r="P79" s="14"/>
      <c r="Q79" s="573"/>
      <c r="R79" s="343"/>
      <c r="S79" s="343"/>
      <c r="T79" s="343"/>
      <c r="U79" s="343"/>
      <c r="V79" s="343"/>
      <c r="W79" s="343"/>
      <c r="X79" s="372"/>
      <c r="Y79" s="372"/>
      <c r="Z79" s="372"/>
      <c r="AA79" s="372"/>
      <c r="AB79" s="372"/>
      <c r="AC79" s="372"/>
      <c r="AD79" s="372"/>
      <c r="AE79" s="372"/>
      <c r="AF79" s="372"/>
      <c r="AG79" s="372"/>
      <c r="AH79" s="372"/>
      <c r="AI79" s="372"/>
      <c r="AJ79" s="372"/>
      <c r="AK79" s="372"/>
      <c r="AL79" s="372"/>
      <c r="AM79" s="372"/>
      <c r="AN79" s="372"/>
      <c r="AO79" s="372"/>
      <c r="AP79" s="372"/>
      <c r="AQ79" s="372"/>
      <c r="AR79" s="372"/>
      <c r="AS79" s="372"/>
      <c r="AT79" s="372"/>
      <c r="AU79" s="372"/>
      <c r="AV79" s="372"/>
      <c r="AW79" s="372"/>
      <c r="AX79" s="372"/>
      <c r="AY79" s="372"/>
      <c r="AZ79" s="372"/>
      <c r="BA79" s="372"/>
      <c r="BB79" s="372"/>
      <c r="BC79" s="372"/>
      <c r="BD79" s="372"/>
      <c r="BE79" s="372"/>
      <c r="BF79" s="372"/>
      <c r="BG79" s="372"/>
      <c r="BH79" s="372"/>
      <c r="BI79" s="372"/>
      <c r="BJ79" s="372"/>
      <c r="BK79" s="372"/>
      <c r="BL79" s="372"/>
      <c r="BM79" s="372"/>
      <c r="BN79" s="372"/>
      <c r="BO79" s="372"/>
      <c r="BP79" s="372"/>
      <c r="BQ79" s="372"/>
      <c r="BR79" s="372"/>
      <c r="BS79" s="372"/>
      <c r="BT79" s="372"/>
      <c r="BU79" s="372"/>
      <c r="BV79" s="372"/>
      <c r="BW79" s="372"/>
      <c r="BX79" s="372"/>
      <c r="BY79" s="372"/>
      <c r="BZ79" s="372"/>
      <c r="CA79" s="372"/>
      <c r="CB79" s="372"/>
      <c r="CC79" s="372"/>
      <c r="CD79" s="372"/>
      <c r="CE79" s="372"/>
      <c r="CF79" s="372"/>
      <c r="CG79" s="372"/>
      <c r="CH79" s="372"/>
      <c r="CI79" s="372"/>
      <c r="CJ79" s="372"/>
      <c r="CK79" s="372"/>
      <c r="CL79" s="372"/>
      <c r="CM79" s="372"/>
      <c r="CN79" s="372"/>
      <c r="CO79" s="372"/>
      <c r="CP79" s="372"/>
      <c r="CQ79" s="372"/>
      <c r="CR79" s="372"/>
      <c r="CS79" s="372"/>
      <c r="CT79" s="372"/>
      <c r="CU79" s="372"/>
      <c r="CV79" s="372"/>
      <c r="CW79" s="372"/>
      <c r="CX79" s="372"/>
      <c r="CY79" s="372"/>
      <c r="CZ79" s="372"/>
      <c r="DA79" s="372"/>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row>
    <row r="80" spans="1:237" ht="14.15" customHeight="1">
      <c r="A80" s="6"/>
      <c r="B80" s="6"/>
      <c r="C80" s="6"/>
      <c r="D80" s="6"/>
      <c r="E80" s="6"/>
      <c r="F80" s="6"/>
      <c r="G80" s="6"/>
      <c r="H80" s="6"/>
      <c r="I80" s="6"/>
      <c r="J80" s="6"/>
      <c r="K80" s="6"/>
      <c r="L80" s="6"/>
      <c r="M80" s="6"/>
      <c r="N80" s="14"/>
      <c r="O80" s="14"/>
      <c r="P80" s="14"/>
      <c r="Q80" s="573"/>
      <c r="R80" s="343"/>
      <c r="S80" s="343"/>
      <c r="T80" s="343"/>
      <c r="U80" s="343"/>
      <c r="V80" s="343"/>
      <c r="W80" s="343"/>
      <c r="X80" s="372"/>
      <c r="Y80" s="372"/>
      <c r="Z80" s="372"/>
      <c r="AA80" s="372"/>
      <c r="AB80" s="372"/>
      <c r="AC80" s="372"/>
      <c r="AD80" s="372"/>
      <c r="AE80" s="372"/>
      <c r="AF80" s="372"/>
      <c r="AG80" s="372"/>
      <c r="AH80" s="372"/>
      <c r="AI80" s="372"/>
      <c r="AJ80" s="372"/>
      <c r="AK80" s="372"/>
      <c r="AL80" s="372"/>
      <c r="AM80" s="372"/>
      <c r="AN80" s="372"/>
      <c r="AO80" s="372"/>
      <c r="AP80" s="372"/>
      <c r="AQ80" s="372"/>
      <c r="AR80" s="372"/>
      <c r="AS80" s="372"/>
      <c r="AT80" s="372"/>
      <c r="AU80" s="372"/>
      <c r="AV80" s="372"/>
      <c r="AW80" s="372"/>
      <c r="AX80" s="372"/>
      <c r="AY80" s="372"/>
      <c r="AZ80" s="372"/>
      <c r="BA80" s="372"/>
      <c r="BB80" s="372"/>
      <c r="BC80" s="372"/>
      <c r="BD80" s="372"/>
      <c r="BE80" s="372"/>
      <c r="BF80" s="372"/>
      <c r="BG80" s="372"/>
      <c r="BH80" s="372"/>
      <c r="BI80" s="372"/>
      <c r="BJ80" s="372"/>
      <c r="BK80" s="372"/>
      <c r="BL80" s="372"/>
      <c r="BM80" s="372"/>
      <c r="BN80" s="372"/>
      <c r="BO80" s="372"/>
      <c r="BP80" s="372"/>
      <c r="BQ80" s="372"/>
      <c r="BR80" s="372"/>
      <c r="BS80" s="372"/>
      <c r="BT80" s="372"/>
      <c r="BU80" s="372"/>
      <c r="BV80" s="372"/>
      <c r="BW80" s="372"/>
      <c r="BX80" s="372"/>
      <c r="BY80" s="372"/>
      <c r="BZ80" s="372"/>
      <c r="CA80" s="372"/>
      <c r="CB80" s="372"/>
      <c r="CC80" s="372"/>
      <c r="CD80" s="372"/>
      <c r="CE80" s="372"/>
      <c r="CF80" s="372"/>
      <c r="CG80" s="372"/>
      <c r="CH80" s="372"/>
      <c r="CI80" s="372"/>
      <c r="CJ80" s="372"/>
      <c r="CK80" s="372"/>
      <c r="CL80" s="372"/>
      <c r="CM80" s="372"/>
      <c r="CN80" s="372"/>
      <c r="CO80" s="372"/>
      <c r="CP80" s="372"/>
      <c r="CQ80" s="372"/>
      <c r="CR80" s="372"/>
      <c r="CS80" s="372"/>
      <c r="CT80" s="372"/>
      <c r="CU80" s="372"/>
      <c r="CV80" s="372"/>
      <c r="CW80" s="372"/>
      <c r="CX80" s="372"/>
      <c r="CY80" s="372"/>
      <c r="CZ80" s="372"/>
      <c r="DA80" s="372"/>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row>
    <row r="81" spans="1:237" ht="14.15" customHeight="1">
      <c r="A81" s="6"/>
      <c r="B81" s="6"/>
      <c r="C81" s="6"/>
      <c r="D81" s="6"/>
      <c r="E81" s="6"/>
      <c r="F81" s="6"/>
      <c r="G81" s="6"/>
      <c r="H81" s="6"/>
      <c r="I81" s="6"/>
      <c r="J81" s="6"/>
      <c r="K81" s="6"/>
      <c r="L81" s="6"/>
      <c r="M81" s="6"/>
      <c r="N81" s="14"/>
      <c r="O81" s="14"/>
      <c r="P81" s="14"/>
      <c r="Q81" s="573"/>
      <c r="R81" s="343"/>
      <c r="S81" s="343"/>
      <c r="T81" s="343"/>
      <c r="U81" s="343"/>
      <c r="V81" s="343"/>
      <c r="W81" s="343"/>
      <c r="X81" s="372"/>
      <c r="Y81" s="372"/>
      <c r="Z81" s="372"/>
      <c r="AA81" s="372"/>
      <c r="AB81" s="372"/>
      <c r="AC81" s="372"/>
      <c r="AD81" s="372"/>
      <c r="AE81" s="372"/>
      <c r="AF81" s="372"/>
      <c r="AG81" s="372"/>
      <c r="AH81" s="372"/>
      <c r="AI81" s="372"/>
      <c r="AJ81" s="372"/>
      <c r="AK81" s="372"/>
      <c r="AL81" s="372"/>
      <c r="AM81" s="372"/>
      <c r="AN81" s="372"/>
      <c r="AO81" s="372"/>
      <c r="AP81" s="372"/>
      <c r="AQ81" s="372"/>
      <c r="AR81" s="372"/>
      <c r="AS81" s="372"/>
      <c r="AT81" s="372"/>
      <c r="AU81" s="372"/>
      <c r="AV81" s="372"/>
      <c r="AW81" s="372"/>
      <c r="AX81" s="372"/>
      <c r="AY81" s="372"/>
      <c r="AZ81" s="372"/>
      <c r="BA81" s="372"/>
      <c r="BB81" s="372"/>
      <c r="BC81" s="372"/>
      <c r="BD81" s="372"/>
      <c r="BE81" s="372"/>
      <c r="BF81" s="372"/>
      <c r="BG81" s="372"/>
      <c r="BH81" s="372"/>
      <c r="BI81" s="372"/>
      <c r="BJ81" s="372"/>
      <c r="BK81" s="372"/>
      <c r="BL81" s="372"/>
      <c r="BM81" s="372"/>
      <c r="BN81" s="372"/>
      <c r="BO81" s="372"/>
      <c r="BP81" s="372"/>
      <c r="BQ81" s="372"/>
      <c r="BR81" s="372"/>
      <c r="BS81" s="372"/>
      <c r="BT81" s="372"/>
      <c r="BU81" s="372"/>
      <c r="BV81" s="372"/>
      <c r="BW81" s="372"/>
      <c r="BX81" s="372"/>
      <c r="BY81" s="372"/>
      <c r="BZ81" s="372"/>
      <c r="CA81" s="372"/>
      <c r="CB81" s="372"/>
      <c r="CC81" s="372"/>
      <c r="CD81" s="372"/>
      <c r="CE81" s="372"/>
      <c r="CF81" s="372"/>
      <c r="CG81" s="372"/>
      <c r="CH81" s="372"/>
      <c r="CI81" s="372"/>
      <c r="CJ81" s="372"/>
      <c r="CK81" s="372"/>
      <c r="CL81" s="372"/>
      <c r="CM81" s="372"/>
      <c r="CN81" s="372"/>
      <c r="CO81" s="372"/>
      <c r="CP81" s="372"/>
      <c r="CQ81" s="372"/>
      <c r="CR81" s="372"/>
      <c r="CS81" s="372"/>
      <c r="CT81" s="372"/>
      <c r="CU81" s="372"/>
      <c r="CV81" s="372"/>
      <c r="CW81" s="372"/>
      <c r="CX81" s="372"/>
      <c r="CY81" s="372"/>
      <c r="CZ81" s="372"/>
      <c r="DA81" s="372"/>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row>
    <row r="82" spans="1:237" ht="14.15" customHeight="1">
      <c r="A82" s="6"/>
      <c r="B82" s="6"/>
      <c r="C82" s="6"/>
      <c r="D82" s="6"/>
      <c r="E82" s="6"/>
      <c r="F82" s="6"/>
      <c r="G82" s="6"/>
      <c r="H82" s="6"/>
      <c r="I82" s="6"/>
      <c r="J82" s="6"/>
      <c r="K82" s="6"/>
      <c r="L82" s="6"/>
      <c r="M82" s="6"/>
      <c r="N82" s="14"/>
      <c r="O82" s="14"/>
      <c r="P82" s="14"/>
      <c r="Q82" s="573"/>
      <c r="R82" s="343"/>
      <c r="S82" s="343"/>
      <c r="T82" s="343"/>
      <c r="U82" s="343"/>
      <c r="V82" s="343"/>
      <c r="W82" s="343"/>
      <c r="X82" s="372"/>
      <c r="Y82" s="372"/>
      <c r="Z82" s="372"/>
      <c r="AA82" s="372"/>
      <c r="AB82" s="372"/>
      <c r="AC82" s="372"/>
      <c r="AD82" s="372"/>
      <c r="AE82" s="372"/>
      <c r="AF82" s="372"/>
      <c r="AG82" s="372"/>
      <c r="AH82" s="372"/>
      <c r="AI82" s="372"/>
      <c r="AJ82" s="372"/>
      <c r="AK82" s="372"/>
      <c r="AL82" s="372"/>
      <c r="AM82" s="372"/>
      <c r="AN82" s="372"/>
      <c r="AO82" s="372"/>
      <c r="AP82" s="372"/>
      <c r="AQ82" s="372"/>
      <c r="AR82" s="372"/>
      <c r="AS82" s="372"/>
      <c r="AT82" s="372"/>
      <c r="AU82" s="372"/>
      <c r="AV82" s="372"/>
      <c r="AW82" s="372"/>
      <c r="AX82" s="372"/>
      <c r="AY82" s="372"/>
      <c r="AZ82" s="372"/>
      <c r="BA82" s="372"/>
      <c r="BB82" s="372"/>
      <c r="BC82" s="372"/>
      <c r="BD82" s="372"/>
      <c r="BE82" s="372"/>
      <c r="BF82" s="372"/>
      <c r="BG82" s="372"/>
      <c r="BH82" s="372"/>
      <c r="BI82" s="372"/>
      <c r="BJ82" s="372"/>
      <c r="BK82" s="372"/>
      <c r="BL82" s="372"/>
      <c r="BM82" s="372"/>
      <c r="BN82" s="372"/>
      <c r="BO82" s="372"/>
      <c r="BP82" s="372"/>
      <c r="BQ82" s="372"/>
      <c r="BR82" s="372"/>
      <c r="BS82" s="372"/>
      <c r="BT82" s="372"/>
      <c r="BU82" s="372"/>
      <c r="BV82" s="372"/>
      <c r="BW82" s="372"/>
      <c r="BX82" s="372"/>
      <c r="BY82" s="372"/>
      <c r="BZ82" s="372"/>
      <c r="CA82" s="372"/>
      <c r="CB82" s="372"/>
      <c r="CC82" s="372"/>
      <c r="CD82" s="372"/>
      <c r="CE82" s="372"/>
      <c r="CF82" s="372"/>
      <c r="CG82" s="372"/>
      <c r="CH82" s="372"/>
      <c r="CI82" s="372"/>
      <c r="CJ82" s="372"/>
      <c r="CK82" s="372"/>
      <c r="CL82" s="372"/>
      <c r="CM82" s="372"/>
      <c r="CN82" s="372"/>
      <c r="CO82" s="372"/>
      <c r="CP82" s="372"/>
      <c r="CQ82" s="372"/>
      <c r="CR82" s="372"/>
      <c r="CS82" s="372"/>
      <c r="CT82" s="372"/>
      <c r="CU82" s="372"/>
      <c r="CV82" s="372"/>
      <c r="CW82" s="372"/>
      <c r="CX82" s="372"/>
      <c r="CY82" s="372"/>
      <c r="CZ82" s="372"/>
      <c r="DA82" s="372"/>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row>
    <row r="83" spans="1:237" ht="14.15" customHeight="1">
      <c r="A83" s="6"/>
      <c r="B83" s="6"/>
      <c r="C83" s="6"/>
      <c r="D83" s="6"/>
      <c r="E83" s="6"/>
      <c r="F83" s="6"/>
      <c r="G83" s="6"/>
      <c r="H83" s="6"/>
      <c r="I83" s="6"/>
      <c r="J83" s="6"/>
      <c r="K83" s="6"/>
      <c r="L83" s="6"/>
      <c r="M83" s="6"/>
      <c r="N83" s="14"/>
      <c r="O83" s="14"/>
      <c r="P83" s="14"/>
      <c r="Q83" s="573"/>
      <c r="R83" s="343"/>
      <c r="S83" s="343"/>
      <c r="T83" s="343"/>
      <c r="U83" s="343"/>
      <c r="V83" s="343"/>
      <c r="W83" s="343"/>
      <c r="X83" s="372"/>
      <c r="Y83" s="372"/>
      <c r="Z83" s="372"/>
      <c r="AA83" s="372"/>
      <c r="AB83" s="372"/>
      <c r="AC83" s="372"/>
      <c r="AD83" s="372"/>
      <c r="AE83" s="372"/>
      <c r="AF83" s="372"/>
      <c r="AG83" s="372"/>
      <c r="AH83" s="372"/>
      <c r="AI83" s="372"/>
      <c r="AJ83" s="372"/>
      <c r="AK83" s="372"/>
      <c r="AL83" s="372"/>
      <c r="AM83" s="372"/>
      <c r="AN83" s="372"/>
      <c r="AO83" s="372"/>
      <c r="AP83" s="372"/>
      <c r="AQ83" s="372"/>
      <c r="AR83" s="372"/>
      <c r="AS83" s="372"/>
      <c r="AT83" s="372"/>
      <c r="AU83" s="372"/>
      <c r="AV83" s="372"/>
      <c r="AW83" s="372"/>
      <c r="AX83" s="372"/>
      <c r="AY83" s="372"/>
      <c r="AZ83" s="372"/>
      <c r="BA83" s="372"/>
      <c r="BB83" s="372"/>
      <c r="BC83" s="372"/>
      <c r="BD83" s="372"/>
      <c r="BE83" s="372"/>
      <c r="BF83" s="372"/>
      <c r="BG83" s="372"/>
      <c r="BH83" s="372"/>
      <c r="BI83" s="372"/>
      <c r="BJ83" s="372"/>
      <c r="BK83" s="372"/>
      <c r="BL83" s="372"/>
      <c r="BM83" s="372"/>
      <c r="BN83" s="372"/>
      <c r="BO83" s="372"/>
      <c r="BP83" s="372"/>
      <c r="BQ83" s="372"/>
      <c r="BR83" s="372"/>
      <c r="BS83" s="372"/>
      <c r="BT83" s="372"/>
      <c r="BU83" s="372"/>
      <c r="BV83" s="372"/>
      <c r="BW83" s="372"/>
      <c r="BX83" s="372"/>
      <c r="BY83" s="372"/>
      <c r="BZ83" s="372"/>
      <c r="CA83" s="372"/>
      <c r="CB83" s="372"/>
      <c r="CC83" s="372"/>
      <c r="CD83" s="372"/>
      <c r="CE83" s="372"/>
      <c r="CF83" s="372"/>
      <c r="CG83" s="372"/>
      <c r="CH83" s="372"/>
      <c r="CI83" s="372"/>
      <c r="CJ83" s="372"/>
      <c r="CK83" s="372"/>
      <c r="CL83" s="372"/>
      <c r="CM83" s="372"/>
      <c r="CN83" s="372"/>
      <c r="CO83" s="372"/>
      <c r="CP83" s="372"/>
      <c r="CQ83" s="372"/>
      <c r="CR83" s="372"/>
      <c r="CS83" s="372"/>
      <c r="CT83" s="372"/>
      <c r="CU83" s="372"/>
      <c r="CV83" s="372"/>
      <c r="CW83" s="372"/>
      <c r="CX83" s="372"/>
      <c r="CY83" s="372"/>
      <c r="CZ83" s="372"/>
      <c r="DA83" s="372"/>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row>
    <row r="84" spans="1:237" ht="14.15" customHeight="1">
      <c r="A84" s="6"/>
      <c r="B84" s="6"/>
      <c r="C84" s="6"/>
      <c r="D84" s="6"/>
      <c r="E84" s="6"/>
      <c r="F84" s="6"/>
      <c r="G84" s="6"/>
      <c r="H84" s="6"/>
      <c r="I84" s="6"/>
      <c r="J84" s="6"/>
      <c r="K84" s="6"/>
      <c r="L84" s="6"/>
      <c r="M84" s="6"/>
      <c r="N84" s="14"/>
      <c r="O84" s="14"/>
      <c r="P84" s="14"/>
      <c r="Q84" s="573"/>
      <c r="R84" s="343"/>
      <c r="S84" s="343"/>
      <c r="T84" s="343"/>
      <c r="U84" s="343"/>
      <c r="V84" s="343"/>
      <c r="W84" s="343"/>
      <c r="X84" s="372"/>
      <c r="Y84" s="372"/>
      <c r="Z84" s="372"/>
      <c r="AA84" s="372"/>
      <c r="AB84" s="372"/>
      <c r="AC84" s="372"/>
      <c r="AD84" s="372"/>
      <c r="AE84" s="372"/>
      <c r="AF84" s="372"/>
      <c r="AG84" s="372"/>
      <c r="AH84" s="372"/>
      <c r="AI84" s="372"/>
      <c r="AJ84" s="372"/>
      <c r="AK84" s="372"/>
      <c r="AL84" s="372"/>
      <c r="AM84" s="372"/>
      <c r="AN84" s="372"/>
      <c r="AO84" s="372"/>
      <c r="AP84" s="372"/>
      <c r="AQ84" s="372"/>
      <c r="AR84" s="372"/>
      <c r="AS84" s="372"/>
      <c r="AT84" s="372"/>
      <c r="AU84" s="372"/>
      <c r="AV84" s="372"/>
      <c r="AW84" s="372"/>
      <c r="AX84" s="372"/>
      <c r="AY84" s="372"/>
      <c r="AZ84" s="372"/>
      <c r="BA84" s="372"/>
      <c r="BB84" s="372"/>
      <c r="BC84" s="372"/>
      <c r="BD84" s="372"/>
      <c r="BE84" s="372"/>
      <c r="BF84" s="372"/>
      <c r="BG84" s="372"/>
      <c r="BH84" s="372"/>
      <c r="BI84" s="372"/>
      <c r="BJ84" s="372"/>
      <c r="BK84" s="372"/>
      <c r="BL84" s="372"/>
      <c r="BM84" s="372"/>
      <c r="BN84" s="372"/>
      <c r="BO84" s="372"/>
      <c r="BP84" s="372"/>
      <c r="BQ84" s="372"/>
      <c r="BR84" s="372"/>
      <c r="BS84" s="372"/>
      <c r="BT84" s="372"/>
      <c r="BU84" s="372"/>
      <c r="BV84" s="372"/>
      <c r="BW84" s="372"/>
      <c r="BX84" s="372"/>
      <c r="BY84" s="372"/>
      <c r="BZ84" s="372"/>
      <c r="CA84" s="372"/>
      <c r="CB84" s="372"/>
      <c r="CC84" s="372"/>
      <c r="CD84" s="372"/>
      <c r="CE84" s="372"/>
      <c r="CF84" s="372"/>
      <c r="CG84" s="372"/>
      <c r="CH84" s="372"/>
      <c r="CI84" s="372"/>
      <c r="CJ84" s="372"/>
      <c r="CK84" s="372"/>
      <c r="CL84" s="372"/>
      <c r="CM84" s="372"/>
      <c r="CN84" s="372"/>
      <c r="CO84" s="372"/>
      <c r="CP84" s="372"/>
      <c r="CQ84" s="372"/>
      <c r="CR84" s="372"/>
      <c r="CS84" s="372"/>
      <c r="CT84" s="372"/>
      <c r="CU84" s="372"/>
      <c r="CV84" s="372"/>
      <c r="CW84" s="372"/>
      <c r="CX84" s="372"/>
      <c r="CY84" s="372"/>
      <c r="CZ84" s="372"/>
      <c r="DA84" s="372"/>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row>
    <row r="85" spans="1:237" ht="14.15" customHeight="1">
      <c r="A85" s="6"/>
      <c r="B85" s="6"/>
      <c r="C85" s="6"/>
      <c r="D85" s="6"/>
      <c r="E85" s="6"/>
      <c r="F85" s="6"/>
      <c r="G85" s="6"/>
      <c r="H85" s="6"/>
      <c r="I85" s="6"/>
      <c r="J85" s="6"/>
      <c r="K85" s="6"/>
      <c r="L85" s="6"/>
      <c r="M85" s="6"/>
      <c r="N85" s="14"/>
      <c r="O85" s="14"/>
      <c r="P85" s="14"/>
      <c r="Q85" s="573"/>
      <c r="R85" s="343"/>
      <c r="S85" s="343"/>
      <c r="T85" s="343"/>
      <c r="U85" s="343"/>
      <c r="V85" s="343"/>
      <c r="W85" s="343"/>
      <c r="X85" s="372"/>
      <c r="Y85" s="372"/>
      <c r="Z85" s="372"/>
      <c r="AA85" s="372"/>
      <c r="AB85" s="372"/>
      <c r="AC85" s="372"/>
      <c r="AD85" s="372"/>
      <c r="AE85" s="372"/>
      <c r="AF85" s="372"/>
      <c r="AG85" s="372"/>
      <c r="AH85" s="372"/>
      <c r="AI85" s="372"/>
      <c r="AJ85" s="372"/>
      <c r="AK85" s="372"/>
      <c r="AL85" s="372"/>
      <c r="AM85" s="372"/>
      <c r="AN85" s="372"/>
      <c r="AO85" s="372"/>
      <c r="AP85" s="372"/>
      <c r="AQ85" s="372"/>
      <c r="AR85" s="372"/>
      <c r="AS85" s="372"/>
      <c r="AT85" s="372"/>
      <c r="AU85" s="372"/>
      <c r="AV85" s="372"/>
      <c r="AW85" s="372"/>
      <c r="AX85" s="372"/>
      <c r="AY85" s="372"/>
      <c r="AZ85" s="372"/>
      <c r="BA85" s="372"/>
      <c r="BB85" s="372"/>
      <c r="BC85" s="372"/>
      <c r="BD85" s="372"/>
      <c r="BE85" s="372"/>
      <c r="BF85" s="372"/>
      <c r="BG85" s="372"/>
      <c r="BH85" s="372"/>
      <c r="BI85" s="372"/>
      <c r="BJ85" s="372"/>
      <c r="BK85" s="372"/>
      <c r="BL85" s="372"/>
      <c r="BM85" s="372"/>
      <c r="BN85" s="372"/>
      <c r="BO85" s="372"/>
      <c r="BP85" s="372"/>
      <c r="BQ85" s="372"/>
      <c r="BR85" s="372"/>
      <c r="BS85" s="372"/>
      <c r="BT85" s="372"/>
      <c r="BU85" s="372"/>
      <c r="BV85" s="372"/>
      <c r="BW85" s="372"/>
      <c r="BX85" s="372"/>
      <c r="BY85" s="372"/>
      <c r="BZ85" s="372"/>
      <c r="CA85" s="372"/>
      <c r="CB85" s="372"/>
      <c r="CC85" s="372"/>
      <c r="CD85" s="372"/>
      <c r="CE85" s="372"/>
      <c r="CF85" s="372"/>
      <c r="CG85" s="372"/>
      <c r="CH85" s="372"/>
      <c r="CI85" s="372"/>
      <c r="CJ85" s="372"/>
      <c r="CK85" s="372"/>
      <c r="CL85" s="372"/>
      <c r="CM85" s="372"/>
      <c r="CN85" s="372"/>
      <c r="CO85" s="372"/>
      <c r="CP85" s="372"/>
      <c r="CQ85" s="372"/>
      <c r="CR85" s="372"/>
      <c r="CS85" s="372"/>
      <c r="CT85" s="372"/>
      <c r="CU85" s="372"/>
      <c r="CV85" s="372"/>
      <c r="CW85" s="372"/>
      <c r="CX85" s="372"/>
      <c r="CY85" s="372"/>
      <c r="CZ85" s="372"/>
      <c r="DA85" s="372"/>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row>
    <row r="86" spans="1:237" ht="14.15" customHeight="1">
      <c r="A86" s="6"/>
      <c r="B86" s="6"/>
      <c r="C86" s="6"/>
      <c r="D86" s="6"/>
      <c r="E86" s="6"/>
      <c r="F86" s="6"/>
      <c r="G86" s="6"/>
      <c r="H86" s="6"/>
      <c r="I86" s="6"/>
      <c r="J86" s="6"/>
      <c r="K86" s="6"/>
      <c r="L86" s="6"/>
      <c r="M86" s="6"/>
      <c r="N86" s="14"/>
      <c r="O86" s="14"/>
      <c r="P86" s="14"/>
      <c r="Q86" s="573"/>
      <c r="R86" s="343"/>
      <c r="S86" s="343"/>
      <c r="T86" s="343"/>
      <c r="U86" s="343"/>
      <c r="V86" s="343"/>
      <c r="W86" s="343"/>
      <c r="X86" s="372"/>
      <c r="Y86" s="372"/>
      <c r="Z86" s="372"/>
      <c r="AA86" s="372"/>
      <c r="AB86" s="372"/>
      <c r="AC86" s="372"/>
      <c r="AD86" s="372"/>
      <c r="AE86" s="372"/>
      <c r="AF86" s="372"/>
      <c r="AG86" s="372"/>
      <c r="AH86" s="372"/>
      <c r="AI86" s="372"/>
      <c r="AJ86" s="372"/>
      <c r="AK86" s="372"/>
      <c r="AL86" s="372"/>
      <c r="AM86" s="372"/>
      <c r="AN86" s="372"/>
      <c r="AO86" s="372"/>
      <c r="AP86" s="372"/>
      <c r="AQ86" s="372"/>
      <c r="AR86" s="372"/>
      <c r="AS86" s="372"/>
      <c r="AT86" s="372"/>
      <c r="AU86" s="372"/>
      <c r="AV86" s="372"/>
      <c r="AW86" s="372"/>
      <c r="AX86" s="372"/>
      <c r="AY86" s="372"/>
      <c r="AZ86" s="372"/>
      <c r="BA86" s="372"/>
      <c r="BB86" s="372"/>
      <c r="BC86" s="372"/>
      <c r="BD86" s="372"/>
      <c r="BE86" s="372"/>
      <c r="BF86" s="372"/>
      <c r="BG86" s="372"/>
      <c r="BH86" s="372"/>
      <c r="BI86" s="372"/>
      <c r="BJ86" s="372"/>
      <c r="BK86" s="372"/>
      <c r="BL86" s="372"/>
      <c r="BM86" s="372"/>
      <c r="BN86" s="372"/>
      <c r="BO86" s="372"/>
      <c r="BP86" s="372"/>
      <c r="BQ86" s="372"/>
      <c r="BR86" s="372"/>
      <c r="BS86" s="372"/>
      <c r="BT86" s="372"/>
      <c r="BU86" s="372"/>
      <c r="BV86" s="372"/>
      <c r="BW86" s="372"/>
      <c r="BX86" s="372"/>
      <c r="BY86" s="372"/>
      <c r="BZ86" s="372"/>
      <c r="CA86" s="372"/>
      <c r="CB86" s="372"/>
      <c r="CC86" s="372"/>
      <c r="CD86" s="372"/>
      <c r="CE86" s="372"/>
      <c r="CF86" s="372"/>
      <c r="CG86" s="372"/>
      <c r="CH86" s="372"/>
      <c r="CI86" s="372"/>
      <c r="CJ86" s="372"/>
      <c r="CK86" s="372"/>
      <c r="CL86" s="372"/>
      <c r="CM86" s="372"/>
      <c r="CN86" s="372"/>
      <c r="CO86" s="372"/>
      <c r="CP86" s="372"/>
      <c r="CQ86" s="372"/>
      <c r="CR86" s="372"/>
      <c r="CS86" s="372"/>
      <c r="CT86" s="372"/>
      <c r="CU86" s="372"/>
      <c r="CV86" s="372"/>
      <c r="CW86" s="372"/>
      <c r="CX86" s="372"/>
      <c r="CY86" s="372"/>
      <c r="CZ86" s="372"/>
      <c r="DA86" s="372"/>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row>
    <row r="87" spans="1:237" ht="14.15" customHeight="1">
      <c r="A87" s="6"/>
      <c r="B87" s="6"/>
      <c r="C87" s="6"/>
      <c r="D87" s="6"/>
      <c r="E87" s="6"/>
      <c r="F87" s="6"/>
      <c r="G87" s="6"/>
      <c r="H87" s="6"/>
      <c r="I87" s="6"/>
      <c r="J87" s="6"/>
      <c r="K87" s="6"/>
      <c r="L87" s="6"/>
      <c r="M87" s="6"/>
      <c r="N87" s="14"/>
      <c r="O87" s="14"/>
      <c r="P87" s="14"/>
      <c r="Q87" s="573"/>
      <c r="R87" s="343"/>
      <c r="S87" s="343"/>
      <c r="T87" s="343"/>
      <c r="U87" s="343"/>
      <c r="V87" s="343"/>
      <c r="W87" s="343"/>
      <c r="X87" s="372"/>
      <c r="Y87" s="372"/>
      <c r="Z87" s="372"/>
      <c r="AA87" s="372"/>
      <c r="AB87" s="372"/>
      <c r="AC87" s="372"/>
      <c r="AD87" s="372"/>
      <c r="AE87" s="372"/>
      <c r="AF87" s="372"/>
      <c r="AG87" s="372"/>
      <c r="AH87" s="372"/>
      <c r="AI87" s="372"/>
      <c r="AJ87" s="372"/>
      <c r="AK87" s="372"/>
      <c r="AL87" s="372"/>
      <c r="AM87" s="372"/>
      <c r="AN87" s="372"/>
      <c r="AO87" s="372"/>
      <c r="AP87" s="372"/>
      <c r="AQ87" s="372"/>
      <c r="AR87" s="372"/>
      <c r="AS87" s="372"/>
      <c r="AT87" s="372"/>
      <c r="AU87" s="372"/>
      <c r="AV87" s="372"/>
      <c r="AW87" s="372"/>
      <c r="AX87" s="372"/>
      <c r="AY87" s="372"/>
      <c r="AZ87" s="372"/>
      <c r="BA87" s="372"/>
      <c r="BB87" s="372"/>
      <c r="BC87" s="372"/>
      <c r="BD87" s="372"/>
      <c r="BE87" s="372"/>
      <c r="BF87" s="372"/>
      <c r="BG87" s="372"/>
      <c r="BH87" s="372"/>
      <c r="BI87" s="372"/>
      <c r="BJ87" s="372"/>
      <c r="BK87" s="372"/>
      <c r="BL87" s="372"/>
      <c r="BM87" s="372"/>
      <c r="BN87" s="372"/>
      <c r="BO87" s="372"/>
      <c r="BP87" s="372"/>
      <c r="BQ87" s="372"/>
      <c r="BR87" s="372"/>
      <c r="BS87" s="372"/>
      <c r="BT87" s="372"/>
      <c r="BU87" s="372"/>
      <c r="BV87" s="372"/>
      <c r="BW87" s="372"/>
      <c r="BX87" s="372"/>
      <c r="BY87" s="372"/>
      <c r="BZ87" s="372"/>
      <c r="CA87" s="372"/>
      <c r="CB87" s="372"/>
      <c r="CC87" s="372"/>
      <c r="CD87" s="372"/>
      <c r="CE87" s="372"/>
      <c r="CF87" s="372"/>
      <c r="CG87" s="372"/>
      <c r="CH87" s="372"/>
      <c r="CI87" s="372"/>
      <c r="CJ87" s="372"/>
      <c r="CK87" s="372"/>
      <c r="CL87" s="372"/>
      <c r="CM87" s="372"/>
      <c r="CN87" s="372"/>
      <c r="CO87" s="372"/>
      <c r="CP87" s="372"/>
      <c r="CQ87" s="372"/>
      <c r="CR87" s="372"/>
      <c r="CS87" s="372"/>
      <c r="CT87" s="372"/>
      <c r="CU87" s="372"/>
      <c r="CV87" s="372"/>
      <c r="CW87" s="372"/>
      <c r="CX87" s="372"/>
      <c r="CY87" s="372"/>
      <c r="CZ87" s="372"/>
      <c r="DA87" s="372"/>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row>
    <row r="88" spans="1:237" ht="14.15" customHeight="1">
      <c r="A88" s="6"/>
      <c r="B88" s="6"/>
      <c r="C88" s="6"/>
      <c r="D88" s="6"/>
      <c r="E88" s="6"/>
      <c r="F88" s="6"/>
      <c r="G88" s="6"/>
      <c r="H88" s="6"/>
      <c r="I88" s="6"/>
      <c r="J88" s="6"/>
      <c r="K88" s="6"/>
      <c r="L88" s="6"/>
      <c r="M88" s="6"/>
      <c r="N88" s="14"/>
      <c r="O88" s="14"/>
      <c r="P88" s="14"/>
      <c r="Q88" s="573"/>
      <c r="R88" s="343"/>
      <c r="S88" s="343"/>
      <c r="T88" s="343"/>
      <c r="U88" s="343"/>
      <c r="V88" s="343"/>
      <c r="W88" s="343"/>
      <c r="X88" s="372"/>
      <c r="Y88" s="372"/>
      <c r="Z88" s="372"/>
      <c r="AA88" s="372"/>
      <c r="AB88" s="372"/>
      <c r="AC88" s="372"/>
      <c r="AD88" s="372"/>
      <c r="AE88" s="372"/>
      <c r="AF88" s="372"/>
      <c r="AG88" s="372"/>
      <c r="AH88" s="372"/>
      <c r="AI88" s="372"/>
      <c r="AJ88" s="372"/>
      <c r="AK88" s="372"/>
      <c r="AL88" s="372"/>
      <c r="AM88" s="372"/>
      <c r="AN88" s="372"/>
      <c r="AO88" s="372"/>
      <c r="AP88" s="372"/>
      <c r="AQ88" s="372"/>
      <c r="AR88" s="372"/>
      <c r="AS88" s="372"/>
      <c r="AT88" s="372"/>
      <c r="AU88" s="372"/>
      <c r="AV88" s="372"/>
      <c r="AW88" s="372"/>
      <c r="AX88" s="372"/>
      <c r="AY88" s="372"/>
      <c r="AZ88" s="372"/>
      <c r="BA88" s="372"/>
      <c r="BB88" s="372"/>
      <c r="BC88" s="372"/>
      <c r="BD88" s="372"/>
      <c r="BE88" s="372"/>
      <c r="BF88" s="372"/>
      <c r="BG88" s="372"/>
      <c r="BH88" s="372"/>
      <c r="BI88" s="372"/>
      <c r="BJ88" s="372"/>
      <c r="BK88" s="372"/>
      <c r="BL88" s="372"/>
      <c r="BM88" s="372"/>
      <c r="BN88" s="372"/>
      <c r="BO88" s="372"/>
      <c r="BP88" s="372"/>
      <c r="BQ88" s="372"/>
      <c r="BR88" s="372"/>
      <c r="BS88" s="372"/>
      <c r="BT88" s="372"/>
      <c r="BU88" s="372"/>
      <c r="BV88" s="372"/>
      <c r="BW88" s="372"/>
      <c r="BX88" s="372"/>
      <c r="BY88" s="372"/>
      <c r="BZ88" s="372"/>
      <c r="CA88" s="372"/>
      <c r="CB88" s="372"/>
      <c r="CC88" s="372"/>
      <c r="CD88" s="372"/>
      <c r="CE88" s="372"/>
      <c r="CF88" s="372"/>
      <c r="CG88" s="372"/>
      <c r="CH88" s="372"/>
      <c r="CI88" s="372"/>
      <c r="CJ88" s="372"/>
      <c r="CK88" s="372"/>
      <c r="CL88" s="372"/>
      <c r="CM88" s="372"/>
      <c r="CN88" s="372"/>
      <c r="CO88" s="372"/>
      <c r="CP88" s="372"/>
      <c r="CQ88" s="372"/>
      <c r="CR88" s="372"/>
      <c r="CS88" s="372"/>
      <c r="CT88" s="372"/>
      <c r="CU88" s="372"/>
      <c r="CV88" s="372"/>
      <c r="CW88" s="372"/>
      <c r="CX88" s="372"/>
      <c r="CY88" s="372"/>
      <c r="CZ88" s="372"/>
      <c r="DA88" s="372"/>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row>
    <row r="89" spans="1:237" ht="14.15" customHeight="1">
      <c r="A89" s="6"/>
      <c r="B89" s="6"/>
      <c r="C89" s="6"/>
      <c r="D89" s="6"/>
      <c r="E89" s="6"/>
      <c r="F89" s="6"/>
      <c r="G89" s="6"/>
      <c r="H89" s="6"/>
      <c r="I89" s="6"/>
      <c r="J89" s="6"/>
      <c r="K89" s="6"/>
      <c r="L89" s="6"/>
      <c r="M89" s="6"/>
      <c r="N89" s="14"/>
      <c r="O89" s="14"/>
      <c r="P89" s="14"/>
      <c r="Q89" s="573"/>
      <c r="R89" s="343"/>
      <c r="S89" s="343"/>
      <c r="T89" s="343"/>
      <c r="U89" s="343"/>
      <c r="V89" s="343"/>
      <c r="W89" s="343"/>
      <c r="X89" s="372"/>
      <c r="Y89" s="372"/>
      <c r="Z89" s="372"/>
      <c r="AA89" s="372"/>
      <c r="AB89" s="372"/>
      <c r="AC89" s="372"/>
      <c r="AD89" s="372"/>
      <c r="AE89" s="372"/>
      <c r="AF89" s="372"/>
      <c r="AG89" s="372"/>
      <c r="AH89" s="372"/>
      <c r="AI89" s="372"/>
      <c r="AJ89" s="372"/>
      <c r="AK89" s="372"/>
      <c r="AL89" s="372"/>
      <c r="AM89" s="372"/>
      <c r="AN89" s="372"/>
      <c r="AO89" s="372"/>
      <c r="AP89" s="372"/>
      <c r="AQ89" s="372"/>
      <c r="AR89" s="372"/>
      <c r="AS89" s="372"/>
      <c r="AT89" s="372"/>
      <c r="AU89" s="372"/>
      <c r="AV89" s="372"/>
      <c r="AW89" s="372"/>
      <c r="AX89" s="372"/>
      <c r="AY89" s="372"/>
      <c r="AZ89" s="372"/>
      <c r="BA89" s="372"/>
      <c r="BB89" s="372"/>
      <c r="BC89" s="372"/>
      <c r="BD89" s="372"/>
      <c r="BE89" s="372"/>
      <c r="BF89" s="372"/>
      <c r="BG89" s="372"/>
      <c r="BH89" s="372"/>
      <c r="BI89" s="372"/>
      <c r="BJ89" s="372"/>
      <c r="BK89" s="372"/>
      <c r="BL89" s="372"/>
      <c r="BM89" s="372"/>
      <c r="BN89" s="372"/>
      <c r="BO89" s="372"/>
      <c r="BP89" s="372"/>
      <c r="BQ89" s="372"/>
      <c r="BR89" s="372"/>
      <c r="BS89" s="372"/>
      <c r="BT89" s="372"/>
      <c r="BU89" s="372"/>
      <c r="BV89" s="372"/>
      <c r="BW89" s="372"/>
      <c r="BX89" s="372"/>
      <c r="BY89" s="372"/>
      <c r="BZ89" s="372"/>
      <c r="CA89" s="372"/>
      <c r="CB89" s="372"/>
      <c r="CC89" s="372"/>
      <c r="CD89" s="372"/>
      <c r="CE89" s="372"/>
      <c r="CF89" s="372"/>
      <c r="CG89" s="372"/>
      <c r="CH89" s="372"/>
      <c r="CI89" s="372"/>
      <c r="CJ89" s="372"/>
      <c r="CK89" s="372"/>
      <c r="CL89" s="372"/>
      <c r="CM89" s="372"/>
      <c r="CN89" s="372"/>
      <c r="CO89" s="372"/>
      <c r="CP89" s="372"/>
      <c r="CQ89" s="372"/>
      <c r="CR89" s="372"/>
      <c r="CS89" s="372"/>
      <c r="CT89" s="372"/>
      <c r="CU89" s="372"/>
      <c r="CV89" s="372"/>
      <c r="CW89" s="372"/>
      <c r="CX89" s="372"/>
      <c r="CY89" s="372"/>
      <c r="CZ89" s="372"/>
      <c r="DA89" s="372"/>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row>
    <row r="90" spans="1:237" ht="14.15" customHeight="1">
      <c r="A90" s="6"/>
      <c r="B90" s="6"/>
      <c r="C90" s="6"/>
      <c r="D90" s="6"/>
      <c r="E90" s="6"/>
      <c r="F90" s="6"/>
      <c r="G90" s="6"/>
      <c r="H90" s="6"/>
      <c r="I90" s="6"/>
      <c r="J90" s="6"/>
      <c r="K90" s="6"/>
      <c r="L90" s="6"/>
      <c r="M90" s="6"/>
      <c r="N90" s="14"/>
      <c r="O90" s="14"/>
      <c r="P90" s="14"/>
      <c r="Q90" s="573"/>
      <c r="R90" s="343"/>
      <c r="S90" s="343"/>
      <c r="T90" s="343"/>
      <c r="U90" s="343"/>
      <c r="V90" s="343"/>
      <c r="W90" s="343"/>
      <c r="X90" s="372"/>
      <c r="Y90" s="372"/>
      <c r="Z90" s="372"/>
      <c r="AA90" s="372"/>
      <c r="AB90" s="372"/>
      <c r="AC90" s="372"/>
      <c r="AD90" s="372"/>
      <c r="AE90" s="372"/>
      <c r="AF90" s="372"/>
      <c r="AG90" s="372"/>
      <c r="AH90" s="372"/>
      <c r="AI90" s="372"/>
      <c r="AJ90" s="372"/>
      <c r="AK90" s="372"/>
      <c r="AL90" s="372"/>
      <c r="AM90" s="372"/>
      <c r="AN90" s="372"/>
      <c r="AO90" s="372"/>
      <c r="AP90" s="372"/>
      <c r="AQ90" s="372"/>
      <c r="AR90" s="372"/>
      <c r="AS90" s="372"/>
      <c r="AT90" s="372"/>
      <c r="AU90" s="372"/>
      <c r="AV90" s="372"/>
      <c r="AW90" s="372"/>
      <c r="AX90" s="372"/>
      <c r="AY90" s="372"/>
      <c r="AZ90" s="372"/>
      <c r="BA90" s="372"/>
      <c r="BB90" s="372"/>
      <c r="BC90" s="372"/>
      <c r="BD90" s="372"/>
      <c r="BE90" s="372"/>
      <c r="BF90" s="372"/>
      <c r="BG90" s="372"/>
      <c r="BH90" s="372"/>
      <c r="BI90" s="372"/>
      <c r="BJ90" s="372"/>
      <c r="BK90" s="372"/>
      <c r="BL90" s="372"/>
      <c r="BM90" s="372"/>
      <c r="BN90" s="372"/>
      <c r="BO90" s="372"/>
      <c r="BP90" s="372"/>
      <c r="BQ90" s="372"/>
      <c r="BR90" s="372"/>
      <c r="BS90" s="372"/>
      <c r="BT90" s="372"/>
      <c r="BU90" s="372"/>
      <c r="BV90" s="372"/>
      <c r="BW90" s="372"/>
      <c r="BX90" s="372"/>
      <c r="BY90" s="372"/>
      <c r="BZ90" s="372"/>
      <c r="CA90" s="372"/>
      <c r="CB90" s="372"/>
      <c r="CC90" s="372"/>
      <c r="CD90" s="372"/>
      <c r="CE90" s="372"/>
      <c r="CF90" s="372"/>
      <c r="CG90" s="372"/>
      <c r="CH90" s="372"/>
      <c r="CI90" s="372"/>
      <c r="CJ90" s="372"/>
      <c r="CK90" s="372"/>
      <c r="CL90" s="372"/>
      <c r="CM90" s="372"/>
      <c r="CN90" s="372"/>
      <c r="CO90" s="372"/>
      <c r="CP90" s="372"/>
      <c r="CQ90" s="372"/>
      <c r="CR90" s="372"/>
      <c r="CS90" s="372"/>
      <c r="CT90" s="372"/>
      <c r="CU90" s="372"/>
      <c r="CV90" s="372"/>
      <c r="CW90" s="372"/>
      <c r="CX90" s="372"/>
      <c r="CY90" s="372"/>
      <c r="CZ90" s="372"/>
      <c r="DA90" s="372"/>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row>
    <row r="91" spans="1:237" ht="14.15" customHeight="1">
      <c r="A91" s="6"/>
      <c r="B91" s="6"/>
      <c r="C91" s="6"/>
      <c r="D91" s="6"/>
      <c r="E91" s="6"/>
      <c r="F91" s="6"/>
      <c r="G91" s="6"/>
      <c r="H91" s="6"/>
      <c r="I91" s="6"/>
      <c r="J91" s="6"/>
      <c r="K91" s="6"/>
      <c r="L91" s="6"/>
      <c r="M91" s="6"/>
      <c r="N91" s="14"/>
      <c r="O91" s="14"/>
      <c r="P91" s="14"/>
      <c r="Q91" s="573"/>
      <c r="R91" s="343"/>
      <c r="S91" s="343"/>
      <c r="T91" s="343"/>
      <c r="U91" s="343"/>
      <c r="V91" s="343"/>
      <c r="W91" s="343"/>
      <c r="X91" s="372"/>
      <c r="Y91" s="372"/>
      <c r="Z91" s="372"/>
      <c r="AA91" s="372"/>
      <c r="AB91" s="372"/>
      <c r="AC91" s="372"/>
      <c r="AD91" s="372"/>
      <c r="AE91" s="372"/>
      <c r="AF91" s="372"/>
      <c r="AG91" s="372"/>
      <c r="AH91" s="372"/>
      <c r="AI91" s="372"/>
      <c r="AJ91" s="372"/>
      <c r="AK91" s="372"/>
      <c r="AL91" s="372"/>
      <c r="AM91" s="372"/>
      <c r="AN91" s="372"/>
      <c r="AO91" s="372"/>
      <c r="AP91" s="372"/>
      <c r="AQ91" s="372"/>
      <c r="AR91" s="372"/>
      <c r="AS91" s="372"/>
      <c r="AT91" s="372"/>
      <c r="AU91" s="372"/>
      <c r="AV91" s="372"/>
      <c r="AW91" s="372"/>
      <c r="AX91" s="372"/>
      <c r="AY91" s="372"/>
      <c r="AZ91" s="372"/>
      <c r="BA91" s="372"/>
      <c r="BB91" s="372"/>
      <c r="BC91" s="372"/>
      <c r="BD91" s="372"/>
      <c r="BE91" s="372"/>
      <c r="BF91" s="372"/>
      <c r="BG91" s="372"/>
      <c r="BH91" s="372"/>
      <c r="BI91" s="372"/>
      <c r="BJ91" s="372"/>
      <c r="BK91" s="372"/>
      <c r="BL91" s="372"/>
      <c r="BM91" s="372"/>
      <c r="BN91" s="372"/>
      <c r="BO91" s="372"/>
      <c r="BP91" s="372"/>
      <c r="BQ91" s="372"/>
      <c r="BR91" s="372"/>
      <c r="BS91" s="372"/>
      <c r="BT91" s="372"/>
      <c r="BU91" s="372"/>
      <c r="BV91" s="372"/>
      <c r="BW91" s="372"/>
      <c r="BX91" s="372"/>
      <c r="BY91" s="372"/>
      <c r="BZ91" s="372"/>
      <c r="CA91" s="372"/>
      <c r="CB91" s="372"/>
      <c r="CC91" s="372"/>
      <c r="CD91" s="372"/>
      <c r="CE91" s="372"/>
      <c r="CF91" s="372"/>
      <c r="CG91" s="372"/>
      <c r="CH91" s="372"/>
      <c r="CI91" s="372"/>
      <c r="CJ91" s="372"/>
      <c r="CK91" s="372"/>
      <c r="CL91" s="372"/>
      <c r="CM91" s="372"/>
      <c r="CN91" s="372"/>
      <c r="CO91" s="372"/>
      <c r="CP91" s="372"/>
      <c r="CQ91" s="372"/>
      <c r="CR91" s="372"/>
      <c r="CS91" s="372"/>
      <c r="CT91" s="372"/>
      <c r="CU91" s="372"/>
      <c r="CV91" s="372"/>
      <c r="CW91" s="372"/>
      <c r="CX91" s="372"/>
      <c r="CY91" s="372"/>
      <c r="CZ91" s="372"/>
      <c r="DA91" s="372"/>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row>
    <row r="92" spans="1:237" ht="14.15" customHeight="1">
      <c r="A92" s="6"/>
      <c r="B92" s="6"/>
      <c r="C92" s="6"/>
      <c r="D92" s="6"/>
      <c r="E92" s="6"/>
      <c r="F92" s="6"/>
      <c r="G92" s="6"/>
      <c r="H92" s="6"/>
      <c r="I92" s="6"/>
      <c r="J92" s="6"/>
      <c r="K92" s="6"/>
      <c r="L92" s="6"/>
      <c r="M92" s="6"/>
      <c r="N92" s="14"/>
      <c r="O92" s="14"/>
      <c r="P92" s="14"/>
      <c r="Q92" s="573"/>
      <c r="R92" s="343"/>
      <c r="S92" s="343"/>
      <c r="T92" s="343"/>
      <c r="U92" s="343"/>
      <c r="V92" s="343"/>
      <c r="W92" s="343"/>
      <c r="X92" s="372"/>
      <c r="Y92" s="372"/>
      <c r="Z92" s="372"/>
      <c r="AA92" s="372"/>
      <c r="AB92" s="372"/>
      <c r="AC92" s="372"/>
      <c r="AD92" s="372"/>
      <c r="AE92" s="372"/>
      <c r="AF92" s="372"/>
      <c r="AG92" s="372"/>
      <c r="AH92" s="372"/>
      <c r="AI92" s="372"/>
      <c r="AJ92" s="372"/>
      <c r="AK92" s="372"/>
      <c r="AL92" s="372"/>
      <c r="AM92" s="372"/>
      <c r="AN92" s="372"/>
      <c r="AO92" s="372"/>
      <c r="AP92" s="372"/>
      <c r="AQ92" s="372"/>
      <c r="AR92" s="372"/>
      <c r="AS92" s="372"/>
      <c r="AT92" s="372"/>
      <c r="AU92" s="372"/>
      <c r="AV92" s="372"/>
      <c r="AW92" s="372"/>
      <c r="AX92" s="372"/>
      <c r="AY92" s="372"/>
      <c r="AZ92" s="372"/>
      <c r="BA92" s="372"/>
      <c r="BB92" s="372"/>
      <c r="BC92" s="372"/>
      <c r="BD92" s="372"/>
      <c r="BE92" s="372"/>
      <c r="BF92" s="372"/>
      <c r="BG92" s="372"/>
      <c r="BH92" s="372"/>
      <c r="BI92" s="372"/>
      <c r="BJ92" s="372"/>
      <c r="BK92" s="372"/>
      <c r="BL92" s="372"/>
      <c r="BM92" s="372"/>
      <c r="BN92" s="372"/>
      <c r="BO92" s="372"/>
      <c r="BP92" s="372"/>
      <c r="BQ92" s="372"/>
      <c r="BR92" s="372"/>
      <c r="BS92" s="372"/>
      <c r="BT92" s="372"/>
      <c r="BU92" s="372"/>
      <c r="BV92" s="372"/>
      <c r="BW92" s="372"/>
      <c r="BX92" s="372"/>
      <c r="BY92" s="372"/>
      <c r="BZ92" s="372"/>
      <c r="CA92" s="372"/>
      <c r="CB92" s="372"/>
      <c r="CC92" s="372"/>
      <c r="CD92" s="372"/>
      <c r="CE92" s="372"/>
      <c r="CF92" s="372"/>
      <c r="CG92" s="372"/>
      <c r="CH92" s="372"/>
      <c r="CI92" s="372"/>
      <c r="CJ92" s="372"/>
      <c r="CK92" s="372"/>
      <c r="CL92" s="372"/>
      <c r="CM92" s="372"/>
      <c r="CN92" s="372"/>
      <c r="CO92" s="372"/>
      <c r="CP92" s="372"/>
      <c r="CQ92" s="372"/>
      <c r="CR92" s="372"/>
      <c r="CS92" s="372"/>
      <c r="CT92" s="372"/>
      <c r="CU92" s="372"/>
      <c r="CV92" s="372"/>
      <c r="CW92" s="372"/>
      <c r="CX92" s="372"/>
      <c r="CY92" s="372"/>
      <c r="CZ92" s="372"/>
      <c r="DA92" s="372"/>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row>
    <row r="93" spans="1:237" ht="14.15" customHeight="1">
      <c r="A93" s="6"/>
      <c r="B93" s="6"/>
      <c r="C93" s="6"/>
      <c r="D93" s="6"/>
      <c r="E93" s="6"/>
      <c r="F93" s="6"/>
      <c r="G93" s="6"/>
      <c r="H93" s="6"/>
      <c r="I93" s="6"/>
      <c r="J93" s="6"/>
      <c r="K93" s="6"/>
      <c r="L93" s="6"/>
      <c r="M93" s="6"/>
      <c r="N93" s="14"/>
      <c r="O93" s="14"/>
      <c r="P93" s="14"/>
      <c r="Q93" s="573"/>
      <c r="R93" s="343"/>
      <c r="S93" s="343"/>
      <c r="T93" s="343"/>
      <c r="U93" s="343"/>
      <c r="V93" s="343"/>
      <c r="W93" s="343"/>
      <c r="X93" s="372"/>
      <c r="Y93" s="372"/>
      <c r="Z93" s="372"/>
      <c r="AA93" s="372"/>
      <c r="AB93" s="372"/>
      <c r="AC93" s="372"/>
      <c r="AD93" s="372"/>
      <c r="AE93" s="372"/>
      <c r="AF93" s="372"/>
      <c r="AG93" s="372"/>
      <c r="AH93" s="372"/>
      <c r="AI93" s="372"/>
      <c r="AJ93" s="372"/>
      <c r="AK93" s="372"/>
      <c r="AL93" s="372"/>
      <c r="AM93" s="372"/>
      <c r="AN93" s="372"/>
      <c r="AO93" s="372"/>
      <c r="AP93" s="372"/>
      <c r="AQ93" s="372"/>
      <c r="AR93" s="372"/>
      <c r="AS93" s="372"/>
      <c r="AT93" s="372"/>
      <c r="AU93" s="372"/>
      <c r="AV93" s="372"/>
      <c r="AW93" s="372"/>
      <c r="AX93" s="372"/>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c r="BW93" s="372"/>
      <c r="BX93" s="372"/>
      <c r="BY93" s="372"/>
      <c r="BZ93" s="372"/>
      <c r="CA93" s="372"/>
      <c r="CB93" s="372"/>
      <c r="CC93" s="372"/>
      <c r="CD93" s="372"/>
      <c r="CE93" s="372"/>
      <c r="CF93" s="372"/>
      <c r="CG93" s="372"/>
      <c r="CH93" s="372"/>
      <c r="CI93" s="372"/>
      <c r="CJ93" s="372"/>
      <c r="CK93" s="372"/>
      <c r="CL93" s="372"/>
      <c r="CM93" s="372"/>
      <c r="CN93" s="372"/>
      <c r="CO93" s="372"/>
      <c r="CP93" s="372"/>
      <c r="CQ93" s="372"/>
      <c r="CR93" s="372"/>
      <c r="CS93" s="372"/>
      <c r="CT93" s="372"/>
      <c r="CU93" s="372"/>
      <c r="CV93" s="372"/>
      <c r="CW93" s="372"/>
      <c r="CX93" s="372"/>
      <c r="CY93" s="372"/>
      <c r="CZ93" s="372"/>
      <c r="DA93" s="372"/>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row>
    <row r="94" spans="1:237" ht="14.15" customHeight="1">
      <c r="A94" s="6"/>
      <c r="B94" s="6"/>
      <c r="C94" s="6"/>
      <c r="D94" s="6"/>
      <c r="E94" s="6"/>
      <c r="F94" s="6"/>
      <c r="G94" s="6"/>
      <c r="H94" s="6"/>
      <c r="I94" s="6"/>
      <c r="J94" s="6"/>
      <c r="K94" s="6"/>
      <c r="L94" s="6"/>
      <c r="M94" s="6"/>
      <c r="N94" s="14"/>
      <c r="O94" s="14"/>
      <c r="P94" s="14"/>
      <c r="Q94" s="573"/>
      <c r="R94" s="343"/>
      <c r="S94" s="343"/>
      <c r="T94" s="343"/>
      <c r="U94" s="343"/>
      <c r="V94" s="343"/>
      <c r="W94" s="343"/>
      <c r="X94" s="372"/>
      <c r="Y94" s="372"/>
      <c r="Z94" s="372"/>
      <c r="AA94" s="372"/>
      <c r="AB94" s="372"/>
      <c r="AC94" s="372"/>
      <c r="AD94" s="372"/>
      <c r="AE94" s="372"/>
      <c r="AF94" s="372"/>
      <c r="AG94" s="372"/>
      <c r="AH94" s="372"/>
      <c r="AI94" s="372"/>
      <c r="AJ94" s="372"/>
      <c r="AK94" s="372"/>
      <c r="AL94" s="372"/>
      <c r="AM94" s="372"/>
      <c r="AN94" s="372"/>
      <c r="AO94" s="372"/>
      <c r="AP94" s="372"/>
      <c r="AQ94" s="372"/>
      <c r="AR94" s="372"/>
      <c r="AS94" s="372"/>
      <c r="AT94" s="372"/>
      <c r="AU94" s="372"/>
      <c r="AV94" s="372"/>
      <c r="AW94" s="372"/>
      <c r="AX94" s="372"/>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c r="BW94" s="372"/>
      <c r="BX94" s="372"/>
      <c r="BY94" s="372"/>
      <c r="BZ94" s="372"/>
      <c r="CA94" s="372"/>
      <c r="CB94" s="372"/>
      <c r="CC94" s="372"/>
      <c r="CD94" s="372"/>
      <c r="CE94" s="372"/>
      <c r="CF94" s="372"/>
      <c r="CG94" s="372"/>
      <c r="CH94" s="372"/>
      <c r="CI94" s="372"/>
      <c r="CJ94" s="372"/>
      <c r="CK94" s="372"/>
      <c r="CL94" s="372"/>
      <c r="CM94" s="372"/>
      <c r="CN94" s="372"/>
      <c r="CO94" s="372"/>
      <c r="CP94" s="372"/>
      <c r="CQ94" s="372"/>
      <c r="CR94" s="372"/>
      <c r="CS94" s="372"/>
      <c r="CT94" s="372"/>
      <c r="CU94" s="372"/>
      <c r="CV94" s="372"/>
      <c r="CW94" s="372"/>
      <c r="CX94" s="372"/>
      <c r="CY94" s="372"/>
      <c r="CZ94" s="372"/>
      <c r="DA94" s="372"/>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row>
    <row r="95" spans="1:237" ht="14.15" customHeight="1">
      <c r="A95" s="6"/>
      <c r="B95" s="6"/>
      <c r="C95" s="6"/>
      <c r="D95" s="6"/>
      <c r="E95" s="6"/>
      <c r="F95" s="6"/>
      <c r="G95" s="6"/>
      <c r="H95" s="6"/>
      <c r="I95" s="6"/>
      <c r="J95" s="6"/>
      <c r="K95" s="6"/>
      <c r="L95" s="6"/>
      <c r="M95" s="6"/>
      <c r="N95" s="14"/>
      <c r="O95" s="14"/>
      <c r="P95" s="14"/>
      <c r="Q95" s="573"/>
      <c r="R95" s="343"/>
      <c r="S95" s="343"/>
      <c r="T95" s="343"/>
      <c r="U95" s="343"/>
      <c r="V95" s="343"/>
      <c r="W95" s="343"/>
      <c r="X95" s="372"/>
      <c r="Y95" s="372"/>
      <c r="Z95" s="372"/>
      <c r="AA95" s="372"/>
      <c r="AB95" s="372"/>
      <c r="AC95" s="372"/>
      <c r="AD95" s="372"/>
      <c r="AE95" s="372"/>
      <c r="AF95" s="372"/>
      <c r="AG95" s="372"/>
      <c r="AH95" s="372"/>
      <c r="AI95" s="372"/>
      <c r="AJ95" s="372"/>
      <c r="AK95" s="372"/>
      <c r="AL95" s="372"/>
      <c r="AM95" s="372"/>
      <c r="AN95" s="372"/>
      <c r="AO95" s="372"/>
      <c r="AP95" s="372"/>
      <c r="AQ95" s="372"/>
      <c r="AR95" s="372"/>
      <c r="AS95" s="372"/>
      <c r="AT95" s="372"/>
      <c r="AU95" s="372"/>
      <c r="AV95" s="372"/>
      <c r="AW95" s="372"/>
      <c r="AX95" s="372"/>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c r="BW95" s="372"/>
      <c r="BX95" s="372"/>
      <c r="BY95" s="372"/>
      <c r="BZ95" s="372"/>
      <c r="CA95" s="372"/>
      <c r="CB95" s="372"/>
      <c r="CC95" s="372"/>
      <c r="CD95" s="372"/>
      <c r="CE95" s="372"/>
      <c r="CF95" s="372"/>
      <c r="CG95" s="372"/>
      <c r="CH95" s="372"/>
      <c r="CI95" s="372"/>
      <c r="CJ95" s="372"/>
      <c r="CK95" s="372"/>
      <c r="CL95" s="372"/>
      <c r="CM95" s="372"/>
      <c r="CN95" s="372"/>
      <c r="CO95" s="372"/>
      <c r="CP95" s="372"/>
      <c r="CQ95" s="372"/>
      <c r="CR95" s="372"/>
      <c r="CS95" s="372"/>
      <c r="CT95" s="372"/>
      <c r="CU95" s="372"/>
      <c r="CV95" s="372"/>
      <c r="CW95" s="372"/>
      <c r="CX95" s="372"/>
      <c r="CY95" s="372"/>
      <c r="CZ95" s="372"/>
      <c r="DA95" s="372"/>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row>
    <row r="96" spans="1:237" ht="14.15" customHeight="1">
      <c r="A96" s="6"/>
      <c r="B96" s="6"/>
      <c r="C96" s="6"/>
      <c r="D96" s="6"/>
      <c r="E96" s="6"/>
      <c r="F96" s="6"/>
      <c r="G96" s="6"/>
      <c r="H96" s="6"/>
      <c r="I96" s="6"/>
      <c r="J96" s="6"/>
      <c r="K96" s="6"/>
      <c r="L96" s="6"/>
      <c r="M96" s="6"/>
      <c r="N96" s="14"/>
      <c r="O96" s="14"/>
      <c r="P96" s="14"/>
      <c r="Q96" s="573"/>
      <c r="R96" s="343"/>
      <c r="S96" s="343"/>
      <c r="T96" s="343"/>
      <c r="U96" s="343"/>
      <c r="V96" s="343"/>
      <c r="W96" s="343"/>
      <c r="X96" s="372"/>
      <c r="Y96" s="372"/>
      <c r="Z96" s="372"/>
      <c r="AA96" s="372"/>
      <c r="AB96" s="372"/>
      <c r="AC96" s="372"/>
      <c r="AD96" s="372"/>
      <c r="AE96" s="372"/>
      <c r="AF96" s="372"/>
      <c r="AG96" s="372"/>
      <c r="AH96" s="372"/>
      <c r="AI96" s="372"/>
      <c r="AJ96" s="372"/>
      <c r="AK96" s="372"/>
      <c r="AL96" s="372"/>
      <c r="AM96" s="372"/>
      <c r="AN96" s="372"/>
      <c r="AO96" s="372"/>
      <c r="AP96" s="372"/>
      <c r="AQ96" s="372"/>
      <c r="AR96" s="372"/>
      <c r="AS96" s="372"/>
      <c r="AT96" s="372"/>
      <c r="AU96" s="372"/>
      <c r="AV96" s="372"/>
      <c r="AW96" s="372"/>
      <c r="AX96" s="372"/>
      <c r="AY96" s="372"/>
      <c r="AZ96" s="372"/>
      <c r="BA96" s="372"/>
      <c r="BB96" s="372"/>
      <c r="BC96" s="372"/>
      <c r="BD96" s="372"/>
      <c r="BE96" s="372"/>
      <c r="BF96" s="372"/>
      <c r="BG96" s="372"/>
      <c r="BH96" s="372"/>
      <c r="BI96" s="372"/>
      <c r="BJ96" s="372"/>
      <c r="BK96" s="372"/>
      <c r="BL96" s="372"/>
      <c r="BM96" s="372"/>
      <c r="BN96" s="372"/>
      <c r="BO96" s="372"/>
      <c r="BP96" s="372"/>
      <c r="BQ96" s="372"/>
      <c r="BR96" s="372"/>
      <c r="BS96" s="372"/>
      <c r="BT96" s="372"/>
      <c r="BU96" s="372"/>
      <c r="BV96" s="372"/>
      <c r="BW96" s="372"/>
      <c r="BX96" s="372"/>
      <c r="BY96" s="372"/>
      <c r="BZ96" s="372"/>
      <c r="CA96" s="372"/>
      <c r="CB96" s="372"/>
      <c r="CC96" s="372"/>
      <c r="CD96" s="372"/>
      <c r="CE96" s="372"/>
      <c r="CF96" s="372"/>
      <c r="CG96" s="372"/>
      <c r="CH96" s="372"/>
      <c r="CI96" s="372"/>
      <c r="CJ96" s="372"/>
      <c r="CK96" s="372"/>
      <c r="CL96" s="372"/>
      <c r="CM96" s="372"/>
      <c r="CN96" s="372"/>
      <c r="CO96" s="372"/>
      <c r="CP96" s="372"/>
      <c r="CQ96" s="372"/>
      <c r="CR96" s="372"/>
      <c r="CS96" s="372"/>
      <c r="CT96" s="372"/>
      <c r="CU96" s="372"/>
      <c r="CV96" s="372"/>
      <c r="CW96" s="372"/>
      <c r="CX96" s="372"/>
      <c r="CY96" s="372"/>
      <c r="CZ96" s="372"/>
      <c r="DA96" s="372"/>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row>
    <row r="97" spans="1:237" ht="14.15" customHeight="1">
      <c r="A97" s="6"/>
      <c r="B97" s="6"/>
      <c r="C97" s="6"/>
      <c r="D97" s="6"/>
      <c r="E97" s="6"/>
      <c r="F97" s="6"/>
      <c r="G97" s="6"/>
      <c r="H97" s="6"/>
      <c r="I97" s="6"/>
      <c r="J97" s="6"/>
      <c r="K97" s="6"/>
      <c r="L97" s="6"/>
      <c r="M97" s="6"/>
      <c r="N97" s="14"/>
      <c r="O97" s="14"/>
      <c r="P97" s="14"/>
      <c r="Q97" s="573"/>
      <c r="R97" s="343"/>
      <c r="S97" s="343"/>
      <c r="T97" s="343"/>
      <c r="U97" s="343"/>
      <c r="V97" s="343"/>
      <c r="W97" s="343"/>
      <c r="X97" s="372"/>
      <c r="Y97" s="372"/>
      <c r="Z97" s="372"/>
      <c r="AA97" s="372"/>
      <c r="AB97" s="372"/>
      <c r="AC97" s="372"/>
      <c r="AD97" s="372"/>
      <c r="AE97" s="372"/>
      <c r="AF97" s="372"/>
      <c r="AG97" s="372"/>
      <c r="AH97" s="372"/>
      <c r="AI97" s="372"/>
      <c r="AJ97" s="372"/>
      <c r="AK97" s="372"/>
      <c r="AL97" s="372"/>
      <c r="AM97" s="372"/>
      <c r="AN97" s="372"/>
      <c r="AO97" s="372"/>
      <c r="AP97" s="372"/>
      <c r="AQ97" s="372"/>
      <c r="AR97" s="372"/>
      <c r="AS97" s="372"/>
      <c r="AT97" s="372"/>
      <c r="AU97" s="372"/>
      <c r="AV97" s="372"/>
      <c r="AW97" s="372"/>
      <c r="AX97" s="372"/>
      <c r="AY97" s="372"/>
      <c r="AZ97" s="372"/>
      <c r="BA97" s="372"/>
      <c r="BB97" s="372"/>
      <c r="BC97" s="372"/>
      <c r="BD97" s="372"/>
      <c r="BE97" s="372"/>
      <c r="BF97" s="372"/>
      <c r="BG97" s="372"/>
      <c r="BH97" s="372"/>
      <c r="BI97" s="372"/>
      <c r="BJ97" s="372"/>
      <c r="BK97" s="372"/>
      <c r="BL97" s="372"/>
      <c r="BM97" s="372"/>
      <c r="BN97" s="372"/>
      <c r="BO97" s="372"/>
      <c r="BP97" s="372"/>
      <c r="BQ97" s="372"/>
      <c r="BR97" s="372"/>
      <c r="BS97" s="372"/>
      <c r="BT97" s="372"/>
      <c r="BU97" s="372"/>
      <c r="BV97" s="372"/>
      <c r="BW97" s="372"/>
      <c r="BX97" s="372"/>
      <c r="BY97" s="372"/>
      <c r="BZ97" s="372"/>
      <c r="CA97" s="372"/>
      <c r="CB97" s="372"/>
      <c r="CC97" s="372"/>
      <c r="CD97" s="372"/>
      <c r="CE97" s="372"/>
      <c r="CF97" s="372"/>
      <c r="CG97" s="372"/>
      <c r="CH97" s="372"/>
      <c r="CI97" s="372"/>
      <c r="CJ97" s="372"/>
      <c r="CK97" s="372"/>
      <c r="CL97" s="372"/>
      <c r="CM97" s="372"/>
      <c r="CN97" s="372"/>
      <c r="CO97" s="372"/>
      <c r="CP97" s="372"/>
      <c r="CQ97" s="372"/>
      <c r="CR97" s="372"/>
      <c r="CS97" s="372"/>
      <c r="CT97" s="372"/>
      <c r="CU97" s="372"/>
      <c r="CV97" s="372"/>
      <c r="CW97" s="372"/>
      <c r="CX97" s="372"/>
      <c r="CY97" s="372"/>
      <c r="CZ97" s="372"/>
      <c r="DA97" s="372"/>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row>
    <row r="98" spans="1:237" ht="14.15" customHeight="1">
      <c r="A98" s="6"/>
      <c r="B98" s="6"/>
      <c r="C98" s="6"/>
      <c r="D98" s="6"/>
      <c r="E98" s="6"/>
      <c r="F98" s="6"/>
      <c r="G98" s="6"/>
      <c r="H98" s="6"/>
      <c r="I98" s="6"/>
      <c r="J98" s="6"/>
      <c r="K98" s="6"/>
      <c r="L98" s="6"/>
      <c r="M98" s="6"/>
      <c r="N98" s="14"/>
      <c r="O98" s="14"/>
      <c r="P98" s="14"/>
      <c r="Q98" s="573"/>
      <c r="R98" s="343"/>
      <c r="S98" s="343"/>
      <c r="T98" s="343"/>
      <c r="U98" s="343"/>
      <c r="V98" s="343"/>
      <c r="W98" s="343"/>
      <c r="X98" s="372"/>
      <c r="Y98" s="372"/>
      <c r="Z98" s="372"/>
      <c r="AA98" s="372"/>
      <c r="AB98" s="372"/>
      <c r="AC98" s="372"/>
      <c r="AD98" s="372"/>
      <c r="AE98" s="372"/>
      <c r="AF98" s="372"/>
      <c r="AG98" s="372"/>
      <c r="AH98" s="372"/>
      <c r="AI98" s="372"/>
      <c r="AJ98" s="372"/>
      <c r="AK98" s="372"/>
      <c r="AL98" s="372"/>
      <c r="AM98" s="372"/>
      <c r="AN98" s="372"/>
      <c r="AO98" s="372"/>
      <c r="AP98" s="372"/>
      <c r="AQ98" s="372"/>
      <c r="AR98" s="372"/>
      <c r="AS98" s="372"/>
      <c r="AT98" s="372"/>
      <c r="AU98" s="372"/>
      <c r="AV98" s="372"/>
      <c r="AW98" s="372"/>
      <c r="AX98" s="372"/>
      <c r="AY98" s="372"/>
      <c r="AZ98" s="372"/>
      <c r="BA98" s="372"/>
      <c r="BB98" s="372"/>
      <c r="BC98" s="372"/>
      <c r="BD98" s="372"/>
      <c r="BE98" s="372"/>
      <c r="BF98" s="372"/>
      <c r="BG98" s="372"/>
      <c r="BH98" s="372"/>
      <c r="BI98" s="372"/>
      <c r="BJ98" s="372"/>
      <c r="BK98" s="372"/>
      <c r="BL98" s="372"/>
      <c r="BM98" s="372"/>
      <c r="BN98" s="372"/>
      <c r="BO98" s="372"/>
      <c r="BP98" s="372"/>
      <c r="BQ98" s="372"/>
      <c r="BR98" s="372"/>
      <c r="BS98" s="372"/>
      <c r="BT98" s="372"/>
      <c r="BU98" s="372"/>
      <c r="BV98" s="372"/>
      <c r="BW98" s="372"/>
      <c r="BX98" s="372"/>
      <c r="BY98" s="372"/>
      <c r="BZ98" s="372"/>
      <c r="CA98" s="372"/>
      <c r="CB98" s="372"/>
      <c r="CC98" s="372"/>
      <c r="CD98" s="372"/>
      <c r="CE98" s="372"/>
      <c r="CF98" s="372"/>
      <c r="CG98" s="372"/>
      <c r="CH98" s="372"/>
      <c r="CI98" s="372"/>
      <c r="CJ98" s="372"/>
      <c r="CK98" s="372"/>
      <c r="CL98" s="372"/>
      <c r="CM98" s="372"/>
      <c r="CN98" s="372"/>
      <c r="CO98" s="372"/>
      <c r="CP98" s="372"/>
      <c r="CQ98" s="372"/>
      <c r="CR98" s="372"/>
      <c r="CS98" s="372"/>
      <c r="CT98" s="372"/>
      <c r="CU98" s="372"/>
      <c r="CV98" s="372"/>
      <c r="CW98" s="372"/>
      <c r="CX98" s="372"/>
      <c r="CY98" s="372"/>
      <c r="CZ98" s="372"/>
      <c r="DA98" s="372"/>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row>
    <row r="99" spans="1:237" ht="14.15" customHeight="1">
      <c r="A99" s="6"/>
      <c r="B99" s="6"/>
      <c r="C99" s="6"/>
      <c r="D99" s="6"/>
      <c r="E99" s="6"/>
      <c r="F99" s="6"/>
      <c r="G99" s="6"/>
      <c r="H99" s="6"/>
      <c r="I99" s="6"/>
      <c r="J99" s="6"/>
      <c r="K99" s="6"/>
      <c r="L99" s="6"/>
      <c r="M99" s="6"/>
      <c r="N99" s="14"/>
      <c r="O99" s="14"/>
      <c r="P99" s="14"/>
      <c r="Q99" s="573"/>
      <c r="R99" s="343"/>
      <c r="S99" s="343"/>
      <c r="T99" s="343"/>
      <c r="U99" s="343"/>
      <c r="V99" s="343"/>
      <c r="W99" s="343"/>
      <c r="X99" s="372"/>
      <c r="Y99" s="372"/>
      <c r="Z99" s="372"/>
      <c r="AA99" s="372"/>
      <c r="AB99" s="372"/>
      <c r="AC99" s="372"/>
      <c r="AD99" s="372"/>
      <c r="AE99" s="372"/>
      <c r="AF99" s="372"/>
      <c r="AG99" s="372"/>
      <c r="AH99" s="372"/>
      <c r="AI99" s="372"/>
      <c r="AJ99" s="372"/>
      <c r="AK99" s="372"/>
      <c r="AL99" s="372"/>
      <c r="AM99" s="372"/>
      <c r="AN99" s="372"/>
      <c r="AO99" s="372"/>
      <c r="AP99" s="372"/>
      <c r="AQ99" s="372"/>
      <c r="AR99" s="372"/>
      <c r="AS99" s="372"/>
      <c r="AT99" s="372"/>
      <c r="AU99" s="372"/>
      <c r="AV99" s="372"/>
      <c r="AW99" s="372"/>
      <c r="AX99" s="372"/>
      <c r="AY99" s="372"/>
      <c r="AZ99" s="372"/>
      <c r="BA99" s="372"/>
      <c r="BB99" s="372"/>
      <c r="BC99" s="372"/>
      <c r="BD99" s="372"/>
      <c r="BE99" s="372"/>
      <c r="BF99" s="372"/>
      <c r="BG99" s="372"/>
      <c r="BH99" s="372"/>
      <c r="BI99" s="372"/>
      <c r="BJ99" s="372"/>
      <c r="BK99" s="372"/>
      <c r="BL99" s="372"/>
      <c r="BM99" s="372"/>
      <c r="BN99" s="372"/>
      <c r="BO99" s="372"/>
      <c r="BP99" s="372"/>
      <c r="BQ99" s="372"/>
      <c r="BR99" s="372"/>
      <c r="BS99" s="372"/>
      <c r="BT99" s="372"/>
      <c r="BU99" s="372"/>
      <c r="BV99" s="372"/>
      <c r="BW99" s="372"/>
      <c r="BX99" s="372"/>
      <c r="BY99" s="372"/>
      <c r="BZ99" s="372"/>
      <c r="CA99" s="372"/>
      <c r="CB99" s="372"/>
      <c r="CC99" s="372"/>
      <c r="CD99" s="372"/>
      <c r="CE99" s="372"/>
      <c r="CF99" s="372"/>
      <c r="CG99" s="372"/>
      <c r="CH99" s="372"/>
      <c r="CI99" s="372"/>
      <c r="CJ99" s="372"/>
      <c r="CK99" s="372"/>
      <c r="CL99" s="372"/>
      <c r="CM99" s="372"/>
      <c r="CN99" s="372"/>
      <c r="CO99" s="372"/>
      <c r="CP99" s="372"/>
      <c r="CQ99" s="372"/>
      <c r="CR99" s="372"/>
      <c r="CS99" s="372"/>
      <c r="CT99" s="372"/>
      <c r="CU99" s="372"/>
      <c r="CV99" s="372"/>
      <c r="CW99" s="372"/>
      <c r="CX99" s="372"/>
      <c r="CY99" s="372"/>
      <c r="CZ99" s="372"/>
      <c r="DA99" s="372"/>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row>
    <row r="100" spans="1:237" ht="14.15" customHeight="1">
      <c r="A100" s="6"/>
      <c r="B100" s="6"/>
      <c r="C100" s="6"/>
      <c r="D100" s="6"/>
      <c r="E100" s="6"/>
      <c r="F100" s="6"/>
      <c r="G100" s="6"/>
      <c r="H100" s="6"/>
      <c r="I100" s="6"/>
      <c r="J100" s="6"/>
      <c r="K100" s="6"/>
      <c r="L100" s="6"/>
      <c r="M100" s="6"/>
      <c r="N100" s="14"/>
      <c r="O100" s="14"/>
      <c r="P100" s="14"/>
      <c r="Q100" s="573"/>
      <c r="R100" s="343"/>
      <c r="S100" s="343"/>
      <c r="T100" s="343"/>
      <c r="U100" s="343"/>
      <c r="V100" s="343"/>
      <c r="W100" s="343"/>
      <c r="X100" s="372"/>
      <c r="Y100" s="372"/>
      <c r="Z100" s="372"/>
      <c r="AA100" s="372"/>
      <c r="AB100" s="372"/>
      <c r="AC100" s="372"/>
      <c r="AD100" s="372"/>
      <c r="AE100" s="372"/>
      <c r="AF100" s="372"/>
      <c r="AG100" s="372"/>
      <c r="AH100" s="372"/>
      <c r="AI100" s="372"/>
      <c r="AJ100" s="372"/>
      <c r="AK100" s="372"/>
      <c r="AL100" s="372"/>
      <c r="AM100" s="372"/>
      <c r="AN100" s="372"/>
      <c r="AO100" s="372"/>
      <c r="AP100" s="372"/>
      <c r="AQ100" s="372"/>
      <c r="AR100" s="372"/>
      <c r="AS100" s="372"/>
      <c r="AT100" s="372"/>
      <c r="AU100" s="372"/>
      <c r="AV100" s="372"/>
      <c r="AW100" s="372"/>
      <c r="AX100" s="372"/>
      <c r="AY100" s="372"/>
      <c r="AZ100" s="372"/>
      <c r="BA100" s="372"/>
      <c r="BB100" s="372"/>
      <c r="BC100" s="372"/>
      <c r="BD100" s="372"/>
      <c r="BE100" s="372"/>
      <c r="BF100" s="372"/>
      <c r="BG100" s="372"/>
      <c r="BH100" s="372"/>
      <c r="BI100" s="372"/>
      <c r="BJ100" s="372"/>
      <c r="BK100" s="372"/>
      <c r="BL100" s="372"/>
      <c r="BM100" s="372"/>
      <c r="BN100" s="372"/>
      <c r="BO100" s="372"/>
      <c r="BP100" s="372"/>
      <c r="BQ100" s="372"/>
      <c r="BR100" s="372"/>
      <c r="BS100" s="372"/>
      <c r="BT100" s="372"/>
      <c r="BU100" s="372"/>
      <c r="BV100" s="372"/>
      <c r="BW100" s="372"/>
      <c r="BX100" s="372"/>
      <c r="BY100" s="372"/>
      <c r="BZ100" s="372"/>
      <c r="CA100" s="372"/>
      <c r="CB100" s="372"/>
      <c r="CC100" s="372"/>
      <c r="CD100" s="372"/>
      <c r="CE100" s="372"/>
      <c r="CF100" s="372"/>
      <c r="CG100" s="372"/>
      <c r="CH100" s="372"/>
      <c r="CI100" s="372"/>
      <c r="CJ100" s="372"/>
      <c r="CK100" s="372"/>
      <c r="CL100" s="372"/>
      <c r="CM100" s="372"/>
      <c r="CN100" s="372"/>
      <c r="CO100" s="372"/>
      <c r="CP100" s="372"/>
      <c r="CQ100" s="372"/>
      <c r="CR100" s="372"/>
      <c r="CS100" s="372"/>
      <c r="CT100" s="372"/>
      <c r="CU100" s="372"/>
      <c r="CV100" s="372"/>
      <c r="CW100" s="372"/>
      <c r="CX100" s="372"/>
      <c r="CY100" s="372"/>
      <c r="CZ100" s="372"/>
      <c r="DA100" s="372"/>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row>
    <row r="101" spans="1:237" ht="14.15" customHeight="1">
      <c r="A101" s="6"/>
      <c r="B101" s="6"/>
      <c r="C101" s="6"/>
      <c r="D101" s="6"/>
      <c r="E101" s="6"/>
      <c r="F101" s="6"/>
      <c r="G101" s="6"/>
      <c r="H101" s="6"/>
      <c r="I101" s="6"/>
      <c r="J101" s="6"/>
      <c r="K101" s="6"/>
      <c r="L101" s="6"/>
      <c r="M101" s="6"/>
      <c r="N101" s="14"/>
      <c r="O101" s="14"/>
      <c r="P101" s="14"/>
      <c r="Q101" s="573"/>
      <c r="R101" s="343"/>
      <c r="S101" s="343"/>
      <c r="T101" s="343"/>
      <c r="U101" s="343"/>
      <c r="V101" s="343"/>
      <c r="W101" s="343"/>
      <c r="X101" s="372"/>
      <c r="Y101" s="372"/>
      <c r="Z101" s="372"/>
      <c r="AA101" s="372"/>
      <c r="AB101" s="372"/>
      <c r="AC101" s="372"/>
      <c r="AD101" s="372"/>
      <c r="AE101" s="372"/>
      <c r="AF101" s="372"/>
      <c r="AG101" s="372"/>
      <c r="AH101" s="372"/>
      <c r="AI101" s="372"/>
      <c r="AJ101" s="372"/>
      <c r="AK101" s="372"/>
      <c r="AL101" s="372"/>
      <c r="AM101" s="372"/>
      <c r="AN101" s="372"/>
      <c r="AO101" s="372"/>
      <c r="AP101" s="372"/>
      <c r="AQ101" s="372"/>
      <c r="AR101" s="372"/>
      <c r="AS101" s="372"/>
      <c r="AT101" s="372"/>
      <c r="AU101" s="372"/>
      <c r="AV101" s="372"/>
      <c r="AW101" s="372"/>
      <c r="AX101" s="372"/>
      <c r="AY101" s="372"/>
      <c r="AZ101" s="372"/>
      <c r="BA101" s="372"/>
      <c r="BB101" s="372"/>
      <c r="BC101" s="372"/>
      <c r="BD101" s="372"/>
      <c r="BE101" s="372"/>
      <c r="BF101" s="372"/>
      <c r="BG101" s="372"/>
      <c r="BH101" s="372"/>
      <c r="BI101" s="372"/>
      <c r="BJ101" s="372"/>
      <c r="BK101" s="372"/>
      <c r="BL101" s="372"/>
      <c r="BM101" s="372"/>
      <c r="BN101" s="372"/>
      <c r="BO101" s="372"/>
      <c r="BP101" s="372"/>
      <c r="BQ101" s="372"/>
      <c r="BR101" s="372"/>
      <c r="BS101" s="372"/>
      <c r="BT101" s="372"/>
      <c r="BU101" s="372"/>
      <c r="BV101" s="372"/>
      <c r="BW101" s="372"/>
      <c r="BX101" s="372"/>
      <c r="BY101" s="372"/>
      <c r="BZ101" s="372"/>
      <c r="CA101" s="372"/>
      <c r="CB101" s="372"/>
      <c r="CC101" s="372"/>
      <c r="CD101" s="372"/>
      <c r="CE101" s="372"/>
      <c r="CF101" s="372"/>
      <c r="CG101" s="372"/>
      <c r="CH101" s="372"/>
      <c r="CI101" s="372"/>
      <c r="CJ101" s="372"/>
      <c r="CK101" s="372"/>
      <c r="CL101" s="372"/>
      <c r="CM101" s="372"/>
      <c r="CN101" s="372"/>
      <c r="CO101" s="372"/>
      <c r="CP101" s="372"/>
      <c r="CQ101" s="372"/>
      <c r="CR101" s="372"/>
      <c r="CS101" s="372"/>
      <c r="CT101" s="372"/>
      <c r="CU101" s="372"/>
      <c r="CV101" s="372"/>
      <c r="CW101" s="372"/>
      <c r="CX101" s="372"/>
      <c r="CY101" s="372"/>
      <c r="CZ101" s="372"/>
      <c r="DA101" s="372"/>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row>
    <row r="102" spans="1:237" ht="14.15" customHeight="1">
      <c r="A102" s="6"/>
      <c r="B102" s="6"/>
      <c r="C102" s="6"/>
      <c r="D102" s="6"/>
      <c r="E102" s="6"/>
      <c r="F102" s="6"/>
      <c r="G102" s="6"/>
      <c r="H102" s="6"/>
      <c r="I102" s="6"/>
      <c r="J102" s="6"/>
      <c r="K102" s="6"/>
      <c r="L102" s="6"/>
      <c r="M102" s="6"/>
      <c r="N102" s="14"/>
      <c r="O102" s="14"/>
      <c r="P102" s="14"/>
      <c r="Q102" s="573"/>
      <c r="R102" s="343"/>
      <c r="S102" s="343"/>
      <c r="T102" s="343"/>
      <c r="U102" s="343"/>
      <c r="V102" s="343"/>
      <c r="W102" s="343"/>
      <c r="X102" s="372"/>
      <c r="Y102" s="372"/>
      <c r="Z102" s="372"/>
      <c r="AA102" s="372"/>
      <c r="AB102" s="372"/>
      <c r="AC102" s="372"/>
      <c r="AD102" s="372"/>
      <c r="AE102" s="372"/>
      <c r="AF102" s="372"/>
      <c r="AG102" s="372"/>
      <c r="AH102" s="372"/>
      <c r="AI102" s="372"/>
      <c r="AJ102" s="372"/>
      <c r="AK102" s="372"/>
      <c r="AL102" s="372"/>
      <c r="AM102" s="372"/>
      <c r="AN102" s="372"/>
      <c r="AO102" s="372"/>
      <c r="AP102" s="372"/>
      <c r="AQ102" s="372"/>
      <c r="AR102" s="372"/>
      <c r="AS102" s="372"/>
      <c r="AT102" s="372"/>
      <c r="AU102" s="372"/>
      <c r="AV102" s="372"/>
      <c r="AW102" s="372"/>
      <c r="AX102" s="372"/>
      <c r="AY102" s="372"/>
      <c r="AZ102" s="372"/>
      <c r="BA102" s="372"/>
      <c r="BB102" s="372"/>
      <c r="BC102" s="372"/>
      <c r="BD102" s="372"/>
      <c r="BE102" s="372"/>
      <c r="BF102" s="372"/>
      <c r="BG102" s="372"/>
      <c r="BH102" s="372"/>
      <c r="BI102" s="372"/>
      <c r="BJ102" s="372"/>
      <c r="BK102" s="372"/>
      <c r="BL102" s="372"/>
      <c r="BM102" s="372"/>
      <c r="BN102" s="372"/>
      <c r="BO102" s="372"/>
      <c r="BP102" s="372"/>
      <c r="BQ102" s="372"/>
      <c r="BR102" s="372"/>
      <c r="BS102" s="372"/>
      <c r="BT102" s="372"/>
      <c r="BU102" s="372"/>
      <c r="BV102" s="372"/>
      <c r="BW102" s="372"/>
      <c r="BX102" s="372"/>
      <c r="BY102" s="372"/>
      <c r="BZ102" s="372"/>
      <c r="CA102" s="372"/>
      <c r="CB102" s="372"/>
      <c r="CC102" s="372"/>
      <c r="CD102" s="372"/>
      <c r="CE102" s="372"/>
      <c r="CF102" s="372"/>
      <c r="CG102" s="372"/>
      <c r="CH102" s="372"/>
      <c r="CI102" s="372"/>
      <c r="CJ102" s="372"/>
      <c r="CK102" s="372"/>
      <c r="CL102" s="372"/>
      <c r="CM102" s="372"/>
      <c r="CN102" s="372"/>
      <c r="CO102" s="372"/>
      <c r="CP102" s="372"/>
      <c r="CQ102" s="372"/>
      <c r="CR102" s="372"/>
      <c r="CS102" s="372"/>
      <c r="CT102" s="372"/>
      <c r="CU102" s="372"/>
      <c r="CV102" s="372"/>
      <c r="CW102" s="372"/>
      <c r="CX102" s="372"/>
      <c r="CY102" s="372"/>
      <c r="CZ102" s="372"/>
      <c r="DA102" s="372"/>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row>
    <row r="103" spans="1:237" ht="14.15" customHeight="1">
      <c r="A103" s="6"/>
      <c r="B103" s="6"/>
      <c r="C103" s="6"/>
      <c r="D103" s="6"/>
      <c r="E103" s="6"/>
      <c r="F103" s="6"/>
      <c r="G103" s="6"/>
      <c r="H103" s="6"/>
      <c r="I103" s="6"/>
      <c r="J103" s="6"/>
      <c r="K103" s="6"/>
      <c r="L103" s="6"/>
      <c r="M103" s="6"/>
      <c r="N103" s="14"/>
      <c r="O103" s="14"/>
      <c r="P103" s="14"/>
      <c r="Q103" s="573"/>
      <c r="R103" s="343"/>
      <c r="S103" s="343"/>
      <c r="T103" s="343"/>
      <c r="U103" s="343"/>
      <c r="V103" s="343"/>
      <c r="W103" s="343"/>
      <c r="X103" s="372"/>
      <c r="Y103" s="372"/>
      <c r="Z103" s="372"/>
      <c r="AA103" s="372"/>
      <c r="AB103" s="372"/>
      <c r="AC103" s="372"/>
      <c r="AD103" s="372"/>
      <c r="AE103" s="372"/>
      <c r="AF103" s="372"/>
      <c r="AG103" s="372"/>
      <c r="AH103" s="372"/>
      <c r="AI103" s="372"/>
      <c r="AJ103" s="372"/>
      <c r="AK103" s="372"/>
      <c r="AL103" s="372"/>
      <c r="AM103" s="372"/>
      <c r="AN103" s="372"/>
      <c r="AO103" s="372"/>
      <c r="AP103" s="372"/>
      <c r="AQ103" s="372"/>
      <c r="AR103" s="372"/>
      <c r="AS103" s="372"/>
      <c r="AT103" s="372"/>
      <c r="AU103" s="372"/>
      <c r="AV103" s="372"/>
      <c r="AW103" s="372"/>
      <c r="AX103" s="372"/>
      <c r="AY103" s="372"/>
      <c r="AZ103" s="372"/>
      <c r="BA103" s="372"/>
      <c r="BB103" s="372"/>
      <c r="BC103" s="372"/>
      <c r="BD103" s="372"/>
      <c r="BE103" s="372"/>
      <c r="BF103" s="372"/>
      <c r="BG103" s="372"/>
      <c r="BH103" s="372"/>
      <c r="BI103" s="372"/>
      <c r="BJ103" s="372"/>
      <c r="BK103" s="372"/>
      <c r="BL103" s="372"/>
      <c r="BM103" s="372"/>
      <c r="BN103" s="372"/>
      <c r="BO103" s="372"/>
      <c r="BP103" s="372"/>
      <c r="BQ103" s="372"/>
      <c r="BR103" s="372"/>
      <c r="BS103" s="372"/>
      <c r="BT103" s="372"/>
      <c r="BU103" s="372"/>
      <c r="BV103" s="372"/>
      <c r="BW103" s="372"/>
      <c r="BX103" s="372"/>
      <c r="BY103" s="372"/>
      <c r="BZ103" s="372"/>
      <c r="CA103" s="372"/>
      <c r="CB103" s="372"/>
      <c r="CC103" s="372"/>
      <c r="CD103" s="372"/>
      <c r="CE103" s="372"/>
      <c r="CF103" s="372"/>
      <c r="CG103" s="372"/>
      <c r="CH103" s="372"/>
      <c r="CI103" s="372"/>
      <c r="CJ103" s="372"/>
      <c r="CK103" s="372"/>
      <c r="CL103" s="372"/>
      <c r="CM103" s="372"/>
      <c r="CN103" s="372"/>
      <c r="CO103" s="372"/>
      <c r="CP103" s="372"/>
      <c r="CQ103" s="372"/>
      <c r="CR103" s="372"/>
      <c r="CS103" s="372"/>
      <c r="CT103" s="372"/>
      <c r="CU103" s="372"/>
      <c r="CV103" s="372"/>
      <c r="CW103" s="372"/>
      <c r="CX103" s="372"/>
      <c r="CY103" s="372"/>
      <c r="CZ103" s="372"/>
      <c r="DA103" s="372"/>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row>
    <row r="104" spans="1:237" ht="14.15" customHeight="1">
      <c r="A104" s="6"/>
      <c r="B104" s="6"/>
      <c r="C104" s="6"/>
      <c r="D104" s="6"/>
      <c r="E104" s="6"/>
      <c r="F104" s="6"/>
      <c r="G104" s="6"/>
      <c r="H104" s="6"/>
      <c r="I104" s="6"/>
      <c r="J104" s="6"/>
      <c r="K104" s="6"/>
      <c r="L104" s="6"/>
      <c r="M104" s="6"/>
      <c r="N104" s="14"/>
      <c r="O104" s="14"/>
      <c r="P104" s="14"/>
      <c r="Q104" s="573"/>
      <c r="R104" s="343"/>
      <c r="S104" s="343"/>
      <c r="T104" s="343"/>
      <c r="U104" s="343"/>
      <c r="V104" s="343"/>
      <c r="W104" s="343"/>
      <c r="X104" s="372"/>
      <c r="Y104" s="372"/>
      <c r="Z104" s="372"/>
      <c r="AA104" s="372"/>
      <c r="AB104" s="372"/>
      <c r="AC104" s="372"/>
      <c r="AD104" s="372"/>
      <c r="AE104" s="372"/>
      <c r="AF104" s="372"/>
      <c r="AG104" s="372"/>
      <c r="AH104" s="372"/>
      <c r="AI104" s="372"/>
      <c r="AJ104" s="372"/>
      <c r="AK104" s="372"/>
      <c r="AL104" s="372"/>
      <c r="AM104" s="372"/>
      <c r="AN104" s="372"/>
      <c r="AO104" s="372"/>
      <c r="AP104" s="372"/>
      <c r="AQ104" s="372"/>
      <c r="AR104" s="372"/>
      <c r="AS104" s="372"/>
      <c r="AT104" s="372"/>
      <c r="AU104" s="372"/>
      <c r="AV104" s="372"/>
      <c r="AW104" s="372"/>
      <c r="AX104" s="372"/>
      <c r="AY104" s="372"/>
      <c r="AZ104" s="372"/>
      <c r="BA104" s="372"/>
      <c r="BB104" s="372"/>
      <c r="BC104" s="372"/>
      <c r="BD104" s="372"/>
      <c r="BE104" s="372"/>
      <c r="BF104" s="372"/>
      <c r="BG104" s="372"/>
      <c r="BH104" s="372"/>
      <c r="BI104" s="372"/>
      <c r="BJ104" s="372"/>
      <c r="BK104" s="372"/>
      <c r="BL104" s="372"/>
      <c r="BM104" s="372"/>
      <c r="BN104" s="372"/>
      <c r="BO104" s="372"/>
      <c r="BP104" s="372"/>
      <c r="BQ104" s="372"/>
      <c r="BR104" s="372"/>
      <c r="BS104" s="372"/>
      <c r="BT104" s="372"/>
      <c r="BU104" s="372"/>
      <c r="BV104" s="372"/>
      <c r="BW104" s="372"/>
      <c r="BX104" s="372"/>
      <c r="BY104" s="372"/>
      <c r="BZ104" s="372"/>
      <c r="CA104" s="372"/>
      <c r="CB104" s="372"/>
      <c r="CC104" s="372"/>
      <c r="CD104" s="372"/>
      <c r="CE104" s="372"/>
      <c r="CF104" s="372"/>
      <c r="CG104" s="372"/>
      <c r="CH104" s="372"/>
      <c r="CI104" s="372"/>
      <c r="CJ104" s="372"/>
      <c r="CK104" s="372"/>
      <c r="CL104" s="372"/>
      <c r="CM104" s="372"/>
      <c r="CN104" s="372"/>
      <c r="CO104" s="372"/>
      <c r="CP104" s="372"/>
      <c r="CQ104" s="372"/>
      <c r="CR104" s="372"/>
      <c r="CS104" s="372"/>
      <c r="CT104" s="372"/>
      <c r="CU104" s="372"/>
      <c r="CV104" s="372"/>
      <c r="CW104" s="372"/>
      <c r="CX104" s="372"/>
      <c r="CY104" s="372"/>
      <c r="CZ104" s="372"/>
      <c r="DA104" s="372"/>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row>
    <row r="105" spans="1:237" ht="14.15" customHeight="1">
      <c r="A105" s="6"/>
      <c r="B105" s="6"/>
      <c r="C105" s="6"/>
      <c r="D105" s="6"/>
      <c r="E105" s="6"/>
      <c r="F105" s="6"/>
      <c r="G105" s="6"/>
      <c r="H105" s="6"/>
      <c r="I105" s="6"/>
      <c r="J105" s="6"/>
      <c r="K105" s="6"/>
      <c r="L105" s="6"/>
      <c r="M105" s="6"/>
      <c r="N105" s="14"/>
      <c r="O105" s="14"/>
      <c r="P105" s="14"/>
      <c r="Q105" s="573"/>
      <c r="R105" s="343"/>
      <c r="S105" s="343"/>
      <c r="T105" s="343"/>
      <c r="U105" s="343"/>
      <c r="V105" s="343"/>
      <c r="W105" s="343"/>
      <c r="X105" s="372"/>
      <c r="Y105" s="372"/>
      <c r="Z105" s="372"/>
      <c r="AA105" s="372"/>
      <c r="AB105" s="372"/>
      <c r="AC105" s="372"/>
      <c r="AD105" s="372"/>
      <c r="AE105" s="372"/>
      <c r="AF105" s="372"/>
      <c r="AG105" s="372"/>
      <c r="AH105" s="372"/>
      <c r="AI105" s="372"/>
      <c r="AJ105" s="372"/>
      <c r="AK105" s="372"/>
      <c r="AL105" s="372"/>
      <c r="AM105" s="372"/>
      <c r="AN105" s="372"/>
      <c r="AO105" s="372"/>
      <c r="AP105" s="372"/>
      <c r="AQ105" s="372"/>
      <c r="AR105" s="372"/>
      <c r="AS105" s="372"/>
      <c r="AT105" s="372"/>
      <c r="AU105" s="372"/>
      <c r="AV105" s="372"/>
      <c r="AW105" s="372"/>
      <c r="AX105" s="372"/>
      <c r="AY105" s="372"/>
      <c r="AZ105" s="372"/>
      <c r="BA105" s="372"/>
      <c r="BB105" s="372"/>
      <c r="BC105" s="372"/>
      <c r="BD105" s="372"/>
      <c r="BE105" s="372"/>
      <c r="BF105" s="372"/>
      <c r="BG105" s="372"/>
      <c r="BH105" s="372"/>
      <c r="BI105" s="372"/>
      <c r="BJ105" s="372"/>
      <c r="BK105" s="372"/>
      <c r="BL105" s="372"/>
      <c r="BM105" s="372"/>
      <c r="BN105" s="372"/>
      <c r="BO105" s="372"/>
      <c r="BP105" s="372"/>
      <c r="BQ105" s="372"/>
      <c r="BR105" s="372"/>
      <c r="BS105" s="372"/>
      <c r="BT105" s="372"/>
      <c r="BU105" s="372"/>
      <c r="BV105" s="372"/>
      <c r="BW105" s="372"/>
      <c r="BX105" s="372"/>
      <c r="BY105" s="372"/>
      <c r="BZ105" s="372"/>
      <c r="CA105" s="372"/>
      <c r="CB105" s="372"/>
      <c r="CC105" s="372"/>
      <c r="CD105" s="372"/>
      <c r="CE105" s="372"/>
      <c r="CF105" s="372"/>
      <c r="CG105" s="372"/>
      <c r="CH105" s="372"/>
      <c r="CI105" s="372"/>
      <c r="CJ105" s="372"/>
      <c r="CK105" s="372"/>
      <c r="CL105" s="372"/>
      <c r="CM105" s="372"/>
      <c r="CN105" s="372"/>
      <c r="CO105" s="372"/>
      <c r="CP105" s="372"/>
      <c r="CQ105" s="372"/>
      <c r="CR105" s="372"/>
      <c r="CS105" s="372"/>
      <c r="CT105" s="372"/>
      <c r="CU105" s="372"/>
      <c r="CV105" s="372"/>
      <c r="CW105" s="372"/>
      <c r="CX105" s="372"/>
      <c r="CY105" s="372"/>
      <c r="CZ105" s="372"/>
      <c r="DA105" s="372"/>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row>
    <row r="106" spans="1:237" ht="14.15" customHeight="1">
      <c r="A106" s="6"/>
      <c r="B106" s="6"/>
      <c r="C106" s="6"/>
      <c r="D106" s="6"/>
      <c r="E106" s="6"/>
      <c r="F106" s="6"/>
      <c r="G106" s="6"/>
      <c r="H106" s="6"/>
      <c r="I106" s="6"/>
      <c r="J106" s="6"/>
      <c r="K106" s="6"/>
      <c r="L106" s="6"/>
      <c r="M106" s="6"/>
      <c r="N106" s="14"/>
      <c r="O106" s="14"/>
      <c r="P106" s="14"/>
      <c r="Q106" s="573"/>
      <c r="R106" s="343"/>
      <c r="S106" s="343"/>
      <c r="T106" s="343"/>
      <c r="U106" s="343"/>
      <c r="V106" s="343"/>
      <c r="W106" s="343"/>
      <c r="X106" s="372"/>
      <c r="Y106" s="372"/>
      <c r="Z106" s="372"/>
      <c r="AA106" s="372"/>
      <c r="AB106" s="372"/>
      <c r="AC106" s="372"/>
      <c r="AD106" s="372"/>
      <c r="AE106" s="372"/>
      <c r="AF106" s="372"/>
      <c r="AG106" s="372"/>
      <c r="AH106" s="372"/>
      <c r="AI106" s="372"/>
      <c r="AJ106" s="372"/>
      <c r="AK106" s="372"/>
      <c r="AL106" s="372"/>
      <c r="AM106" s="372"/>
      <c r="AN106" s="372"/>
      <c r="AO106" s="372"/>
      <c r="AP106" s="372"/>
      <c r="AQ106" s="372"/>
      <c r="AR106" s="372"/>
      <c r="AS106" s="372"/>
      <c r="AT106" s="372"/>
      <c r="AU106" s="372"/>
      <c r="AV106" s="372"/>
      <c r="AW106" s="372"/>
      <c r="AX106" s="372"/>
      <c r="AY106" s="372"/>
      <c r="AZ106" s="372"/>
      <c r="BA106" s="372"/>
      <c r="BB106" s="372"/>
      <c r="BC106" s="372"/>
      <c r="BD106" s="372"/>
      <c r="BE106" s="372"/>
      <c r="BF106" s="372"/>
      <c r="BG106" s="372"/>
      <c r="BH106" s="372"/>
      <c r="BI106" s="372"/>
      <c r="BJ106" s="372"/>
      <c r="BK106" s="372"/>
      <c r="BL106" s="372"/>
      <c r="BM106" s="372"/>
      <c r="BN106" s="372"/>
      <c r="BO106" s="372"/>
      <c r="BP106" s="372"/>
      <c r="BQ106" s="372"/>
      <c r="BR106" s="372"/>
      <c r="BS106" s="372"/>
      <c r="BT106" s="372"/>
      <c r="BU106" s="372"/>
      <c r="BV106" s="372"/>
      <c r="BW106" s="372"/>
      <c r="BX106" s="372"/>
      <c r="BY106" s="372"/>
      <c r="BZ106" s="372"/>
      <c r="CA106" s="372"/>
      <c r="CB106" s="372"/>
      <c r="CC106" s="372"/>
      <c r="CD106" s="372"/>
      <c r="CE106" s="372"/>
      <c r="CF106" s="372"/>
      <c r="CG106" s="372"/>
      <c r="CH106" s="372"/>
      <c r="CI106" s="372"/>
      <c r="CJ106" s="372"/>
      <c r="CK106" s="372"/>
      <c r="CL106" s="372"/>
      <c r="CM106" s="372"/>
      <c r="CN106" s="372"/>
      <c r="CO106" s="372"/>
      <c r="CP106" s="372"/>
      <c r="CQ106" s="372"/>
      <c r="CR106" s="372"/>
      <c r="CS106" s="372"/>
      <c r="CT106" s="372"/>
      <c r="CU106" s="372"/>
      <c r="CV106" s="372"/>
      <c r="CW106" s="372"/>
      <c r="CX106" s="372"/>
      <c r="CY106" s="372"/>
      <c r="CZ106" s="372"/>
      <c r="DA106" s="372"/>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row>
    <row r="107" spans="1:237" ht="14.15" customHeight="1">
      <c r="A107" s="6"/>
      <c r="B107" s="6"/>
      <c r="C107" s="6"/>
      <c r="D107" s="6"/>
      <c r="E107" s="6"/>
      <c r="F107" s="6"/>
      <c r="G107" s="6"/>
      <c r="H107" s="6"/>
      <c r="I107" s="6"/>
      <c r="J107" s="6"/>
      <c r="K107" s="6"/>
      <c r="L107" s="6"/>
      <c r="M107" s="6"/>
      <c r="N107" s="14"/>
      <c r="O107" s="14"/>
      <c r="P107" s="14"/>
      <c r="Q107" s="573"/>
      <c r="R107" s="343"/>
      <c r="S107" s="343"/>
      <c r="T107" s="343"/>
      <c r="U107" s="343"/>
      <c r="V107" s="343"/>
      <c r="W107" s="343"/>
      <c r="X107" s="372"/>
      <c r="Y107" s="372"/>
      <c r="Z107" s="372"/>
      <c r="AA107" s="372"/>
      <c r="AB107" s="372"/>
      <c r="AC107" s="372"/>
      <c r="AD107" s="372"/>
      <c r="AE107" s="372"/>
      <c r="AF107" s="372"/>
      <c r="AG107" s="372"/>
      <c r="AH107" s="372"/>
      <c r="AI107" s="372"/>
      <c r="AJ107" s="372"/>
      <c r="AK107" s="372"/>
      <c r="AL107" s="372"/>
      <c r="AM107" s="372"/>
      <c r="AN107" s="372"/>
      <c r="AO107" s="372"/>
      <c r="AP107" s="372"/>
      <c r="AQ107" s="372"/>
      <c r="AR107" s="372"/>
      <c r="AS107" s="372"/>
      <c r="AT107" s="372"/>
      <c r="AU107" s="372"/>
      <c r="AV107" s="372"/>
      <c r="AW107" s="372"/>
      <c r="AX107" s="372"/>
      <c r="AY107" s="372"/>
      <c r="AZ107" s="372"/>
      <c r="BA107" s="372"/>
      <c r="BB107" s="372"/>
      <c r="BC107" s="372"/>
      <c r="BD107" s="372"/>
      <c r="BE107" s="372"/>
      <c r="BF107" s="372"/>
      <c r="BG107" s="372"/>
      <c r="BH107" s="372"/>
      <c r="BI107" s="372"/>
      <c r="BJ107" s="372"/>
      <c r="BK107" s="372"/>
      <c r="BL107" s="372"/>
      <c r="BM107" s="372"/>
      <c r="BN107" s="372"/>
      <c r="BO107" s="372"/>
      <c r="BP107" s="372"/>
      <c r="BQ107" s="372"/>
      <c r="BR107" s="372"/>
      <c r="BS107" s="372"/>
      <c r="BT107" s="372"/>
      <c r="BU107" s="372"/>
      <c r="BV107" s="372"/>
      <c r="BW107" s="372"/>
      <c r="BX107" s="372"/>
      <c r="BY107" s="372"/>
      <c r="BZ107" s="372"/>
      <c r="CA107" s="372"/>
      <c r="CB107" s="372"/>
      <c r="CC107" s="372"/>
      <c r="CD107" s="372"/>
      <c r="CE107" s="372"/>
      <c r="CF107" s="372"/>
      <c r="CG107" s="372"/>
      <c r="CH107" s="372"/>
      <c r="CI107" s="372"/>
      <c r="CJ107" s="372"/>
      <c r="CK107" s="372"/>
      <c r="CL107" s="372"/>
      <c r="CM107" s="372"/>
      <c r="CN107" s="372"/>
      <c r="CO107" s="372"/>
      <c r="CP107" s="372"/>
      <c r="CQ107" s="372"/>
      <c r="CR107" s="372"/>
      <c r="CS107" s="372"/>
      <c r="CT107" s="372"/>
      <c r="CU107" s="372"/>
      <c r="CV107" s="372"/>
      <c r="CW107" s="372"/>
      <c r="CX107" s="372"/>
      <c r="CY107" s="372"/>
      <c r="CZ107" s="372"/>
      <c r="DA107" s="372"/>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row>
    <row r="108" spans="1:237" ht="14.15" customHeight="1">
      <c r="A108" s="6"/>
      <c r="B108" s="6"/>
      <c r="C108" s="6"/>
      <c r="D108" s="6"/>
      <c r="E108" s="6"/>
      <c r="F108" s="6"/>
      <c r="G108" s="6"/>
      <c r="H108" s="6"/>
      <c r="I108" s="6"/>
      <c r="J108" s="6"/>
      <c r="K108" s="6"/>
      <c r="L108" s="6"/>
      <c r="M108" s="6"/>
      <c r="N108" s="14"/>
      <c r="O108" s="14"/>
      <c r="P108" s="14"/>
      <c r="Q108" s="573"/>
      <c r="R108" s="343"/>
      <c r="S108" s="343"/>
      <c r="T108" s="343"/>
      <c r="U108" s="343"/>
      <c r="V108" s="343"/>
      <c r="W108" s="343"/>
      <c r="X108" s="372"/>
      <c r="AB108" s="372"/>
      <c r="AC108" s="372"/>
      <c r="AD108" s="372"/>
      <c r="AE108" s="372"/>
      <c r="AF108" s="372"/>
      <c r="AG108" s="372"/>
      <c r="AH108" s="372"/>
      <c r="AI108" s="372"/>
      <c r="AJ108" s="372"/>
      <c r="AK108" s="372"/>
      <c r="AL108" s="372"/>
      <c r="AM108" s="372"/>
      <c r="AN108" s="372"/>
      <c r="AO108" s="372"/>
      <c r="AP108" s="372"/>
      <c r="AQ108" s="372"/>
      <c r="AR108" s="372"/>
      <c r="AS108" s="372"/>
      <c r="AT108" s="372"/>
      <c r="AU108" s="372"/>
      <c r="AV108" s="372"/>
      <c r="AW108" s="372"/>
      <c r="AX108" s="372"/>
      <c r="AY108" s="372"/>
      <c r="AZ108" s="372"/>
      <c r="BA108" s="372"/>
      <c r="BB108" s="372"/>
      <c r="BC108" s="372"/>
      <c r="BD108" s="372"/>
      <c r="BE108" s="372"/>
      <c r="BF108" s="372"/>
      <c r="BG108" s="372"/>
      <c r="BH108" s="372"/>
      <c r="BI108" s="372"/>
      <c r="BJ108" s="372"/>
      <c r="BK108" s="372"/>
      <c r="BL108" s="372"/>
      <c r="BM108" s="372"/>
      <c r="BN108" s="372"/>
      <c r="BO108" s="372"/>
      <c r="BP108" s="372"/>
      <c r="BQ108" s="372"/>
      <c r="BR108" s="372"/>
      <c r="BS108" s="372"/>
      <c r="BT108" s="372"/>
      <c r="BU108" s="372"/>
      <c r="BV108" s="372"/>
      <c r="BW108" s="372"/>
      <c r="BX108" s="372"/>
      <c r="BY108" s="372"/>
      <c r="BZ108" s="372"/>
      <c r="CA108" s="372"/>
      <c r="CB108" s="372"/>
      <c r="CC108" s="372"/>
      <c r="CD108" s="372"/>
      <c r="CE108" s="372"/>
      <c r="CF108" s="372"/>
      <c r="CG108" s="372"/>
      <c r="CH108" s="372"/>
      <c r="CI108" s="372"/>
      <c r="CJ108" s="372"/>
      <c r="CK108" s="372"/>
      <c r="CL108" s="372"/>
      <c r="CM108" s="372"/>
      <c r="CN108" s="372"/>
      <c r="CO108" s="372"/>
      <c r="CP108" s="372"/>
      <c r="CQ108" s="372"/>
      <c r="CR108" s="372"/>
      <c r="CS108" s="372"/>
      <c r="CT108" s="372"/>
      <c r="CU108" s="372"/>
      <c r="CV108" s="372"/>
      <c r="CW108" s="372"/>
      <c r="CX108" s="372"/>
      <c r="CY108" s="372"/>
      <c r="CZ108" s="372"/>
      <c r="DA108" s="372"/>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c r="HJ108" s="6"/>
      <c r="HK108" s="6"/>
      <c r="HL108" s="6"/>
      <c r="HM108" s="6"/>
      <c r="HN108" s="6"/>
      <c r="HO108" s="6"/>
      <c r="HP108" s="6"/>
      <c r="HQ108" s="6"/>
      <c r="HR108" s="6"/>
      <c r="HS108" s="6"/>
      <c r="HT108" s="6"/>
      <c r="HU108" s="6"/>
      <c r="HV108" s="6"/>
      <c r="HW108" s="6"/>
      <c r="HX108" s="6"/>
      <c r="HY108" s="6"/>
      <c r="HZ108" s="6"/>
      <c r="IA108" s="6"/>
      <c r="IB108" s="6"/>
      <c r="IC108" s="6"/>
    </row>
    <row r="109" spans="1:237" ht="14.15" customHeight="1">
      <c r="A109" s="6"/>
      <c r="B109" s="6"/>
      <c r="C109" s="6"/>
      <c r="D109" s="6"/>
      <c r="E109" s="6"/>
      <c r="F109" s="6"/>
      <c r="G109" s="6"/>
      <c r="H109" s="6"/>
      <c r="I109" s="6"/>
      <c r="J109" s="6"/>
      <c r="K109" s="6"/>
      <c r="L109" s="6"/>
      <c r="M109" s="6"/>
      <c r="N109" s="14"/>
      <c r="O109" s="14"/>
      <c r="P109" s="14"/>
      <c r="Q109" s="573"/>
      <c r="R109" s="343"/>
      <c r="S109" s="343"/>
      <c r="T109" s="343"/>
      <c r="U109" s="343"/>
      <c r="V109" s="343"/>
      <c r="W109" s="343"/>
      <c r="X109" s="372"/>
      <c r="AB109" s="372"/>
      <c r="AC109" s="372"/>
      <c r="AD109" s="372"/>
      <c r="AE109" s="372"/>
      <c r="AF109" s="372"/>
      <c r="AG109" s="372"/>
      <c r="AH109" s="372"/>
      <c r="AI109" s="372"/>
      <c r="AJ109" s="372"/>
      <c r="AK109" s="372"/>
      <c r="AL109" s="372"/>
      <c r="AM109" s="372"/>
      <c r="AN109" s="372"/>
      <c r="AO109" s="372"/>
      <c r="AP109" s="372"/>
      <c r="AQ109" s="372"/>
      <c r="AR109" s="372"/>
      <c r="AS109" s="372"/>
      <c r="AT109" s="372"/>
      <c r="AU109" s="372"/>
      <c r="AV109" s="372"/>
      <c r="AW109" s="372"/>
      <c r="AX109" s="372"/>
      <c r="AY109" s="372"/>
      <c r="AZ109" s="372"/>
      <c r="BA109" s="372"/>
      <c r="BB109" s="372"/>
      <c r="BC109" s="372"/>
      <c r="BD109" s="372"/>
      <c r="BE109" s="372"/>
      <c r="BF109" s="372"/>
      <c r="BG109" s="372"/>
      <c r="BH109" s="372"/>
      <c r="BI109" s="372"/>
      <c r="BJ109" s="372"/>
      <c r="BK109" s="372"/>
      <c r="BL109" s="372"/>
      <c r="BM109" s="372"/>
      <c r="BN109" s="372"/>
      <c r="BO109" s="372"/>
      <c r="BP109" s="372"/>
      <c r="BQ109" s="372"/>
      <c r="BR109" s="372"/>
      <c r="BS109" s="372"/>
      <c r="BT109" s="372"/>
      <c r="BU109" s="372"/>
      <c r="BV109" s="372"/>
      <c r="BW109" s="372"/>
      <c r="BX109" s="372"/>
      <c r="BY109" s="372"/>
      <c r="BZ109" s="372"/>
      <c r="CA109" s="372"/>
      <c r="CB109" s="372"/>
      <c r="CC109" s="372"/>
      <c r="CD109" s="372"/>
      <c r="CE109" s="372"/>
      <c r="CF109" s="372"/>
      <c r="CG109" s="372"/>
      <c r="CH109" s="372"/>
      <c r="CI109" s="372"/>
      <c r="CJ109" s="372"/>
      <c r="CK109" s="372"/>
      <c r="CL109" s="372"/>
      <c r="CM109" s="372"/>
      <c r="CN109" s="372"/>
      <c r="CO109" s="372"/>
      <c r="CP109" s="372"/>
      <c r="CQ109" s="372"/>
      <c r="CR109" s="372"/>
      <c r="CS109" s="372"/>
      <c r="CT109" s="372"/>
      <c r="CU109" s="372"/>
      <c r="CV109" s="372"/>
      <c r="CW109" s="372"/>
      <c r="CX109" s="372"/>
      <c r="CY109" s="372"/>
      <c r="CZ109" s="372"/>
      <c r="DA109" s="372"/>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6"/>
      <c r="GU109" s="6"/>
      <c r="GV109" s="6"/>
      <c r="GW109" s="6"/>
      <c r="GX109" s="6"/>
      <c r="GY109" s="6"/>
      <c r="GZ109" s="6"/>
      <c r="HA109" s="6"/>
      <c r="HB109" s="6"/>
      <c r="HC109" s="6"/>
      <c r="HD109" s="6"/>
      <c r="HE109" s="6"/>
      <c r="HF109" s="6"/>
      <c r="HG109" s="6"/>
      <c r="HH109" s="6"/>
      <c r="HI109" s="6"/>
      <c r="HJ109" s="6"/>
      <c r="HK109" s="6"/>
      <c r="HL109" s="6"/>
      <c r="HM109" s="6"/>
      <c r="HN109" s="6"/>
      <c r="HO109" s="6"/>
      <c r="HP109" s="6"/>
      <c r="HQ109" s="6"/>
      <c r="HR109" s="6"/>
      <c r="HS109" s="6"/>
      <c r="HT109" s="6"/>
      <c r="HU109" s="6"/>
      <c r="HV109" s="6"/>
      <c r="HW109" s="6"/>
      <c r="HX109" s="6"/>
      <c r="HY109" s="6"/>
      <c r="HZ109" s="6"/>
      <c r="IA109" s="6"/>
      <c r="IB109" s="6"/>
      <c r="IC109" s="6"/>
    </row>
    <row r="110" spans="1:237">
      <c r="A110" s="6"/>
      <c r="B110" s="6"/>
      <c r="C110" s="6"/>
      <c r="D110" s="6"/>
      <c r="E110" s="6"/>
      <c r="F110" s="6"/>
      <c r="G110" s="6"/>
      <c r="H110" s="6"/>
      <c r="I110" s="6"/>
      <c r="J110" s="6"/>
      <c r="K110" s="6"/>
      <c r="L110" s="6"/>
      <c r="M110" s="6"/>
      <c r="N110" s="14"/>
      <c r="O110" s="14"/>
      <c r="P110" s="14"/>
      <c r="Q110" s="573"/>
      <c r="R110" s="343"/>
      <c r="S110" s="343"/>
      <c r="T110" s="343"/>
      <c r="U110" s="343"/>
      <c r="V110" s="343"/>
      <c r="W110" s="343"/>
      <c r="X110" s="372"/>
    </row>
    <row r="111" spans="1:237">
      <c r="A111" s="6"/>
      <c r="B111" s="6"/>
      <c r="C111" s="6"/>
      <c r="D111" s="6"/>
      <c r="E111" s="6"/>
      <c r="F111" s="6"/>
      <c r="G111" s="6"/>
      <c r="H111" s="6"/>
      <c r="I111" s="6"/>
      <c r="J111" s="6"/>
      <c r="K111" s="6"/>
      <c r="L111" s="6"/>
      <c r="M111" s="6"/>
      <c r="N111" s="14"/>
      <c r="O111" s="14"/>
      <c r="P111" s="14"/>
      <c r="Q111" s="573"/>
      <c r="R111" s="343"/>
      <c r="S111" s="343"/>
      <c r="T111" s="343"/>
      <c r="U111" s="343"/>
      <c r="V111" s="343"/>
      <c r="W111" s="343"/>
      <c r="X111" s="372"/>
    </row>
  </sheetData>
  <customSheetViews>
    <customSheetView guid="{E6BBE5A7-0B25-4EE8-BA45-5EA5DBAF3AD4}" showPageBreaks="1" fitToPage="1" printArea="1">
      <selection activeCell="C17" sqref="C17"/>
      <pageMargins left="0.75" right="0.75" top="1" bottom="1" header="0.5" footer="0.5"/>
      <pageSetup scale="66" orientation="landscape" r:id="rId1"/>
      <headerFooter alignWithMargins="0"/>
    </customSheetView>
  </customSheetViews>
  <mergeCells count="5">
    <mergeCell ref="A24:N24"/>
    <mergeCell ref="A21:N21"/>
    <mergeCell ref="A22:N22"/>
    <mergeCell ref="A23:N23"/>
    <mergeCell ref="A25:N26"/>
  </mergeCells>
  <phoneticPr fontId="14" type="noConversion"/>
  <hyperlinks>
    <hyperlink ref="X1" location="TOC!A1" display="Back" xr:uid="{00000000-0004-0000-0200-000000000000}"/>
  </hyperlinks>
  <pageMargins left="0.4" right="0.25" top="0.5" bottom="0.5" header="0.25" footer="0.25"/>
  <pageSetup scale="71" orientation="landscape" r:id="rId2"/>
  <headerFooter scaleWithDoc="0">
    <oddHeader>&amp;R&amp;P</oddHeader>
  </headerFooter>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I57"/>
  <sheetViews>
    <sheetView workbookViewId="0">
      <selection activeCell="B1" sqref="B1"/>
    </sheetView>
  </sheetViews>
  <sheetFormatPr defaultColWidth="8.7265625" defaultRowHeight="12.5"/>
  <cols>
    <col min="1" max="1" width="1.453125" style="612" customWidth="1"/>
    <col min="2" max="2" width="8.7265625" style="612" customWidth="1"/>
    <col min="3" max="3" width="16.7265625" style="612" customWidth="1"/>
    <col min="4" max="4" width="17.7265625" style="612" customWidth="1"/>
    <col min="5" max="5" width="14.7265625" style="612" customWidth="1"/>
    <col min="6" max="6" width="13.7265625" style="612" customWidth="1"/>
    <col min="7" max="7" width="14.7265625" style="612" customWidth="1"/>
    <col min="8" max="8" width="16.7265625" style="612" customWidth="1"/>
    <col min="9" max="9" width="5.26953125" style="612" bestFit="1" customWidth="1"/>
    <col min="10" max="16384" width="8.7265625" style="612"/>
  </cols>
  <sheetData>
    <row r="1" spans="2:9" ht="18">
      <c r="B1" s="780" t="s">
        <v>658</v>
      </c>
      <c r="I1" s="811" t="s">
        <v>954</v>
      </c>
    </row>
    <row r="2" spans="2:9" ht="15.5">
      <c r="B2" s="1651" t="s">
        <v>828</v>
      </c>
      <c r="C2" s="1651"/>
      <c r="D2" s="1651"/>
      <c r="E2" s="1651"/>
      <c r="F2" s="1651"/>
      <c r="G2" s="1651"/>
      <c r="H2" s="1651"/>
    </row>
    <row r="3" spans="2:9" ht="6" customHeight="1" thickBot="1">
      <c r="B3" s="781"/>
      <c r="C3" s="781"/>
      <c r="D3" s="781"/>
      <c r="E3" s="781"/>
      <c r="F3" s="781"/>
      <c r="G3" s="781"/>
      <c r="H3" s="781"/>
    </row>
    <row r="4" spans="2:9" s="613" customFormat="1" ht="26.15" customHeight="1">
      <c r="B4" s="782" t="s">
        <v>615</v>
      </c>
      <c r="C4" s="782" t="s">
        <v>917</v>
      </c>
      <c r="D4" s="782" t="s">
        <v>916</v>
      </c>
      <c r="E4" s="782" t="s">
        <v>915</v>
      </c>
      <c r="F4" s="782" t="s">
        <v>914</v>
      </c>
      <c r="G4" s="782" t="s">
        <v>818</v>
      </c>
      <c r="H4" s="782" t="s">
        <v>913</v>
      </c>
    </row>
    <row r="5" spans="2:9" ht="15" customHeight="1"/>
    <row r="6" spans="2:9" ht="13">
      <c r="B6" s="778" t="s">
        <v>839</v>
      </c>
      <c r="C6" s="779"/>
      <c r="D6" s="779"/>
      <c r="E6" s="779"/>
      <c r="F6" s="779"/>
      <c r="G6" s="779"/>
      <c r="H6" s="779"/>
    </row>
    <row r="7" spans="2:9" hidden="1">
      <c r="B7" s="1342">
        <v>2015</v>
      </c>
      <c r="C7" s="614">
        <v>1031975708795</v>
      </c>
      <c r="D7" s="614">
        <v>84093951055.669998</v>
      </c>
      <c r="E7" s="614">
        <v>10873635297.74</v>
      </c>
      <c r="F7" s="614">
        <v>1266956460</v>
      </c>
      <c r="G7" s="614">
        <v>44154961529</v>
      </c>
      <c r="H7" s="614">
        <v>1172365213137.4099</v>
      </c>
      <c r="I7" s="615"/>
    </row>
    <row r="8" spans="2:9" hidden="1">
      <c r="B8" s="1342">
        <v>2016</v>
      </c>
      <c r="C8" s="616">
        <v>1060436113127</v>
      </c>
      <c r="D8" s="616">
        <v>88866533959.080002</v>
      </c>
      <c r="E8" s="616">
        <v>10916098009.690001</v>
      </c>
      <c r="F8" s="616">
        <v>1349538948</v>
      </c>
      <c r="G8" s="616">
        <v>46266995318</v>
      </c>
      <c r="H8" s="741">
        <f t="shared" ref="H8:H15" si="0">SUM(C8:G8)</f>
        <v>1207835279361.77</v>
      </c>
      <c r="I8" s="615"/>
    </row>
    <row r="9" spans="2:9" hidden="1">
      <c r="B9" s="1342">
        <v>2017</v>
      </c>
      <c r="C9" s="616">
        <v>1091729146412</v>
      </c>
      <c r="D9" s="616">
        <v>92876379259.282059</v>
      </c>
      <c r="E9" s="616">
        <v>10937094637.461905</v>
      </c>
      <c r="F9" s="616">
        <v>1412648166</v>
      </c>
      <c r="G9" s="616">
        <v>48006343392</v>
      </c>
      <c r="H9" s="1356">
        <f t="shared" si="0"/>
        <v>1244961611866.7439</v>
      </c>
      <c r="I9" s="615"/>
    </row>
    <row r="10" spans="2:9">
      <c r="B10" s="1342">
        <v>2018</v>
      </c>
      <c r="C10" s="614">
        <v>1130944150751.6799</v>
      </c>
      <c r="D10" s="614">
        <v>97202215738.300018</v>
      </c>
      <c r="E10" s="614">
        <v>11207635106.190001</v>
      </c>
      <c r="F10" s="614">
        <v>1360441391</v>
      </c>
      <c r="G10" s="614">
        <v>50028306681.440002</v>
      </c>
      <c r="H10" s="614">
        <f t="shared" si="0"/>
        <v>1290742749668.6099</v>
      </c>
      <c r="I10" s="615"/>
    </row>
    <row r="11" spans="2:9">
      <c r="B11" s="1342">
        <v>2019</v>
      </c>
      <c r="C11" s="616">
        <v>1172449791555</v>
      </c>
      <c r="D11" s="616">
        <v>98726651736.200012</v>
      </c>
      <c r="E11" s="616">
        <v>11567370427.889999</v>
      </c>
      <c r="F11" s="616">
        <v>1344289010.71</v>
      </c>
      <c r="G11" s="616">
        <v>49209543842.540001</v>
      </c>
      <c r="H11" s="616">
        <f t="shared" si="0"/>
        <v>1333297646572.3398</v>
      </c>
      <c r="I11" s="615"/>
    </row>
    <row r="12" spans="2:9">
      <c r="B12" s="1342">
        <v>2020</v>
      </c>
      <c r="C12" s="616">
        <v>1218079093524.8401</v>
      </c>
      <c r="D12" s="616">
        <v>100052236312.57999</v>
      </c>
      <c r="E12" s="616">
        <v>11991123882.620001</v>
      </c>
      <c r="F12" s="616">
        <v>1433318097.3</v>
      </c>
      <c r="G12" s="616">
        <v>51149852246.5</v>
      </c>
      <c r="H12" s="616">
        <f t="shared" si="0"/>
        <v>1382705624063.8403</v>
      </c>
      <c r="I12" s="615"/>
    </row>
    <row r="13" spans="2:9">
      <c r="B13" s="1342" t="s">
        <v>1259</v>
      </c>
      <c r="C13" s="616">
        <v>1272652328700.3198</v>
      </c>
      <c r="D13" s="616">
        <v>117434111164.92511</v>
      </c>
      <c r="E13" s="616">
        <v>12080942915.7248</v>
      </c>
      <c r="F13" s="616">
        <v>1314173629.97</v>
      </c>
      <c r="G13" s="616">
        <v>51229623564.349998</v>
      </c>
      <c r="H13" s="616">
        <f t="shared" si="0"/>
        <v>1454711179975.2898</v>
      </c>
      <c r="I13" s="615"/>
    </row>
    <row r="14" spans="2:9">
      <c r="B14" s="1342">
        <v>2022</v>
      </c>
      <c r="C14" s="616">
        <v>1391780142395.6001</v>
      </c>
      <c r="D14" s="616">
        <v>139776943386.00378</v>
      </c>
      <c r="E14" s="616">
        <v>12397515349.807098</v>
      </c>
      <c r="F14" s="616">
        <v>1450773868.4400001</v>
      </c>
      <c r="G14" s="616">
        <v>52339281584.18</v>
      </c>
      <c r="H14" s="616">
        <f t="shared" si="0"/>
        <v>1597744656584.031</v>
      </c>
      <c r="I14" s="615"/>
    </row>
    <row r="15" spans="2:9">
      <c r="B15" s="1342">
        <v>2023</v>
      </c>
      <c r="C15" s="616">
        <v>1516847427994.6899</v>
      </c>
      <c r="D15" s="616">
        <v>142697891712.2157</v>
      </c>
      <c r="E15" s="616">
        <v>13161869852.7024</v>
      </c>
      <c r="F15" s="616">
        <v>1520569240.1300001</v>
      </c>
      <c r="G15" s="616">
        <v>53731893721.236191</v>
      </c>
      <c r="H15" s="616">
        <f t="shared" si="0"/>
        <v>1727959652520.9741</v>
      </c>
      <c r="I15" s="615"/>
    </row>
    <row r="16" spans="2:9">
      <c r="C16" s="616"/>
      <c r="D16" s="616"/>
      <c r="E16" s="616"/>
      <c r="F16" s="616"/>
      <c r="G16" s="616"/>
      <c r="H16" s="616"/>
    </row>
    <row r="17" spans="2:9" ht="13">
      <c r="B17" s="778" t="s">
        <v>840</v>
      </c>
      <c r="C17" s="1561"/>
      <c r="D17" s="1561"/>
      <c r="E17" s="1561"/>
      <c r="F17" s="1561"/>
      <c r="G17" s="1561"/>
      <c r="H17" s="1561"/>
    </row>
    <row r="18" spans="2:9" hidden="1">
      <c r="B18" s="1342">
        <f t="shared" ref="B18:B25" si="1">B7</f>
        <v>2015</v>
      </c>
      <c r="C18" s="614">
        <v>10007871602.596775</v>
      </c>
      <c r="D18" s="614">
        <v>3012973186.0262656</v>
      </c>
      <c r="E18" s="614">
        <v>215708233.76555002</v>
      </c>
      <c r="F18" s="614">
        <v>13274973.785999998</v>
      </c>
      <c r="G18" s="614">
        <v>364855303.00326002</v>
      </c>
      <c r="H18" s="614">
        <v>13614683299.177851</v>
      </c>
      <c r="I18" s="615"/>
    </row>
    <row r="19" spans="2:9" hidden="1">
      <c r="B19" s="1342">
        <f t="shared" si="1"/>
        <v>2016</v>
      </c>
      <c r="C19" s="616">
        <v>10446834664.72967</v>
      </c>
      <c r="D19" s="616">
        <v>3108724600.9577131</v>
      </c>
      <c r="E19" s="616">
        <v>220024079.66569999</v>
      </c>
      <c r="F19" s="616">
        <v>14028692.103300003</v>
      </c>
      <c r="G19" s="616">
        <v>408732706.07139993</v>
      </c>
      <c r="H19" s="616">
        <f t="shared" ref="H19:H26" si="2">SUM(C19:G19)</f>
        <v>14198344743.527782</v>
      </c>
      <c r="I19" s="615"/>
    </row>
    <row r="20" spans="2:9" hidden="1">
      <c r="B20" s="1342">
        <f t="shared" si="1"/>
        <v>2017</v>
      </c>
      <c r="C20" s="616">
        <v>10820224510.957804</v>
      </c>
      <c r="D20" s="616">
        <v>3279499565.8478804</v>
      </c>
      <c r="E20" s="616">
        <v>232207933.77725005</v>
      </c>
      <c r="F20" s="616">
        <v>14034594.904299999</v>
      </c>
      <c r="G20" s="616">
        <v>404358032.39963996</v>
      </c>
      <c r="H20" s="616">
        <f t="shared" si="2"/>
        <v>14750324637.886873</v>
      </c>
      <c r="I20" s="615"/>
    </row>
    <row r="21" spans="2:9">
      <c r="B21" s="1342">
        <f t="shared" si="1"/>
        <v>2018</v>
      </c>
      <c r="C21" s="614">
        <v>11239557027.180504</v>
      </c>
      <c r="D21" s="614">
        <v>3464493881.5964141</v>
      </c>
      <c r="E21" s="614">
        <v>281779148.09530008</v>
      </c>
      <c r="F21" s="614">
        <v>13905355.629000001</v>
      </c>
      <c r="G21" s="614">
        <v>427590254.37099987</v>
      </c>
      <c r="H21" s="614">
        <f t="shared" si="2"/>
        <v>15427325666.872219</v>
      </c>
      <c r="I21" s="615"/>
    </row>
    <row r="22" spans="2:9">
      <c r="B22" s="1342">
        <f t="shared" si="1"/>
        <v>2019</v>
      </c>
      <c r="C22" s="616">
        <v>11654584398.700165</v>
      </c>
      <c r="D22" s="616">
        <v>3600959729.1374731</v>
      </c>
      <c r="E22" s="616">
        <v>227752597.23180002</v>
      </c>
      <c r="F22" s="616">
        <v>14010085.905490002</v>
      </c>
      <c r="G22" s="616">
        <v>409329416.85523003</v>
      </c>
      <c r="H22" s="616">
        <f t="shared" si="2"/>
        <v>15906636227.83016</v>
      </c>
    </row>
    <row r="23" spans="2:9">
      <c r="B23" s="1342">
        <f t="shared" si="1"/>
        <v>2020</v>
      </c>
      <c r="C23" s="616">
        <v>12096950258.460699</v>
      </c>
      <c r="D23" s="616">
        <v>3641278531.4918013</v>
      </c>
      <c r="E23" s="616">
        <v>250441104.58230007</v>
      </c>
      <c r="F23" s="616">
        <v>15272308.508099999</v>
      </c>
      <c r="G23" s="616">
        <v>426389897.02819985</v>
      </c>
      <c r="H23" s="616">
        <f t="shared" si="2"/>
        <v>16430332100.0711</v>
      </c>
    </row>
    <row r="24" spans="2:9">
      <c r="B24" s="1342" t="str">
        <f t="shared" si="1"/>
        <v>2021*</v>
      </c>
      <c r="C24" s="616">
        <v>12502959082.987404</v>
      </c>
      <c r="D24" s="616">
        <v>4458318399.693799</v>
      </c>
      <c r="E24" s="616">
        <v>252339042.05669993</v>
      </c>
      <c r="F24" s="616">
        <v>13718743.4846</v>
      </c>
      <c r="G24" s="616">
        <v>444349944.30589986</v>
      </c>
      <c r="H24" s="616">
        <f t="shared" si="2"/>
        <v>17671685212.528404</v>
      </c>
    </row>
    <row r="25" spans="2:9">
      <c r="B25" s="1342">
        <f t="shared" si="1"/>
        <v>2022</v>
      </c>
      <c r="C25" s="616">
        <v>13342923799.456697</v>
      </c>
      <c r="D25" s="616">
        <v>4980954021.3755007</v>
      </c>
      <c r="E25" s="616">
        <v>257101832.12200007</v>
      </c>
      <c r="F25" s="616">
        <v>15108938.832000004</v>
      </c>
      <c r="G25" s="616">
        <v>470935657.06320006</v>
      </c>
      <c r="H25" s="616">
        <f t="shared" si="2"/>
        <v>19067024248.849403</v>
      </c>
    </row>
    <row r="26" spans="2:9">
      <c r="B26" s="1342">
        <v>2023</v>
      </c>
      <c r="C26" s="616">
        <v>14255367691.39649</v>
      </c>
      <c r="D26" s="616">
        <v>4950787049.7043982</v>
      </c>
      <c r="E26" s="616">
        <v>274003018.18600005</v>
      </c>
      <c r="F26" s="616">
        <v>14743997.708000001</v>
      </c>
      <c r="G26" s="616">
        <v>442344617.91320002</v>
      </c>
      <c r="H26" s="616">
        <f t="shared" si="2"/>
        <v>19937246374.908089</v>
      </c>
    </row>
    <row r="27" spans="2:9">
      <c r="C27" s="616"/>
      <c r="D27" s="616"/>
      <c r="E27" s="616"/>
      <c r="F27" s="616"/>
      <c r="G27" s="616"/>
      <c r="H27" s="616"/>
    </row>
    <row r="28" spans="2:9" ht="13">
      <c r="B28" s="778" t="s">
        <v>841</v>
      </c>
      <c r="C28" s="779"/>
      <c r="D28" s="779"/>
      <c r="E28" s="779"/>
      <c r="F28" s="779"/>
      <c r="G28" s="779"/>
      <c r="H28" s="779"/>
    </row>
    <row r="29" spans="2:9" hidden="1">
      <c r="B29" s="1342">
        <f t="shared" ref="B29:B37" si="3">B18</f>
        <v>2015</v>
      </c>
      <c r="C29" s="615">
        <f t="shared" ref="C29:H34" si="4">C18/C7*100</f>
        <v>0.9697778268717776</v>
      </c>
      <c r="D29" s="615">
        <f t="shared" si="4"/>
        <v>3.5828655309960218</v>
      </c>
      <c r="E29" s="615">
        <f t="shared" si="4"/>
        <v>1.9837729320421782</v>
      </c>
      <c r="F29" s="615">
        <f t="shared" si="4"/>
        <v>1.0477845297067272</v>
      </c>
      <c r="G29" s="615">
        <f t="shared" si="4"/>
        <v>0.82630646787820472</v>
      </c>
      <c r="H29" s="615">
        <f t="shared" si="4"/>
        <v>1.1613005185255449</v>
      </c>
      <c r="I29" s="615"/>
    </row>
    <row r="30" spans="2:9" hidden="1">
      <c r="B30" s="1342">
        <f t="shared" si="3"/>
        <v>2016</v>
      </c>
      <c r="C30" s="1562">
        <f t="shared" si="4"/>
        <v>0.98514512429458689</v>
      </c>
      <c r="D30" s="1562">
        <f t="shared" si="4"/>
        <v>3.4981949474806506</v>
      </c>
      <c r="E30" s="1562">
        <f t="shared" si="4"/>
        <v>2.0155927463310519</v>
      </c>
      <c r="F30" s="1562">
        <f t="shared" si="4"/>
        <v>1.0395173940026223</v>
      </c>
      <c r="G30" s="1562">
        <f t="shared" si="4"/>
        <v>0.88342176374782644</v>
      </c>
      <c r="H30" s="1562">
        <f t="shared" si="4"/>
        <v>1.1755199559190144</v>
      </c>
      <c r="I30" s="615"/>
    </row>
    <row r="31" spans="2:9" hidden="1">
      <c r="B31" s="1342">
        <f t="shared" si="3"/>
        <v>2017</v>
      </c>
      <c r="C31" s="1562">
        <f t="shared" si="4"/>
        <v>0.99110887957134697</v>
      </c>
      <c r="D31" s="1562">
        <f t="shared" si="4"/>
        <v>3.5310372691128862</v>
      </c>
      <c r="E31" s="1562">
        <f t="shared" si="4"/>
        <v>2.1231226525359657</v>
      </c>
      <c r="F31" s="1562">
        <f t="shared" si="4"/>
        <v>0.99349542526500534</v>
      </c>
      <c r="G31" s="1562">
        <f t="shared" si="4"/>
        <v>0.84230125401932621</v>
      </c>
      <c r="H31" s="1562">
        <f t="shared" si="4"/>
        <v>1.1848015631397391</v>
      </c>
      <c r="I31" s="615"/>
    </row>
    <row r="32" spans="2:9">
      <c r="B32" s="1342">
        <f t="shared" si="3"/>
        <v>2018</v>
      </c>
      <c r="C32" s="1562">
        <f t="shared" si="4"/>
        <v>0.99382069571783482</v>
      </c>
      <c r="D32" s="1562">
        <f t="shared" si="4"/>
        <v>3.5642128682785983</v>
      </c>
      <c r="E32" s="1562">
        <f t="shared" si="4"/>
        <v>2.5141713254000648</v>
      </c>
      <c r="F32" s="1562">
        <f t="shared" si="4"/>
        <v>1.0221208881904711</v>
      </c>
      <c r="G32" s="1562">
        <f t="shared" si="4"/>
        <v>0.85469663623380554</v>
      </c>
      <c r="H32" s="1562">
        <f t="shared" si="4"/>
        <v>1.1952285357274397</v>
      </c>
      <c r="I32" s="615"/>
    </row>
    <row r="33" spans="2:9">
      <c r="B33" s="1342">
        <f t="shared" si="3"/>
        <v>2019</v>
      </c>
      <c r="C33" s="1562">
        <f t="shared" si="4"/>
        <v>0.99403697136087077</v>
      </c>
      <c r="D33" s="1562">
        <f t="shared" si="4"/>
        <v>3.6474038831574318</v>
      </c>
      <c r="E33" s="1562">
        <f t="shared" si="4"/>
        <v>1.9689228304011728</v>
      </c>
      <c r="F33" s="1562">
        <f t="shared" si="4"/>
        <v>1.042192995246642</v>
      </c>
      <c r="G33" s="1562">
        <f t="shared" si="4"/>
        <v>0.83180900470241403</v>
      </c>
      <c r="H33" s="1562">
        <f t="shared" si="4"/>
        <v>1.1930296486102081</v>
      </c>
      <c r="I33" s="615"/>
    </row>
    <row r="34" spans="2:9">
      <c r="B34" s="1342">
        <f t="shared" si="3"/>
        <v>2020</v>
      </c>
      <c r="C34" s="1562">
        <f t="shared" si="4"/>
        <v>0.99311697596376225</v>
      </c>
      <c r="D34" s="1562">
        <f t="shared" si="4"/>
        <v>3.6393774549084901</v>
      </c>
      <c r="E34" s="1562">
        <f t="shared" si="4"/>
        <v>2.0885540591010883</v>
      </c>
      <c r="F34" s="1562">
        <f t="shared" si="4"/>
        <v>1.0655212221815293</v>
      </c>
      <c r="G34" s="1562">
        <f t="shared" si="4"/>
        <v>0.83360924479967813</v>
      </c>
      <c r="H34" s="1562">
        <f t="shared" si="4"/>
        <v>1.1882740486569761</v>
      </c>
    </row>
    <row r="35" spans="2:9">
      <c r="B35" s="1342" t="str">
        <f t="shared" si="3"/>
        <v>2021*</v>
      </c>
      <c r="C35" s="1562">
        <f t="shared" ref="C35:H35" si="5">C24/C13*100</f>
        <v>0.9824332066995779</v>
      </c>
      <c r="D35" s="1562">
        <f t="shared" si="5"/>
        <v>3.7964424096781491</v>
      </c>
      <c r="E35" s="1562">
        <f t="shared" si="5"/>
        <v>2.0887363165026658</v>
      </c>
      <c r="F35" s="1562">
        <f t="shared" si="5"/>
        <v>1.043906465001369</v>
      </c>
      <c r="G35" s="1562">
        <f t="shared" si="5"/>
        <v>0.8673691379905375</v>
      </c>
      <c r="H35" s="1562">
        <f t="shared" si="5"/>
        <v>1.2147899497705503</v>
      </c>
    </row>
    <row r="36" spans="2:9">
      <c r="B36" s="1342">
        <f t="shared" si="3"/>
        <v>2022</v>
      </c>
      <c r="C36" s="1562">
        <f t="shared" ref="C36:H37" si="6">C25/C14*100</f>
        <v>0.95869479618312448</v>
      </c>
      <c r="D36" s="1562">
        <f t="shared" si="6"/>
        <v>3.5635018914530479</v>
      </c>
      <c r="E36" s="1562">
        <f t="shared" si="6"/>
        <v>2.0738174131480345</v>
      </c>
      <c r="F36" s="1562">
        <f t="shared" si="6"/>
        <v>1.0414399625385085</v>
      </c>
      <c r="G36" s="1562">
        <f t="shared" si="6"/>
        <v>0.89977478255174292</v>
      </c>
      <c r="H36" s="1562">
        <f t="shared" si="6"/>
        <v>1.1933711791979698</v>
      </c>
    </row>
    <row r="37" spans="2:9">
      <c r="B37" s="1342">
        <f t="shared" si="3"/>
        <v>2023</v>
      </c>
      <c r="C37" s="1562">
        <f t="shared" si="6"/>
        <v>0.93980234454050793</v>
      </c>
      <c r="D37" s="1562">
        <f t="shared" si="6"/>
        <v>3.4694184968680828</v>
      </c>
      <c r="E37" s="1562">
        <f t="shared" si="6"/>
        <v>2.0817940099122136</v>
      </c>
      <c r="F37" s="1562">
        <f t="shared" si="6"/>
        <v>0.96963672017589086</v>
      </c>
      <c r="G37" s="1562">
        <f t="shared" si="6"/>
        <v>0.8232440498153788</v>
      </c>
      <c r="H37" s="1562">
        <f t="shared" si="6"/>
        <v>1.1538027722939608</v>
      </c>
    </row>
    <row r="38" spans="2:9">
      <c r="C38" s="655"/>
      <c r="D38" s="655"/>
      <c r="E38" s="655"/>
      <c r="F38" s="655"/>
      <c r="G38" s="655"/>
      <c r="H38" s="655"/>
    </row>
    <row r="39" spans="2:9" s="1053" customFormat="1" ht="12" customHeight="1">
      <c r="B39" s="1053" t="s">
        <v>15</v>
      </c>
      <c r="C39" s="1217"/>
      <c r="D39" s="1217"/>
      <c r="E39" s="1217"/>
      <c r="F39" s="1217"/>
      <c r="G39" s="1217"/>
      <c r="H39" s="1217"/>
    </row>
    <row r="40" spans="2:9" s="1053" customFormat="1" ht="12" customHeight="1">
      <c r="B40" s="1652" t="s">
        <v>1258</v>
      </c>
      <c r="C40" s="1652"/>
      <c r="D40" s="1652"/>
      <c r="E40" s="1652"/>
      <c r="F40" s="1652"/>
      <c r="G40" s="1652"/>
      <c r="H40" s="1652"/>
    </row>
    <row r="41" spans="2:9" s="1053" customFormat="1" ht="12" customHeight="1">
      <c r="B41" s="1652" t="s">
        <v>1260</v>
      </c>
      <c r="C41" s="1652"/>
      <c r="D41" s="1652"/>
      <c r="E41" s="1652"/>
      <c r="F41" s="1652"/>
      <c r="G41" s="1652"/>
      <c r="H41" s="1652"/>
    </row>
    <row r="42" spans="2:9" ht="13">
      <c r="B42" s="745" t="s">
        <v>924</v>
      </c>
      <c r="C42" s="446"/>
      <c r="D42" s="446"/>
      <c r="E42" s="446"/>
      <c r="F42" s="446"/>
      <c r="G42" s="446"/>
      <c r="H42" s="446"/>
    </row>
    <row r="43" spans="2:9" s="617" customFormat="1">
      <c r="C43" s="618"/>
      <c r="D43" s="618"/>
      <c r="E43" s="618"/>
      <c r="F43" s="618"/>
      <c r="G43" s="618"/>
      <c r="H43" s="618"/>
    </row>
    <row r="44" spans="2:9" s="617" customFormat="1">
      <c r="C44" s="618"/>
      <c r="D44" s="618"/>
      <c r="E44" s="618"/>
      <c r="F44" s="618"/>
      <c r="G44" s="618"/>
      <c r="H44" s="618"/>
    </row>
    <row r="45" spans="2:9" s="617" customFormat="1">
      <c r="C45" s="618"/>
      <c r="D45" s="618"/>
      <c r="E45" s="618"/>
      <c r="F45" s="618"/>
      <c r="G45" s="618"/>
      <c r="H45" s="618"/>
    </row>
    <row r="46" spans="2:9" s="617" customFormat="1">
      <c r="C46" s="618"/>
      <c r="D46" s="618"/>
      <c r="E46" s="618"/>
      <c r="F46" s="618"/>
      <c r="G46" s="618"/>
      <c r="H46" s="618"/>
    </row>
    <row r="47" spans="2:9" s="617" customFormat="1">
      <c r="C47" s="618"/>
      <c r="D47" s="618"/>
      <c r="E47" s="618"/>
      <c r="F47" s="618"/>
      <c r="G47" s="618"/>
      <c r="H47" s="618"/>
    </row>
    <row r="48" spans="2:9" s="617" customFormat="1">
      <c r="C48" s="618"/>
      <c r="D48" s="618"/>
      <c r="E48" s="618"/>
      <c r="F48" s="618"/>
      <c r="G48" s="618"/>
      <c r="H48" s="618"/>
    </row>
    <row r="49" spans="2:8" s="1359" customFormat="1">
      <c r="B49" s="1357"/>
      <c r="C49" s="1358"/>
      <c r="D49" s="1358"/>
      <c r="E49" s="1358"/>
      <c r="F49" s="1358"/>
      <c r="G49" s="1358"/>
      <c r="H49" s="1358"/>
    </row>
    <row r="50" spans="2:8" s="1359" customFormat="1">
      <c r="C50" s="1360"/>
      <c r="D50" s="1360"/>
      <c r="E50" s="1360"/>
      <c r="F50" s="1360"/>
      <c r="G50" s="1360"/>
      <c r="H50" s="1360"/>
    </row>
    <row r="51" spans="2:8" s="1359" customFormat="1">
      <c r="C51" s="1360"/>
      <c r="D51" s="1360"/>
      <c r="E51" s="1360"/>
      <c r="F51" s="1360"/>
      <c r="G51" s="1360"/>
      <c r="H51" s="1360"/>
    </row>
    <row r="52" spans="2:8" s="1359" customFormat="1">
      <c r="C52" s="1360"/>
      <c r="D52" s="1360"/>
      <c r="E52" s="1360"/>
      <c r="F52" s="1360"/>
      <c r="G52" s="1360"/>
      <c r="H52" s="1360"/>
    </row>
    <row r="53" spans="2:8" s="1359" customFormat="1"/>
    <row r="54" spans="2:8" s="1359" customFormat="1">
      <c r="B54" s="1361"/>
      <c r="C54" s="1362"/>
      <c r="D54" s="1362"/>
      <c r="E54" s="1362"/>
      <c r="F54" s="1362"/>
      <c r="G54" s="1362"/>
      <c r="H54" s="1362"/>
    </row>
    <row r="55" spans="2:8" s="1359" customFormat="1">
      <c r="B55" s="1361"/>
      <c r="C55" s="1362"/>
      <c r="D55" s="1362"/>
      <c r="E55" s="1362"/>
      <c r="F55" s="1362"/>
      <c r="G55" s="1362"/>
      <c r="H55" s="1362"/>
    </row>
    <row r="56" spans="2:8" s="1359" customFormat="1">
      <c r="B56" s="1361"/>
      <c r="C56" s="1363"/>
      <c r="D56" s="1363"/>
      <c r="E56" s="1363"/>
      <c r="F56" s="1363"/>
      <c r="G56" s="1363"/>
      <c r="H56" s="1363"/>
    </row>
    <row r="57" spans="2:8" s="617" customFormat="1">
      <c r="C57" s="619"/>
      <c r="D57" s="619"/>
      <c r="E57" s="619"/>
      <c r="F57" s="619"/>
      <c r="G57" s="619"/>
      <c r="H57" s="619"/>
    </row>
  </sheetData>
  <mergeCells count="3">
    <mergeCell ref="B2:H2"/>
    <mergeCell ref="B41:H41"/>
    <mergeCell ref="B40:H40"/>
  </mergeCells>
  <hyperlinks>
    <hyperlink ref="I1" location="TOC!A1" display="Back" xr:uid="{00000000-0004-0000-1C00-000000000000}"/>
  </hyperlinks>
  <pageMargins left="0.5" right="0.25" top="0.5" bottom="0.25" header="0.25" footer="0"/>
  <pageSetup orientation="landscape" r:id="rId1"/>
  <headerFooter scaleWithDoc="0">
    <oddHeader>&amp;R&amp;P</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sheetPr>
  <dimension ref="B1:O40"/>
  <sheetViews>
    <sheetView workbookViewId="0">
      <selection activeCell="N59" sqref="N59"/>
    </sheetView>
  </sheetViews>
  <sheetFormatPr defaultColWidth="8.7265625" defaultRowHeight="12.5"/>
  <cols>
    <col min="1" max="1" width="1.453125" style="427" customWidth="1"/>
    <col min="2" max="2" width="9.81640625" style="427" customWidth="1"/>
    <col min="3" max="5" width="17.26953125" style="427" customWidth="1"/>
    <col min="6" max="6" width="17.54296875" style="427" customWidth="1"/>
    <col min="7" max="8" width="17.26953125" style="427" customWidth="1"/>
    <col min="9" max="16384" width="8.7265625" style="427"/>
  </cols>
  <sheetData>
    <row r="1" spans="2:15" ht="13">
      <c r="B1" s="426" t="s">
        <v>658</v>
      </c>
    </row>
    <row r="2" spans="2:15" ht="13.5" thickBot="1">
      <c r="B2" s="1653" t="s">
        <v>828</v>
      </c>
      <c r="C2" s="1653"/>
      <c r="D2" s="1653"/>
      <c r="E2" s="1653"/>
      <c r="F2" s="1653"/>
      <c r="G2" s="1653"/>
      <c r="H2" s="1653"/>
    </row>
    <row r="3" spans="2:15" s="429" customFormat="1" ht="14.25" customHeight="1">
      <c r="B3" s="428" t="s">
        <v>17</v>
      </c>
      <c r="C3" s="428" t="s">
        <v>28</v>
      </c>
      <c r="D3" s="428" t="s">
        <v>829</v>
      </c>
      <c r="E3" s="428" t="s">
        <v>830</v>
      </c>
      <c r="F3" s="428" t="s">
        <v>831</v>
      </c>
      <c r="G3" s="428" t="s">
        <v>832</v>
      </c>
      <c r="H3" s="428" t="s">
        <v>13</v>
      </c>
    </row>
    <row r="4" spans="2:15" s="429" customFormat="1" ht="13">
      <c r="B4" s="430" t="s">
        <v>833</v>
      </c>
      <c r="C4" s="430" t="s">
        <v>805</v>
      </c>
      <c r="D4" s="430" t="s">
        <v>834</v>
      </c>
      <c r="E4" s="430" t="s">
        <v>835</v>
      </c>
      <c r="F4" s="430" t="s">
        <v>836</v>
      </c>
      <c r="G4" s="430" t="s">
        <v>837</v>
      </c>
      <c r="H4" s="430" t="s">
        <v>838</v>
      </c>
    </row>
    <row r="5" spans="2:15" ht="13">
      <c r="C5" s="431"/>
    </row>
    <row r="6" spans="2:15">
      <c r="C6" s="432"/>
      <c r="D6" s="432"/>
      <c r="E6" s="432"/>
      <c r="F6" s="432"/>
      <c r="G6" s="432"/>
      <c r="H6" s="432"/>
    </row>
    <row r="7" spans="2:15" ht="13">
      <c r="B7" s="433" t="s">
        <v>839</v>
      </c>
    </row>
    <row r="8" spans="2:15">
      <c r="B8" s="434">
        <v>2015</v>
      </c>
      <c r="C8" s="435">
        <v>1031975708795</v>
      </c>
      <c r="D8" s="435">
        <v>84093951055.669998</v>
      </c>
      <c r="E8" s="435">
        <v>10873635297.74</v>
      </c>
      <c r="F8" s="435">
        <v>1266956460</v>
      </c>
      <c r="G8" s="435">
        <v>44154961529</v>
      </c>
      <c r="H8" s="435">
        <v>1172365213137.4099</v>
      </c>
      <c r="I8" s="436"/>
      <c r="J8" s="436"/>
      <c r="K8" s="436"/>
      <c r="L8" s="436"/>
      <c r="M8" s="436"/>
      <c r="N8" s="436"/>
      <c r="O8" s="436"/>
    </row>
    <row r="9" spans="2:15">
      <c r="B9" s="434">
        <v>2016</v>
      </c>
      <c r="C9" s="437">
        <v>1060436113127</v>
      </c>
      <c r="D9" s="437">
        <v>88866533959.080002</v>
      </c>
      <c r="E9" s="437">
        <v>10916098009.690001</v>
      </c>
      <c r="F9" s="437">
        <v>1349538948</v>
      </c>
      <c r="G9" s="437">
        <v>46266995318</v>
      </c>
      <c r="H9" s="438">
        <v>1207835279361.77</v>
      </c>
      <c r="I9" s="436"/>
      <c r="J9" s="436"/>
      <c r="K9" s="436"/>
      <c r="L9" s="436"/>
      <c r="M9" s="436"/>
      <c r="N9" s="436"/>
      <c r="O9" s="436"/>
    </row>
    <row r="10" spans="2:15">
      <c r="B10" s="434">
        <v>2017</v>
      </c>
      <c r="C10" s="438">
        <v>1091729146412</v>
      </c>
      <c r="D10" s="438">
        <v>92876379259.282059</v>
      </c>
      <c r="E10" s="438">
        <v>10937094637.461905</v>
      </c>
      <c r="F10" s="438">
        <v>1412648166</v>
      </c>
      <c r="G10" s="438">
        <v>48006343392</v>
      </c>
      <c r="H10" s="438">
        <v>1244961611866.7439</v>
      </c>
      <c r="I10" s="436"/>
      <c r="J10" s="436"/>
      <c r="K10" s="436"/>
      <c r="L10" s="436"/>
      <c r="M10" s="436"/>
      <c r="N10" s="436"/>
      <c r="O10" s="436"/>
    </row>
    <row r="11" spans="2:15">
      <c r="B11" s="434">
        <v>2018</v>
      </c>
      <c r="C11" s="438">
        <v>1130944150751.6799</v>
      </c>
      <c r="D11" s="438">
        <v>97202215738.300018</v>
      </c>
      <c r="E11" s="438">
        <v>11207635106.190001</v>
      </c>
      <c r="F11" s="438">
        <v>1360441391</v>
      </c>
      <c r="G11" s="438">
        <v>50028306681.440002</v>
      </c>
      <c r="H11" s="438">
        <v>1290742749668.6099</v>
      </c>
      <c r="I11" s="436"/>
      <c r="J11" s="436"/>
      <c r="K11" s="436"/>
      <c r="L11" s="436"/>
      <c r="M11" s="436"/>
      <c r="N11" s="436"/>
      <c r="O11" s="436"/>
    </row>
    <row r="12" spans="2:15">
      <c r="B12" s="439">
        <f>B11+1</f>
        <v>2019</v>
      </c>
      <c r="C12" s="608">
        <v>1172449791555</v>
      </c>
      <c r="D12" s="608">
        <v>98726651736.200012</v>
      </c>
      <c r="E12" s="608">
        <v>11567370427.889999</v>
      </c>
      <c r="F12" s="608">
        <v>1344289010.71</v>
      </c>
      <c r="G12" s="608">
        <v>49209543842.540001</v>
      </c>
      <c r="H12" s="607">
        <f>SUM(C12:G12)</f>
        <v>1333297646572.3398</v>
      </c>
      <c r="I12" s="436"/>
    </row>
    <row r="13" spans="2:15" ht="13">
      <c r="C13" s="440"/>
      <c r="D13" s="440"/>
      <c r="E13" s="440"/>
      <c r="F13" s="440"/>
      <c r="G13" s="440"/>
      <c r="H13" s="440"/>
    </row>
    <row r="14" spans="2:15" ht="13">
      <c r="B14" s="433" t="s">
        <v>840</v>
      </c>
      <c r="C14" s="441"/>
      <c r="D14" s="441"/>
      <c r="E14" s="441"/>
      <c r="F14" s="441"/>
      <c r="G14" s="441"/>
      <c r="H14" s="441"/>
    </row>
    <row r="15" spans="2:15">
      <c r="B15" s="434">
        <f>B8</f>
        <v>2015</v>
      </c>
      <c r="C15" s="435">
        <v>10007871602.596775</v>
      </c>
      <c r="D15" s="435">
        <v>3012973186.0262656</v>
      </c>
      <c r="E15" s="435">
        <v>215708233.76555002</v>
      </c>
      <c r="F15" s="435">
        <v>13274973.785999998</v>
      </c>
      <c r="G15" s="435">
        <v>364855303.00326002</v>
      </c>
      <c r="H15" s="435">
        <v>13614683299.177851</v>
      </c>
      <c r="I15" s="436"/>
      <c r="J15" s="436"/>
      <c r="K15" s="436"/>
      <c r="L15" s="436"/>
      <c r="M15" s="436"/>
      <c r="N15" s="436"/>
    </row>
    <row r="16" spans="2:15">
      <c r="B16" s="434">
        <f>B9</f>
        <v>2016</v>
      </c>
      <c r="C16" s="438">
        <v>10446834664.72967</v>
      </c>
      <c r="D16" s="438">
        <v>3108724600.9577131</v>
      </c>
      <c r="E16" s="438">
        <v>220024079.66569999</v>
      </c>
      <c r="F16" s="438">
        <v>14028692.103300003</v>
      </c>
      <c r="G16" s="438">
        <v>408732706.07139993</v>
      </c>
      <c r="H16" s="438">
        <v>14198344743.527782</v>
      </c>
      <c r="I16" s="436"/>
      <c r="J16" s="436"/>
      <c r="K16" s="436"/>
      <c r="L16" s="436"/>
      <c r="M16" s="436"/>
      <c r="N16" s="436"/>
    </row>
    <row r="17" spans="2:14">
      <c r="B17" s="434">
        <f>B10</f>
        <v>2017</v>
      </c>
      <c r="C17" s="438">
        <v>10820224510.957804</v>
      </c>
      <c r="D17" s="438">
        <v>3279499565.8478804</v>
      </c>
      <c r="E17" s="438">
        <v>232207933.77725005</v>
      </c>
      <c r="F17" s="438">
        <v>14034594.904299999</v>
      </c>
      <c r="G17" s="438">
        <v>404358032.39963996</v>
      </c>
      <c r="H17" s="438">
        <v>14750324637.886873</v>
      </c>
      <c r="I17" s="436"/>
      <c r="J17" s="436"/>
      <c r="K17" s="436"/>
      <c r="L17" s="436"/>
      <c r="M17" s="436"/>
      <c r="N17" s="436"/>
    </row>
    <row r="18" spans="2:14">
      <c r="B18" s="434">
        <f>B11</f>
        <v>2018</v>
      </c>
      <c r="C18" s="438">
        <v>11239557027.180504</v>
      </c>
      <c r="D18" s="438">
        <v>3464493881.5964141</v>
      </c>
      <c r="E18" s="438">
        <v>281779148.09530008</v>
      </c>
      <c r="F18" s="438">
        <v>13905355.629000001</v>
      </c>
      <c r="G18" s="438">
        <v>427590254.37099987</v>
      </c>
      <c r="H18" s="438">
        <v>15427325666.872219</v>
      </c>
      <c r="I18" s="436"/>
      <c r="J18" s="436"/>
      <c r="K18" s="436"/>
      <c r="L18" s="436"/>
      <c r="M18" s="436"/>
      <c r="N18" s="436"/>
    </row>
    <row r="19" spans="2:14">
      <c r="B19" s="439">
        <f>B12</f>
        <v>2019</v>
      </c>
      <c r="C19" s="608">
        <v>11654584398.700165</v>
      </c>
      <c r="D19" s="608">
        <v>3600959729.1374731</v>
      </c>
      <c r="E19" s="608">
        <v>227752597.23180002</v>
      </c>
      <c r="F19" s="608">
        <v>14010085.905490002</v>
      </c>
      <c r="G19" s="608">
        <v>409329416.85523003</v>
      </c>
      <c r="H19" s="607">
        <f>SUM(C19:G19)</f>
        <v>15906636227.83016</v>
      </c>
    </row>
    <row r="20" spans="2:14" ht="13">
      <c r="C20" s="440"/>
      <c r="D20" s="440"/>
      <c r="E20" s="440"/>
      <c r="F20" s="440"/>
      <c r="G20" s="440"/>
      <c r="H20" s="440"/>
    </row>
    <row r="21" spans="2:14" ht="13">
      <c r="B21" s="433" t="s">
        <v>841</v>
      </c>
    </row>
    <row r="22" spans="2:14">
      <c r="B22" s="434">
        <f>B15</f>
        <v>2015</v>
      </c>
      <c r="C22" s="609">
        <f>C15/C8*100</f>
        <v>0.9697778268717776</v>
      </c>
      <c r="D22" s="609">
        <f t="shared" ref="C22:H26" si="0">D15/D8*100</f>
        <v>3.5828655309960218</v>
      </c>
      <c r="E22" s="609">
        <f t="shared" si="0"/>
        <v>1.9837729320421782</v>
      </c>
      <c r="F22" s="609">
        <f t="shared" si="0"/>
        <v>1.0477845297067272</v>
      </c>
      <c r="G22" s="609">
        <f t="shared" si="0"/>
        <v>0.82630646787820472</v>
      </c>
      <c r="H22" s="609">
        <f t="shared" si="0"/>
        <v>1.1613005185255449</v>
      </c>
      <c r="I22" s="436"/>
      <c r="J22" s="436"/>
      <c r="K22" s="436"/>
      <c r="L22" s="436"/>
      <c r="M22" s="436"/>
      <c r="N22" s="436"/>
    </row>
    <row r="23" spans="2:14">
      <c r="B23" s="434">
        <f>B16</f>
        <v>2016</v>
      </c>
      <c r="C23" s="610">
        <f t="shared" si="0"/>
        <v>0.98514512429458689</v>
      </c>
      <c r="D23" s="610">
        <f t="shared" si="0"/>
        <v>3.4981949474806506</v>
      </c>
      <c r="E23" s="610">
        <f t="shared" si="0"/>
        <v>2.0155927463310519</v>
      </c>
      <c r="F23" s="610">
        <f t="shared" si="0"/>
        <v>1.0395173940026223</v>
      </c>
      <c r="G23" s="610">
        <f t="shared" si="0"/>
        <v>0.88342176374782644</v>
      </c>
      <c r="H23" s="610">
        <f t="shared" si="0"/>
        <v>1.1755199559190144</v>
      </c>
      <c r="I23" s="436"/>
      <c r="J23" s="436"/>
      <c r="K23" s="436"/>
      <c r="L23" s="436"/>
      <c r="M23" s="436"/>
      <c r="N23" s="436"/>
    </row>
    <row r="24" spans="2:14">
      <c r="B24" s="434">
        <f>B17</f>
        <v>2017</v>
      </c>
      <c r="C24" s="610">
        <f t="shared" si="0"/>
        <v>0.99110887957134697</v>
      </c>
      <c r="D24" s="610">
        <f t="shared" si="0"/>
        <v>3.5310372691128862</v>
      </c>
      <c r="E24" s="610">
        <f t="shared" si="0"/>
        <v>2.1231226525359657</v>
      </c>
      <c r="F24" s="610">
        <f t="shared" si="0"/>
        <v>0.99349542526500534</v>
      </c>
      <c r="G24" s="610">
        <f t="shared" si="0"/>
        <v>0.84230125401932621</v>
      </c>
      <c r="H24" s="610">
        <f t="shared" si="0"/>
        <v>1.1848015631397391</v>
      </c>
      <c r="I24" s="436"/>
      <c r="J24" s="436"/>
      <c r="K24" s="436"/>
      <c r="L24" s="436"/>
      <c r="M24" s="436"/>
      <c r="N24" s="436"/>
    </row>
    <row r="25" spans="2:14">
      <c r="B25" s="434">
        <f>B18</f>
        <v>2018</v>
      </c>
      <c r="C25" s="610">
        <f t="shared" si="0"/>
        <v>0.99382069571783482</v>
      </c>
      <c r="D25" s="610">
        <f t="shared" si="0"/>
        <v>3.5642128682785983</v>
      </c>
      <c r="E25" s="610">
        <f t="shared" si="0"/>
        <v>2.5141713254000648</v>
      </c>
      <c r="F25" s="610">
        <f t="shared" si="0"/>
        <v>1.0221208881904711</v>
      </c>
      <c r="G25" s="610">
        <f t="shared" si="0"/>
        <v>0.85469663623380554</v>
      </c>
      <c r="H25" s="610">
        <f t="shared" si="0"/>
        <v>1.1952285357274397</v>
      </c>
      <c r="I25" s="436"/>
      <c r="J25" s="436"/>
      <c r="K25" s="436"/>
      <c r="L25" s="436"/>
      <c r="M25" s="436"/>
      <c r="N25" s="436"/>
    </row>
    <row r="26" spans="2:14">
      <c r="B26" s="439">
        <f>B19</f>
        <v>2019</v>
      </c>
      <c r="C26" s="611">
        <f>C19/C12*100</f>
        <v>0.99403697136087077</v>
      </c>
      <c r="D26" s="611">
        <f>D19/D12*100</f>
        <v>3.6474038831574318</v>
      </c>
      <c r="E26" s="611">
        <f t="shared" si="0"/>
        <v>1.9689228304011728</v>
      </c>
      <c r="F26" s="611">
        <f t="shared" si="0"/>
        <v>1.042192995246642</v>
      </c>
      <c r="G26" s="611">
        <f t="shared" si="0"/>
        <v>0.83180900470241403</v>
      </c>
      <c r="H26" s="611">
        <f t="shared" si="0"/>
        <v>1.1930296486102081</v>
      </c>
    </row>
    <row r="27" spans="2:14">
      <c r="C27" s="441"/>
      <c r="D27" s="441"/>
      <c r="E27" s="441"/>
      <c r="F27" s="441"/>
      <c r="G27" s="441"/>
      <c r="H27" s="441"/>
    </row>
    <row r="28" spans="2:14">
      <c r="B28" s="432" t="s">
        <v>15</v>
      </c>
      <c r="C28" s="442"/>
      <c r="D28" s="442"/>
      <c r="E28" s="442"/>
      <c r="F28" s="442"/>
      <c r="G28" s="442"/>
      <c r="H28" s="442"/>
    </row>
    <row r="29" spans="2:14">
      <c r="B29" s="1654" t="s">
        <v>842</v>
      </c>
      <c r="C29" s="1654"/>
      <c r="D29" s="1654"/>
      <c r="E29" s="1654"/>
      <c r="F29" s="1654"/>
      <c r="G29" s="1654"/>
      <c r="H29" s="1654"/>
    </row>
    <row r="30" spans="2:14">
      <c r="B30" s="443" t="s">
        <v>843</v>
      </c>
      <c r="C30" s="446">
        <f>C12/C11-1</f>
        <v>3.6699991574060897E-2</v>
      </c>
      <c r="D30" s="446">
        <f t="shared" ref="D30:H30" si="1">D12/D11-1</f>
        <v>1.5683140413221386E-2</v>
      </c>
      <c r="E30" s="446">
        <f t="shared" si="1"/>
        <v>3.2097344202553169E-2</v>
      </c>
      <c r="F30" s="446">
        <f t="shared" si="1"/>
        <v>-1.1872896838376112E-2</v>
      </c>
      <c r="G30" s="446">
        <f t="shared" si="1"/>
        <v>-1.636599143987727E-2</v>
      </c>
      <c r="H30" s="446">
        <f t="shared" si="1"/>
        <v>3.2969309271468461E-2</v>
      </c>
    </row>
    <row r="31" spans="2:14" s="443" customFormat="1">
      <c r="C31" s="481"/>
      <c r="D31" s="481"/>
      <c r="E31" s="481"/>
      <c r="F31" s="481"/>
      <c r="G31" s="481"/>
      <c r="H31" s="481"/>
    </row>
    <row r="32" spans="2:14" s="443" customFormat="1">
      <c r="C32" s="481"/>
      <c r="D32" s="481"/>
      <c r="E32" s="481"/>
      <c r="F32" s="481"/>
      <c r="G32" s="481"/>
      <c r="H32" s="481"/>
    </row>
    <row r="33" spans="3:8" s="443" customFormat="1">
      <c r="C33" s="482"/>
      <c r="D33" s="482"/>
      <c r="E33" s="482"/>
      <c r="F33" s="482"/>
      <c r="G33" s="482"/>
      <c r="H33" s="482"/>
    </row>
    <row r="34" spans="3:8" s="443" customFormat="1">
      <c r="C34" s="481"/>
      <c r="D34" s="481"/>
      <c r="E34" s="481"/>
      <c r="F34" s="481"/>
      <c r="G34" s="481"/>
      <c r="H34" s="481"/>
    </row>
    <row r="35" spans="3:8" s="443" customFormat="1">
      <c r="C35" s="483"/>
      <c r="D35" s="483"/>
      <c r="E35" s="483"/>
      <c r="F35" s="483"/>
      <c r="G35" s="483"/>
      <c r="H35" s="483"/>
    </row>
    <row r="36" spans="3:8" s="443" customFormat="1">
      <c r="C36" s="483"/>
      <c r="D36" s="483"/>
      <c r="E36" s="483"/>
      <c r="F36" s="483"/>
      <c r="G36" s="483"/>
      <c r="H36" s="483"/>
    </row>
    <row r="37" spans="3:8" s="443" customFormat="1">
      <c r="C37" s="484"/>
      <c r="D37" s="484"/>
      <c r="E37" s="484"/>
      <c r="F37" s="484"/>
      <c r="G37" s="484"/>
      <c r="H37" s="484"/>
    </row>
    <row r="38" spans="3:8" s="443" customFormat="1">
      <c r="C38" s="485"/>
      <c r="D38" s="485"/>
      <c r="E38" s="485"/>
      <c r="F38" s="485"/>
      <c r="G38" s="485"/>
      <c r="H38" s="485"/>
    </row>
    <row r="39" spans="3:8" s="443" customFormat="1">
      <c r="C39" s="485"/>
      <c r="D39" s="485"/>
      <c r="E39" s="485"/>
      <c r="F39" s="485"/>
      <c r="G39" s="485"/>
      <c r="H39" s="485"/>
    </row>
    <row r="40" spans="3:8" s="443" customFormat="1">
      <c r="C40" s="486"/>
      <c r="D40" s="486"/>
      <c r="E40" s="486"/>
      <c r="F40" s="486"/>
      <c r="G40" s="486"/>
      <c r="H40" s="486"/>
    </row>
  </sheetData>
  <mergeCells count="2">
    <mergeCell ref="B2:H2"/>
    <mergeCell ref="B29:H29"/>
  </mergeCells>
  <pageMargins left="0.7" right="0.7" top="0.75" bottom="0.75" header="0.3" footer="0.3"/>
  <pageSetup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176"/>
  <sheetViews>
    <sheetView zoomScaleNormal="100" workbookViewId="0"/>
  </sheetViews>
  <sheetFormatPr defaultColWidth="13.7265625" defaultRowHeight="11.5"/>
  <cols>
    <col min="1" max="1" width="14.453125" style="620" customWidth="1"/>
    <col min="2" max="2" width="17" style="620" bestFit="1" customWidth="1"/>
    <col min="3" max="3" width="16.7265625" style="620" customWidth="1"/>
    <col min="4" max="4" width="17" style="620" bestFit="1" customWidth="1"/>
    <col min="5" max="5" width="17.81640625" style="620" bestFit="1" customWidth="1"/>
    <col min="6" max="6" width="17.7265625" style="620" customWidth="1"/>
    <col min="7" max="7" width="15.54296875" style="620" bestFit="1" customWidth="1"/>
    <col min="8" max="8" width="11.7265625" style="621" customWidth="1"/>
    <col min="9" max="9" width="7" style="672" bestFit="1" customWidth="1"/>
    <col min="10" max="69" width="13.7265625" style="620" customWidth="1"/>
    <col min="70" max="16384" width="13.7265625" style="620"/>
  </cols>
  <sheetData>
    <row r="1" spans="1:9" ht="15.5">
      <c r="A1" s="781" t="s">
        <v>777</v>
      </c>
      <c r="I1" s="811" t="s">
        <v>954</v>
      </c>
    </row>
    <row r="2" spans="1:9" ht="13">
      <c r="A2" s="810" t="s">
        <v>1321</v>
      </c>
      <c r="B2" s="810"/>
      <c r="C2" s="810"/>
      <c r="D2" s="810"/>
      <c r="E2" s="810"/>
      <c r="F2" s="810"/>
      <c r="G2" s="810"/>
      <c r="H2" s="810"/>
    </row>
    <row r="3" spans="1:9" ht="4" customHeight="1">
      <c r="A3" s="645"/>
      <c r="B3" s="645"/>
      <c r="C3" s="645"/>
      <c r="D3" s="645"/>
      <c r="E3" s="645"/>
      <c r="F3" s="645"/>
      <c r="G3" s="645"/>
      <c r="H3" s="645"/>
    </row>
    <row r="4" spans="1:9" ht="4" customHeight="1" thickBot="1">
      <c r="A4" s="645"/>
      <c r="B4" s="645"/>
      <c r="C4" s="645"/>
      <c r="D4" s="645"/>
      <c r="E4" s="645"/>
      <c r="F4" s="645"/>
      <c r="G4" s="645"/>
      <c r="H4" s="645"/>
    </row>
    <row r="5" spans="1:9" s="624" customFormat="1" ht="23">
      <c r="A5" s="1218" t="s">
        <v>18</v>
      </c>
      <c r="B5" s="1220" t="s">
        <v>778</v>
      </c>
      <c r="C5" s="1219" t="s">
        <v>779</v>
      </c>
      <c r="D5" s="1219" t="s">
        <v>780</v>
      </c>
      <c r="E5" s="1220" t="s">
        <v>781</v>
      </c>
      <c r="F5" s="1219" t="s">
        <v>782</v>
      </c>
      <c r="G5" s="1220" t="s">
        <v>783</v>
      </c>
      <c r="H5" s="871" t="s">
        <v>784</v>
      </c>
      <c r="I5" s="678"/>
    </row>
    <row r="6" spans="1:9" ht="21" customHeight="1">
      <c r="A6" s="620" t="s">
        <v>47</v>
      </c>
      <c r="B6" s="625">
        <v>1707539800</v>
      </c>
      <c r="C6" s="625">
        <v>1619080400</v>
      </c>
      <c r="D6" s="625">
        <v>2606109000</v>
      </c>
      <c r="E6" s="403">
        <f>IF(SUM(B6,D6)=0,"",SUM(B6,D6))</f>
        <v>4313648800</v>
      </c>
      <c r="F6" s="403">
        <f>IF(SUM(C6:D6)=0,"",SUM(C6:D6))</f>
        <v>4225189400</v>
      </c>
      <c r="G6" s="625">
        <v>25139876.93</v>
      </c>
      <c r="H6" s="621" t="s">
        <v>1315</v>
      </c>
      <c r="I6" s="715"/>
    </row>
    <row r="7" spans="1:9" ht="12" customHeight="1">
      <c r="A7" s="620" t="s">
        <v>49</v>
      </c>
      <c r="B7" s="626">
        <v>9461280280</v>
      </c>
      <c r="C7" s="626">
        <v>7821670680</v>
      </c>
      <c r="D7" s="626">
        <v>18665697149</v>
      </c>
      <c r="E7" s="409">
        <f t="shared" ref="E7:E35" si="0">IF(SUM(B7,D7)=0,"",SUM(B7,D7))</f>
        <v>28126977429</v>
      </c>
      <c r="F7" s="409">
        <f t="shared" ref="F7:F35" si="1">IF(SUM(C7:D7)=0,"",SUM(C7:D7))</f>
        <v>26487367829</v>
      </c>
      <c r="G7" s="626">
        <v>226202121.2597</v>
      </c>
      <c r="H7" s="621" t="s">
        <v>1315</v>
      </c>
      <c r="I7" s="715"/>
    </row>
    <row r="8" spans="1:9" ht="12" customHeight="1">
      <c r="A8" s="620" t="s">
        <v>51</v>
      </c>
      <c r="B8" s="626">
        <v>331109800</v>
      </c>
      <c r="C8" s="626">
        <v>217059300</v>
      </c>
      <c r="D8" s="626">
        <v>813729700</v>
      </c>
      <c r="E8" s="409">
        <f t="shared" si="0"/>
        <v>1144839500</v>
      </c>
      <c r="F8" s="409">
        <f t="shared" si="1"/>
        <v>1030789000</v>
      </c>
      <c r="G8" s="626">
        <v>7524759.7000000002</v>
      </c>
      <c r="H8" s="621" t="s">
        <v>1315</v>
      </c>
      <c r="I8" s="715"/>
    </row>
    <row r="9" spans="1:9" ht="12" customHeight="1">
      <c r="A9" s="620" t="s">
        <v>53</v>
      </c>
      <c r="B9" s="626">
        <v>639606922</v>
      </c>
      <c r="C9" s="626">
        <v>565444122</v>
      </c>
      <c r="D9" s="626">
        <v>1198020300</v>
      </c>
      <c r="E9" s="409">
        <f t="shared" si="0"/>
        <v>1837627222</v>
      </c>
      <c r="F9" s="409">
        <f t="shared" si="1"/>
        <v>1763464422</v>
      </c>
      <c r="G9" s="626">
        <v>6701164.8036000002</v>
      </c>
      <c r="H9" s="621" t="s">
        <v>1315</v>
      </c>
      <c r="I9" s="715"/>
    </row>
    <row r="10" spans="1:9" ht="12" customHeight="1">
      <c r="A10" s="620" t="s">
        <v>55</v>
      </c>
      <c r="B10" s="626">
        <v>1039922100</v>
      </c>
      <c r="C10" s="626">
        <v>734604400</v>
      </c>
      <c r="D10" s="626">
        <v>1794666100</v>
      </c>
      <c r="E10" s="409">
        <f t="shared" si="0"/>
        <v>2834588200</v>
      </c>
      <c r="F10" s="409">
        <f t="shared" si="1"/>
        <v>2529270500</v>
      </c>
      <c r="G10" s="626">
        <v>15428550.050000001</v>
      </c>
      <c r="H10" s="621" t="s">
        <v>1315</v>
      </c>
      <c r="I10" s="715"/>
    </row>
    <row r="11" spans="1:9" ht="21" customHeight="1">
      <c r="A11" s="620" t="s">
        <v>57</v>
      </c>
      <c r="B11" s="626">
        <v>616314700</v>
      </c>
      <c r="C11" s="626">
        <v>568602143</v>
      </c>
      <c r="D11" s="626">
        <v>893194300</v>
      </c>
      <c r="E11" s="409">
        <f t="shared" si="0"/>
        <v>1509509000</v>
      </c>
      <c r="F11" s="409">
        <f t="shared" si="1"/>
        <v>1461796443</v>
      </c>
      <c r="G11" s="626">
        <v>9209317.5909000002</v>
      </c>
      <c r="H11" s="621" t="s">
        <v>1315</v>
      </c>
      <c r="I11" s="715"/>
    </row>
    <row r="12" spans="1:9" ht="12" customHeight="1">
      <c r="A12" s="620" t="s">
        <v>59</v>
      </c>
      <c r="B12" s="626">
        <v>37675876700</v>
      </c>
      <c r="C12" s="626">
        <v>37675876700</v>
      </c>
      <c r="D12" s="626">
        <v>51522064400</v>
      </c>
      <c r="E12" s="409">
        <f t="shared" si="0"/>
        <v>89197941100</v>
      </c>
      <c r="F12" s="409">
        <f t="shared" si="1"/>
        <v>89197941100</v>
      </c>
      <c r="G12" s="626">
        <v>921414731.56299996</v>
      </c>
      <c r="H12" s="621" t="s">
        <v>1315</v>
      </c>
      <c r="I12" s="715"/>
    </row>
    <row r="13" spans="1:9" ht="12" customHeight="1">
      <c r="A13" s="620" t="s">
        <v>61</v>
      </c>
      <c r="B13" s="626">
        <v>3724844200</v>
      </c>
      <c r="C13" s="626">
        <v>2488014200</v>
      </c>
      <c r="D13" s="626">
        <v>5405180300</v>
      </c>
      <c r="E13" s="409">
        <f t="shared" si="0"/>
        <v>9130024500</v>
      </c>
      <c r="F13" s="409">
        <f t="shared" si="1"/>
        <v>7893194500</v>
      </c>
      <c r="G13" s="626">
        <v>49727125.350000001</v>
      </c>
      <c r="H13" s="621" t="s">
        <v>1315</v>
      </c>
      <c r="I13" s="715"/>
    </row>
    <row r="14" spans="1:9" ht="12" customHeight="1">
      <c r="A14" s="620" t="s">
        <v>343</v>
      </c>
      <c r="B14" s="626">
        <v>408523400</v>
      </c>
      <c r="C14" s="626">
        <v>376558100</v>
      </c>
      <c r="D14" s="626">
        <v>570430400</v>
      </c>
      <c r="E14" s="409">
        <f t="shared" si="0"/>
        <v>978953800</v>
      </c>
      <c r="F14" s="409">
        <f t="shared" si="1"/>
        <v>946988500</v>
      </c>
      <c r="G14" s="626">
        <v>5681931</v>
      </c>
      <c r="H14" s="621" t="s">
        <v>1315</v>
      </c>
      <c r="I14" s="715"/>
    </row>
    <row r="15" spans="1:9" ht="12" customHeight="1">
      <c r="A15" s="620" t="s">
        <v>785</v>
      </c>
      <c r="B15" s="626">
        <v>5007761300</v>
      </c>
      <c r="C15" s="626">
        <v>3779949400</v>
      </c>
      <c r="D15" s="626">
        <v>8809588900</v>
      </c>
      <c r="E15" s="409">
        <f t="shared" si="0"/>
        <v>13817350200</v>
      </c>
      <c r="F15" s="409">
        <f t="shared" si="1"/>
        <v>12589538300</v>
      </c>
      <c r="G15" s="626">
        <v>51617107.030000001</v>
      </c>
      <c r="H15" s="621" t="s">
        <v>1315</v>
      </c>
      <c r="I15" s="715"/>
    </row>
    <row r="16" spans="1:9" ht="21" customHeight="1">
      <c r="A16" s="620" t="s">
        <v>66</v>
      </c>
      <c r="B16" s="626">
        <v>350516500</v>
      </c>
      <c r="C16" s="626">
        <v>199981800</v>
      </c>
      <c r="D16" s="626">
        <v>276029300</v>
      </c>
      <c r="E16" s="409">
        <f t="shared" si="0"/>
        <v>626545800</v>
      </c>
      <c r="F16" s="409">
        <f t="shared" si="1"/>
        <v>476011100</v>
      </c>
      <c r="G16" s="626">
        <v>2856066.6</v>
      </c>
      <c r="H16" s="621" t="s">
        <v>1315</v>
      </c>
      <c r="I16" s="715"/>
    </row>
    <row r="17" spans="1:9" ht="12" customHeight="1">
      <c r="A17" s="620" t="s">
        <v>68</v>
      </c>
      <c r="B17" s="626">
        <v>1329430530</v>
      </c>
      <c r="C17" s="626">
        <v>1020410380</v>
      </c>
      <c r="D17" s="626">
        <v>2973467200</v>
      </c>
      <c r="E17" s="409">
        <f t="shared" si="0"/>
        <v>4302897730</v>
      </c>
      <c r="F17" s="409">
        <f t="shared" si="1"/>
        <v>3993877580</v>
      </c>
      <c r="G17" s="626">
        <v>31551632.881999999</v>
      </c>
      <c r="H17" s="621" t="s">
        <v>1315</v>
      </c>
      <c r="I17" s="715"/>
    </row>
    <row r="18" spans="1:9" ht="12" customHeight="1">
      <c r="A18" s="620" t="s">
        <v>70</v>
      </c>
      <c r="B18" s="626">
        <v>697798400</v>
      </c>
      <c r="C18" s="626">
        <v>697798400</v>
      </c>
      <c r="D18" s="626">
        <v>644226628</v>
      </c>
      <c r="E18" s="409">
        <f t="shared" si="0"/>
        <v>1342025028</v>
      </c>
      <c r="F18" s="409">
        <f t="shared" si="1"/>
        <v>1342025028</v>
      </c>
      <c r="G18" s="626">
        <v>8723162.682</v>
      </c>
      <c r="H18" s="621" t="s">
        <v>1315</v>
      </c>
      <c r="I18" s="715"/>
    </row>
    <row r="19" spans="1:9" ht="12" customHeight="1">
      <c r="A19" s="620" t="s">
        <v>72</v>
      </c>
      <c r="B19" s="626">
        <v>627774296</v>
      </c>
      <c r="C19" s="626">
        <v>627774296</v>
      </c>
      <c r="D19" s="626">
        <v>1553396402</v>
      </c>
      <c r="E19" s="409">
        <f t="shared" si="0"/>
        <v>2181170698</v>
      </c>
      <c r="F19" s="409">
        <f t="shared" si="1"/>
        <v>2181170698</v>
      </c>
      <c r="G19" s="626">
        <v>8506565.7222000007</v>
      </c>
      <c r="H19" s="621" t="s">
        <v>1315</v>
      </c>
      <c r="I19" s="715"/>
    </row>
    <row r="20" spans="1:9" ht="12" customHeight="1">
      <c r="A20" s="620" t="s">
        <v>74</v>
      </c>
      <c r="B20" s="626">
        <v>786193500</v>
      </c>
      <c r="C20" s="626">
        <v>786193500</v>
      </c>
      <c r="D20" s="626">
        <v>841352699</v>
      </c>
      <c r="E20" s="409">
        <f t="shared" si="0"/>
        <v>1627546199</v>
      </c>
      <c r="F20" s="409">
        <f t="shared" si="1"/>
        <v>1627546199</v>
      </c>
      <c r="G20" s="626">
        <v>8951504.0944999997</v>
      </c>
      <c r="H20" s="621" t="s">
        <v>1315</v>
      </c>
      <c r="I20" s="715"/>
    </row>
    <row r="21" spans="1:9" ht="21" customHeight="1">
      <c r="A21" s="620" t="s">
        <v>76</v>
      </c>
      <c r="B21" s="626">
        <v>1731384411</v>
      </c>
      <c r="C21" s="626">
        <v>1365505319</v>
      </c>
      <c r="D21" s="626">
        <v>4487532400</v>
      </c>
      <c r="E21" s="409">
        <f t="shared" si="0"/>
        <v>6218916811</v>
      </c>
      <c r="F21" s="409">
        <f t="shared" si="1"/>
        <v>5853037719</v>
      </c>
      <c r="G21" s="626">
        <v>26338669.7355</v>
      </c>
      <c r="H21" s="621" t="s">
        <v>1315</v>
      </c>
      <c r="I21" s="715"/>
    </row>
    <row r="22" spans="1:9" ht="12" customHeight="1">
      <c r="A22" s="620" t="s">
        <v>78</v>
      </c>
      <c r="B22" s="626">
        <v>1500682330</v>
      </c>
      <c r="C22" s="626">
        <v>1286318583</v>
      </c>
      <c r="D22" s="626">
        <v>2146051100</v>
      </c>
      <c r="E22" s="409">
        <f t="shared" si="0"/>
        <v>3646733430</v>
      </c>
      <c r="F22" s="409">
        <f t="shared" si="1"/>
        <v>3432369683</v>
      </c>
      <c r="G22" s="626">
        <v>26429246.559099998</v>
      </c>
      <c r="H22" s="621" t="s">
        <v>1315</v>
      </c>
      <c r="I22" s="715"/>
    </row>
    <row r="23" spans="1:9" ht="12" customHeight="1">
      <c r="A23" s="620" t="s">
        <v>80</v>
      </c>
      <c r="B23" s="626">
        <v>1068392800</v>
      </c>
      <c r="C23" s="626">
        <v>871498480</v>
      </c>
      <c r="D23" s="626">
        <v>1553984800</v>
      </c>
      <c r="E23" s="409">
        <f t="shared" si="0"/>
        <v>2622377600</v>
      </c>
      <c r="F23" s="409">
        <f t="shared" si="1"/>
        <v>2425483280</v>
      </c>
      <c r="G23" s="626">
        <v>14310351.352</v>
      </c>
      <c r="H23" s="621" t="s">
        <v>1315</v>
      </c>
      <c r="I23" s="715"/>
    </row>
    <row r="24" spans="1:9" ht="12" customHeight="1">
      <c r="A24" s="620" t="s">
        <v>379</v>
      </c>
      <c r="B24" s="626">
        <v>449469900</v>
      </c>
      <c r="C24" s="626">
        <v>449469900</v>
      </c>
      <c r="D24" s="626">
        <v>585395800</v>
      </c>
      <c r="E24" s="409">
        <f t="shared" si="0"/>
        <v>1034865700</v>
      </c>
      <c r="F24" s="409">
        <f t="shared" si="1"/>
        <v>1034865700</v>
      </c>
      <c r="G24" s="626">
        <v>6830113.6200000001</v>
      </c>
      <c r="H24" s="621" t="s">
        <v>1315</v>
      </c>
      <c r="I24" s="715"/>
    </row>
    <row r="25" spans="1:9" ht="12" customHeight="1">
      <c r="A25" s="620" t="s">
        <v>84</v>
      </c>
      <c r="B25" s="626">
        <v>515257812</v>
      </c>
      <c r="C25" s="626">
        <v>515257812</v>
      </c>
      <c r="D25" s="626">
        <v>505746417</v>
      </c>
      <c r="E25" s="409">
        <f t="shared" si="0"/>
        <v>1021004229</v>
      </c>
      <c r="F25" s="409">
        <f t="shared" si="1"/>
        <v>1021004229</v>
      </c>
      <c r="G25" s="626">
        <v>6330226.2198000001</v>
      </c>
      <c r="H25" s="621" t="s">
        <v>1315</v>
      </c>
      <c r="I25" s="715"/>
    </row>
    <row r="26" spans="1:9" ht="21" customHeight="1">
      <c r="A26" s="620" t="s">
        <v>86</v>
      </c>
      <c r="B26" s="626">
        <v>12371513900</v>
      </c>
      <c r="C26" s="626">
        <v>12198771435</v>
      </c>
      <c r="D26" s="626">
        <v>43409193600</v>
      </c>
      <c r="E26" s="409">
        <f t="shared" si="0"/>
        <v>55780707500</v>
      </c>
      <c r="F26" s="409">
        <f t="shared" si="1"/>
        <v>55607965035</v>
      </c>
      <c r="G26" s="626">
        <v>506032481.81849998</v>
      </c>
      <c r="H26" s="621" t="s">
        <v>1315</v>
      </c>
      <c r="I26" s="715"/>
    </row>
    <row r="27" spans="1:9" ht="12" customHeight="1">
      <c r="A27" s="620" t="s">
        <v>88</v>
      </c>
      <c r="B27" s="626">
        <v>970160100</v>
      </c>
      <c r="C27" s="626">
        <v>970160100</v>
      </c>
      <c r="D27" s="626">
        <v>1608416200</v>
      </c>
      <c r="E27" s="409">
        <f t="shared" si="0"/>
        <v>2578576300</v>
      </c>
      <c r="F27" s="409">
        <f t="shared" si="1"/>
        <v>2578576300</v>
      </c>
      <c r="G27" s="626">
        <v>15471457.800000001</v>
      </c>
      <c r="H27" s="621" t="s">
        <v>1315</v>
      </c>
      <c r="I27" s="715"/>
    </row>
    <row r="28" spans="1:9" ht="12" customHeight="1">
      <c r="A28" s="620" t="s">
        <v>90</v>
      </c>
      <c r="B28" s="626">
        <v>231145100</v>
      </c>
      <c r="C28" s="626">
        <v>231145100</v>
      </c>
      <c r="D28" s="626">
        <v>300890800</v>
      </c>
      <c r="E28" s="409">
        <f t="shared" si="0"/>
        <v>532035900</v>
      </c>
      <c r="F28" s="409">
        <f t="shared" si="1"/>
        <v>532035900</v>
      </c>
      <c r="G28" s="626">
        <v>3351826.17</v>
      </c>
      <c r="H28" s="621" t="s">
        <v>1315</v>
      </c>
      <c r="I28" s="715"/>
    </row>
    <row r="29" spans="1:9" ht="12" customHeight="1">
      <c r="A29" s="620" t="s">
        <v>92</v>
      </c>
      <c r="B29" s="626">
        <v>3120461113</v>
      </c>
      <c r="C29" s="626">
        <v>2535068513</v>
      </c>
      <c r="D29" s="626">
        <v>5875113100</v>
      </c>
      <c r="E29" s="409">
        <f t="shared" si="0"/>
        <v>8995574213</v>
      </c>
      <c r="F29" s="409">
        <f t="shared" si="1"/>
        <v>8410181613</v>
      </c>
      <c r="G29" s="626">
        <v>38686835.419799998</v>
      </c>
      <c r="H29" s="621" t="s">
        <v>1315</v>
      </c>
      <c r="I29" s="715"/>
    </row>
    <row r="30" spans="1:9" ht="12" customHeight="1">
      <c r="A30" s="620" t="s">
        <v>94</v>
      </c>
      <c r="B30" s="626">
        <v>446219580</v>
      </c>
      <c r="C30" s="626">
        <v>406396032</v>
      </c>
      <c r="D30" s="626">
        <v>548304440</v>
      </c>
      <c r="E30" s="409">
        <f t="shared" si="0"/>
        <v>994524020</v>
      </c>
      <c r="F30" s="409">
        <f t="shared" si="1"/>
        <v>954700472</v>
      </c>
      <c r="G30" s="626">
        <v>7160253.54</v>
      </c>
      <c r="H30" s="621" t="s">
        <v>1315</v>
      </c>
      <c r="I30" s="715"/>
    </row>
    <row r="31" spans="1:9" ht="21" customHeight="1">
      <c r="A31" s="620" t="s">
        <v>96</v>
      </c>
      <c r="B31" s="626">
        <v>398631487</v>
      </c>
      <c r="C31" s="626">
        <v>398631487</v>
      </c>
      <c r="D31" s="626">
        <v>791476800</v>
      </c>
      <c r="E31" s="409">
        <f t="shared" si="0"/>
        <v>1190108287</v>
      </c>
      <c r="F31" s="409">
        <f t="shared" si="1"/>
        <v>1190108287</v>
      </c>
      <c r="G31" s="626">
        <v>7140649.7220000001</v>
      </c>
      <c r="H31" s="621" t="s">
        <v>1315</v>
      </c>
      <c r="I31" s="715"/>
    </row>
    <row r="32" spans="1:9" ht="12" customHeight="1">
      <c r="A32" s="620" t="s">
        <v>98</v>
      </c>
      <c r="B32" s="626">
        <v>1038646053.5</v>
      </c>
      <c r="C32" s="626">
        <v>876693353.5</v>
      </c>
      <c r="D32" s="626">
        <v>1819852549</v>
      </c>
      <c r="E32" s="409">
        <f t="shared" si="0"/>
        <v>2858498602.5</v>
      </c>
      <c r="F32" s="409">
        <f t="shared" si="1"/>
        <v>2696545902.5</v>
      </c>
      <c r="G32" s="626">
        <v>21302712.629799999</v>
      </c>
      <c r="H32" s="621" t="s">
        <v>1315</v>
      </c>
      <c r="I32" s="715"/>
    </row>
    <row r="33" spans="1:9" ht="12" customHeight="1">
      <c r="A33" s="620" t="s">
        <v>100</v>
      </c>
      <c r="B33" s="626">
        <v>688997314</v>
      </c>
      <c r="C33" s="626">
        <v>595002038</v>
      </c>
      <c r="D33" s="626">
        <v>937281323</v>
      </c>
      <c r="E33" s="409">
        <f t="shared" si="0"/>
        <v>1626278637</v>
      </c>
      <c r="F33" s="409">
        <f t="shared" si="1"/>
        <v>1532283361</v>
      </c>
      <c r="G33" s="626">
        <v>11185668.5353</v>
      </c>
      <c r="H33" s="621" t="s">
        <v>1315</v>
      </c>
      <c r="I33" s="715"/>
    </row>
    <row r="34" spans="1:9" ht="12" customHeight="1">
      <c r="A34" s="620" t="s">
        <v>1203</v>
      </c>
      <c r="B34" s="626">
        <v>109773120160</v>
      </c>
      <c r="C34" s="626">
        <v>109564519987</v>
      </c>
      <c r="D34" s="626">
        <v>205496940790</v>
      </c>
      <c r="E34" s="409">
        <f t="shared" si="0"/>
        <v>315270060950</v>
      </c>
      <c r="F34" s="409">
        <f t="shared" si="1"/>
        <v>315061460777</v>
      </c>
      <c r="G34" s="626">
        <v>3449922995.5082002</v>
      </c>
      <c r="H34" s="621" t="s">
        <v>1315</v>
      </c>
      <c r="I34" s="715"/>
    </row>
    <row r="35" spans="1:9" ht="12" customHeight="1">
      <c r="A35" s="620" t="s">
        <v>104</v>
      </c>
      <c r="B35" s="626">
        <v>6621053200</v>
      </c>
      <c r="C35" s="626">
        <v>5260658900</v>
      </c>
      <c r="D35" s="626">
        <v>10530127300</v>
      </c>
      <c r="E35" s="409">
        <f t="shared" si="0"/>
        <v>17151180500</v>
      </c>
      <c r="F35" s="409">
        <f t="shared" si="1"/>
        <v>15790786200</v>
      </c>
      <c r="G35" s="626">
        <v>148907113.866</v>
      </c>
      <c r="H35" s="621" t="s">
        <v>1315</v>
      </c>
      <c r="I35" s="715"/>
    </row>
    <row r="36" spans="1:9" ht="15.5">
      <c r="A36" s="781" t="s">
        <v>786</v>
      </c>
    </row>
    <row r="37" spans="1:9" ht="13">
      <c r="A37" s="810" t="str">
        <f>A2</f>
        <v>Real Estate Fair Market Value (FMV), Fair Market Value (Taxable), and Local Levy by Locality - Tax Year 2023</v>
      </c>
      <c r="B37" s="810"/>
      <c r="C37" s="810"/>
      <c r="D37" s="810"/>
      <c r="E37" s="810"/>
      <c r="F37" s="810"/>
      <c r="G37" s="810"/>
      <c r="H37" s="810"/>
    </row>
    <row r="38" spans="1:9" ht="4" customHeight="1">
      <c r="A38" s="645"/>
      <c r="B38" s="645"/>
      <c r="C38" s="645"/>
      <c r="D38" s="645"/>
      <c r="E38" s="645"/>
      <c r="F38" s="645"/>
      <c r="G38" s="645"/>
      <c r="H38" s="645"/>
    </row>
    <row r="39" spans="1:9" ht="4" customHeight="1" thickBot="1">
      <c r="A39" s="622"/>
      <c r="B39" s="622"/>
      <c r="C39" s="622"/>
      <c r="D39" s="622"/>
      <c r="E39" s="622"/>
      <c r="F39" s="622"/>
      <c r="G39" s="622"/>
      <c r="H39" s="622"/>
    </row>
    <row r="40" spans="1:9" ht="23">
      <c r="A40" s="1218" t="s">
        <v>18</v>
      </c>
      <c r="B40" s="1220" t="s">
        <v>778</v>
      </c>
      <c r="C40" s="1219" t="s">
        <v>779</v>
      </c>
      <c r="D40" s="1219" t="s">
        <v>780</v>
      </c>
      <c r="E40" s="1220" t="s">
        <v>781</v>
      </c>
      <c r="F40" s="1219" t="s">
        <v>782</v>
      </c>
      <c r="G40" s="1220" t="s">
        <v>783</v>
      </c>
      <c r="H40" s="871" t="s">
        <v>784</v>
      </c>
    </row>
    <row r="41" spans="1:9" ht="21" customHeight="1">
      <c r="A41" s="620" t="s">
        <v>106</v>
      </c>
      <c r="B41" s="625">
        <v>933203200</v>
      </c>
      <c r="C41" s="625">
        <v>732978000</v>
      </c>
      <c r="D41" s="625">
        <v>1013016800</v>
      </c>
      <c r="E41" s="403">
        <f t="shared" ref="E41:E70" si="2">IF(SUM(B41,D41)=0,"",SUM(B41,D41))</f>
        <v>1946220000</v>
      </c>
      <c r="F41" s="403">
        <f t="shared" ref="F41:F70" si="3">IF(SUM(C41:D41)=0,"",SUM(C41:D41))</f>
        <v>1745994800</v>
      </c>
      <c r="G41" s="625">
        <v>11348966.199999999</v>
      </c>
      <c r="H41" s="621" t="s">
        <v>1315</v>
      </c>
      <c r="I41" s="715"/>
    </row>
    <row r="42" spans="1:9" ht="12" customHeight="1">
      <c r="A42" s="620" t="s">
        <v>108</v>
      </c>
      <c r="B42" s="626">
        <v>1090126800</v>
      </c>
      <c r="C42" s="626">
        <v>788159400</v>
      </c>
      <c r="D42" s="626">
        <v>2643806600</v>
      </c>
      <c r="E42" s="409">
        <f t="shared" si="2"/>
        <v>3733933400</v>
      </c>
      <c r="F42" s="409">
        <f t="shared" si="3"/>
        <v>3431966000</v>
      </c>
      <c r="G42" s="626">
        <v>28965793.039999999</v>
      </c>
      <c r="H42" s="621" t="s">
        <v>1315</v>
      </c>
      <c r="I42" s="715"/>
    </row>
    <row r="43" spans="1:9" ht="12" customHeight="1">
      <c r="A43" s="620" t="s">
        <v>21</v>
      </c>
      <c r="B43" s="626">
        <v>3048369600</v>
      </c>
      <c r="C43" s="626">
        <v>2607912020</v>
      </c>
      <c r="D43" s="626">
        <v>4723416200</v>
      </c>
      <c r="E43" s="409">
        <f t="shared" si="2"/>
        <v>7771785800</v>
      </c>
      <c r="F43" s="409">
        <f t="shared" si="3"/>
        <v>7331328220</v>
      </c>
      <c r="G43" s="626">
        <v>44721102.141999997</v>
      </c>
      <c r="H43" s="621" t="s">
        <v>1315</v>
      </c>
      <c r="I43" s="715"/>
    </row>
    <row r="44" spans="1:9" ht="12" customHeight="1">
      <c r="A44" s="620" t="s">
        <v>111</v>
      </c>
      <c r="B44" s="626">
        <v>4585314200</v>
      </c>
      <c r="C44" s="626">
        <v>4041692400</v>
      </c>
      <c r="D44" s="626">
        <v>11338747200</v>
      </c>
      <c r="E44" s="409">
        <f t="shared" si="2"/>
        <v>15924061400</v>
      </c>
      <c r="F44" s="409">
        <f t="shared" si="3"/>
        <v>15380439600</v>
      </c>
      <c r="G44" s="626">
        <v>78440241.959999993</v>
      </c>
      <c r="H44" s="621" t="s">
        <v>1315</v>
      </c>
      <c r="I44" s="715"/>
    </row>
    <row r="45" spans="1:9" ht="12" customHeight="1">
      <c r="A45" s="620" t="s">
        <v>113</v>
      </c>
      <c r="B45" s="626">
        <v>455660300</v>
      </c>
      <c r="C45" s="626">
        <v>335447400</v>
      </c>
      <c r="D45" s="626">
        <v>846147500</v>
      </c>
      <c r="E45" s="409">
        <f t="shared" si="2"/>
        <v>1301807800</v>
      </c>
      <c r="F45" s="409">
        <f t="shared" si="3"/>
        <v>1181594900</v>
      </c>
      <c r="G45" s="626">
        <v>8034845.3200000003</v>
      </c>
      <c r="H45" s="621" t="s">
        <v>1315</v>
      </c>
      <c r="I45" s="715"/>
    </row>
    <row r="46" spans="1:9" ht="21" customHeight="1">
      <c r="A46" s="620" t="s">
        <v>48</v>
      </c>
      <c r="B46" s="626">
        <v>2014902104</v>
      </c>
      <c r="C46" s="626">
        <v>1898371234</v>
      </c>
      <c r="D46" s="626">
        <v>4090637652</v>
      </c>
      <c r="E46" s="409">
        <f t="shared" si="2"/>
        <v>6105539756</v>
      </c>
      <c r="F46" s="409">
        <f t="shared" si="3"/>
        <v>5989008886</v>
      </c>
      <c r="G46" s="626">
        <v>34915921.805399999</v>
      </c>
      <c r="H46" s="621" t="s">
        <v>1315</v>
      </c>
      <c r="I46" s="715"/>
    </row>
    <row r="47" spans="1:9" ht="12" customHeight="1">
      <c r="A47" s="620" t="s">
        <v>50</v>
      </c>
      <c r="B47" s="626">
        <v>3550790000</v>
      </c>
      <c r="C47" s="626">
        <v>2819607800</v>
      </c>
      <c r="D47" s="626">
        <v>5023393900</v>
      </c>
      <c r="E47" s="409">
        <f t="shared" si="2"/>
        <v>8574183900</v>
      </c>
      <c r="F47" s="409">
        <f t="shared" si="3"/>
        <v>7843001700</v>
      </c>
      <c r="G47" s="626">
        <v>41567909.009999998</v>
      </c>
      <c r="H47" s="621" t="s">
        <v>1315</v>
      </c>
      <c r="I47" s="715"/>
    </row>
    <row r="48" spans="1:9" ht="12" customHeight="1">
      <c r="A48" s="620" t="s">
        <v>52</v>
      </c>
      <c r="B48" s="626">
        <v>821547500</v>
      </c>
      <c r="C48" s="626">
        <v>821547500</v>
      </c>
      <c r="D48" s="626">
        <v>1070868800</v>
      </c>
      <c r="E48" s="409">
        <f t="shared" si="2"/>
        <v>1892416300</v>
      </c>
      <c r="F48" s="409">
        <f t="shared" si="3"/>
        <v>1892416300</v>
      </c>
      <c r="G48" s="626">
        <v>10219048.02</v>
      </c>
      <c r="H48" s="621" t="s">
        <v>1315</v>
      </c>
      <c r="I48" s="715"/>
    </row>
    <row r="49" spans="1:9" ht="12" customHeight="1">
      <c r="A49" s="620" t="s">
        <v>54</v>
      </c>
      <c r="B49" s="626">
        <v>973696602</v>
      </c>
      <c r="C49" s="626">
        <v>702451792</v>
      </c>
      <c r="D49" s="626">
        <v>2161171647</v>
      </c>
      <c r="E49" s="409">
        <f t="shared" si="2"/>
        <v>3134868249</v>
      </c>
      <c r="F49" s="409">
        <f t="shared" si="3"/>
        <v>2863623439</v>
      </c>
      <c r="G49" s="626">
        <v>20904451.104699999</v>
      </c>
      <c r="H49" s="621" t="s">
        <v>1315</v>
      </c>
      <c r="I49" s="715"/>
    </row>
    <row r="50" spans="1:9" ht="12" customHeight="1">
      <c r="A50" s="620" t="s">
        <v>56</v>
      </c>
      <c r="B50" s="626">
        <v>339445260</v>
      </c>
      <c r="C50" s="626">
        <v>325286883</v>
      </c>
      <c r="D50" s="626">
        <v>323499700</v>
      </c>
      <c r="E50" s="409">
        <f t="shared" si="2"/>
        <v>662944960</v>
      </c>
      <c r="F50" s="409">
        <f t="shared" si="3"/>
        <v>648786583</v>
      </c>
      <c r="G50" s="626">
        <v>4346870.1061000004</v>
      </c>
      <c r="H50" s="621" t="s">
        <v>1315</v>
      </c>
      <c r="I50" s="715"/>
    </row>
    <row r="51" spans="1:9" ht="21" customHeight="1">
      <c r="A51" s="620" t="s">
        <v>312</v>
      </c>
      <c r="B51" s="626">
        <v>1211377026</v>
      </c>
      <c r="C51" s="626">
        <v>1203897999</v>
      </c>
      <c r="D51" s="626">
        <v>1935959305</v>
      </c>
      <c r="E51" s="409">
        <f t="shared" si="2"/>
        <v>3147336331</v>
      </c>
      <c r="F51" s="409">
        <f t="shared" si="3"/>
        <v>3139857304</v>
      </c>
      <c r="G51" s="626">
        <v>15699286.52</v>
      </c>
      <c r="H51" s="621" t="s">
        <v>1315</v>
      </c>
      <c r="I51" s="715"/>
    </row>
    <row r="52" spans="1:9" ht="12" customHeight="1">
      <c r="A52" s="620" t="s">
        <v>60</v>
      </c>
      <c r="B52" s="626">
        <v>6879742439</v>
      </c>
      <c r="C52" s="626">
        <v>6030608355.1899996</v>
      </c>
      <c r="D52" s="626">
        <v>16179561550</v>
      </c>
      <c r="E52" s="409">
        <f t="shared" si="2"/>
        <v>23059303989</v>
      </c>
      <c r="F52" s="409">
        <f t="shared" si="3"/>
        <v>22210169905.189999</v>
      </c>
      <c r="G52" s="626">
        <v>179902376.23199999</v>
      </c>
      <c r="H52" s="621" t="s">
        <v>1315</v>
      </c>
      <c r="I52" s="715"/>
    </row>
    <row r="53" spans="1:9" ht="12" customHeight="1">
      <c r="A53" s="620" t="s">
        <v>62</v>
      </c>
      <c r="B53" s="626">
        <v>12616783200</v>
      </c>
      <c r="C53" s="626">
        <v>12461259300</v>
      </c>
      <c r="D53" s="626">
        <v>43861318300</v>
      </c>
      <c r="E53" s="409">
        <f t="shared" si="2"/>
        <v>56478101500</v>
      </c>
      <c r="F53" s="409">
        <f t="shared" si="3"/>
        <v>56322577600</v>
      </c>
      <c r="G53" s="626">
        <v>478741909.60000002</v>
      </c>
      <c r="H53" s="621" t="s">
        <v>1315</v>
      </c>
      <c r="I53" s="715"/>
    </row>
    <row r="54" spans="1:9" ht="12" customHeight="1">
      <c r="A54" s="620" t="s">
        <v>64</v>
      </c>
      <c r="B54" s="626">
        <v>802552993</v>
      </c>
      <c r="C54" s="626">
        <v>766799644</v>
      </c>
      <c r="D54" s="626">
        <v>2288618311</v>
      </c>
      <c r="E54" s="409">
        <f t="shared" si="2"/>
        <v>3091171304</v>
      </c>
      <c r="F54" s="409">
        <f t="shared" si="3"/>
        <v>3055417955</v>
      </c>
      <c r="G54" s="626">
        <v>16957569.650199998</v>
      </c>
      <c r="H54" s="621" t="s">
        <v>1315</v>
      </c>
      <c r="I54" s="715"/>
    </row>
    <row r="55" spans="1:9" ht="12" customHeight="1">
      <c r="A55" s="620" t="s">
        <v>65</v>
      </c>
      <c r="B55" s="626">
        <v>436341300</v>
      </c>
      <c r="C55" s="626">
        <v>436341300</v>
      </c>
      <c r="D55" s="626">
        <v>246252100</v>
      </c>
      <c r="E55" s="409">
        <f t="shared" si="2"/>
        <v>682593400</v>
      </c>
      <c r="F55" s="409">
        <f t="shared" si="3"/>
        <v>682593400</v>
      </c>
      <c r="G55" s="626">
        <v>3276448.32</v>
      </c>
      <c r="H55" s="621" t="s">
        <v>1315</v>
      </c>
      <c r="I55" s="715"/>
    </row>
    <row r="56" spans="1:9" ht="21" customHeight="1">
      <c r="A56" s="620" t="s">
        <v>67</v>
      </c>
      <c r="B56" s="626">
        <v>1764623492</v>
      </c>
      <c r="C56" s="626">
        <v>1462083292</v>
      </c>
      <c r="D56" s="626">
        <v>3554416868</v>
      </c>
      <c r="E56" s="409">
        <f t="shared" si="2"/>
        <v>5319040360</v>
      </c>
      <c r="F56" s="409">
        <f t="shared" si="3"/>
        <v>5016500160</v>
      </c>
      <c r="G56" s="626">
        <v>42640251.359999999</v>
      </c>
      <c r="H56" s="621" t="s">
        <v>1315</v>
      </c>
      <c r="I56" s="715"/>
    </row>
    <row r="57" spans="1:9" ht="12" customHeight="1">
      <c r="A57" s="620" t="s">
        <v>336</v>
      </c>
      <c r="B57" s="626">
        <v>3512122900</v>
      </c>
      <c r="C57" s="626">
        <v>3401390093</v>
      </c>
      <c r="D57" s="626">
        <v>10710739100</v>
      </c>
      <c r="E57" s="409">
        <f t="shared" si="2"/>
        <v>14222862000</v>
      </c>
      <c r="F57" s="409">
        <f t="shared" si="3"/>
        <v>14112129193</v>
      </c>
      <c r="G57" s="626">
        <v>117130672.3019</v>
      </c>
      <c r="H57" s="621" t="s">
        <v>1315</v>
      </c>
      <c r="I57" s="715"/>
    </row>
    <row r="58" spans="1:9" ht="12" customHeight="1">
      <c r="A58" s="620" t="s">
        <v>71</v>
      </c>
      <c r="B58" s="626">
        <v>577615000</v>
      </c>
      <c r="C58" s="626">
        <v>577615000</v>
      </c>
      <c r="D58" s="626">
        <v>616060940</v>
      </c>
      <c r="E58" s="409">
        <f t="shared" si="2"/>
        <v>1193675940</v>
      </c>
      <c r="F58" s="409">
        <f t="shared" si="3"/>
        <v>1193675940</v>
      </c>
      <c r="G58" s="626">
        <v>5729644.5120000001</v>
      </c>
      <c r="H58" s="621" t="s">
        <v>1315</v>
      </c>
      <c r="I58" s="715"/>
    </row>
    <row r="59" spans="1:9" ht="12" customHeight="1">
      <c r="A59" s="620" t="s">
        <v>73</v>
      </c>
      <c r="B59" s="626">
        <v>1434847989</v>
      </c>
      <c r="C59" s="626">
        <v>1205657238</v>
      </c>
      <c r="D59" s="626">
        <v>2841658600</v>
      </c>
      <c r="E59" s="409">
        <f t="shared" si="2"/>
        <v>4276506589</v>
      </c>
      <c r="F59" s="409">
        <f t="shared" si="3"/>
        <v>4047315838</v>
      </c>
      <c r="G59" s="626">
        <v>27521747.698399998</v>
      </c>
      <c r="H59" s="621" t="s">
        <v>1315</v>
      </c>
      <c r="I59" s="715"/>
    </row>
    <row r="60" spans="1:9" ht="12" customHeight="1">
      <c r="A60" s="620" t="s">
        <v>348</v>
      </c>
      <c r="B60" s="626">
        <v>885200077</v>
      </c>
      <c r="C60" s="626">
        <v>690025498</v>
      </c>
      <c r="D60" s="626">
        <v>1471970284</v>
      </c>
      <c r="E60" s="409">
        <f t="shared" si="2"/>
        <v>2357170361</v>
      </c>
      <c r="F60" s="409">
        <f t="shared" si="3"/>
        <v>2161995782</v>
      </c>
      <c r="G60" s="626">
        <v>12539575.535599999</v>
      </c>
      <c r="H60" s="621" t="s">
        <v>1315</v>
      </c>
      <c r="I60" s="715"/>
    </row>
    <row r="61" spans="1:9" ht="21" customHeight="1">
      <c r="A61" s="620" t="s">
        <v>352</v>
      </c>
      <c r="B61" s="626">
        <v>1181048000</v>
      </c>
      <c r="C61" s="626">
        <v>1143066400</v>
      </c>
      <c r="D61" s="626">
        <v>1564703700</v>
      </c>
      <c r="E61" s="409">
        <f t="shared" si="2"/>
        <v>2745751700</v>
      </c>
      <c r="F61" s="409">
        <f t="shared" si="3"/>
        <v>2707770100</v>
      </c>
      <c r="G61" s="626">
        <v>17058951.629999999</v>
      </c>
      <c r="H61" s="621" t="s">
        <v>1315</v>
      </c>
      <c r="I61" s="715"/>
    </row>
    <row r="62" spans="1:9" ht="12" customHeight="1">
      <c r="A62" s="620" t="s">
        <v>79</v>
      </c>
      <c r="B62" s="626">
        <v>325308700</v>
      </c>
      <c r="C62" s="626">
        <v>325308700</v>
      </c>
      <c r="D62" s="626">
        <v>650744182</v>
      </c>
      <c r="E62" s="409">
        <f t="shared" si="2"/>
        <v>976052882</v>
      </c>
      <c r="F62" s="409">
        <f t="shared" si="3"/>
        <v>976052882</v>
      </c>
      <c r="G62" s="626">
        <v>6038839.1809</v>
      </c>
      <c r="H62" s="621" t="s">
        <v>1315</v>
      </c>
      <c r="I62" s="715"/>
    </row>
    <row r="63" spans="1:9" ht="12" customHeight="1">
      <c r="A63" s="620" t="s">
        <v>81</v>
      </c>
      <c r="B63" s="626">
        <v>42932433110</v>
      </c>
      <c r="C63" s="626">
        <v>40783559710</v>
      </c>
      <c r="D63" s="626">
        <v>87499758405</v>
      </c>
      <c r="E63" s="409">
        <f t="shared" si="2"/>
        <v>130432191515</v>
      </c>
      <c r="F63" s="409">
        <f t="shared" si="3"/>
        <v>128283318115</v>
      </c>
      <c r="G63" s="626">
        <v>1122479033.5062001</v>
      </c>
      <c r="H63" s="621" t="s">
        <v>1315</v>
      </c>
      <c r="I63" s="715"/>
    </row>
    <row r="64" spans="1:9" ht="12" customHeight="1">
      <c r="A64" s="620" t="s">
        <v>83</v>
      </c>
      <c r="B64" s="626">
        <v>2574573900</v>
      </c>
      <c r="C64" s="626">
        <v>2073307600</v>
      </c>
      <c r="D64" s="626">
        <v>5549894200</v>
      </c>
      <c r="E64" s="409">
        <f t="shared" si="2"/>
        <v>8124468100</v>
      </c>
      <c r="F64" s="409">
        <f t="shared" si="3"/>
        <v>7623201800</v>
      </c>
      <c r="G64" s="626">
        <v>54887052.960000001</v>
      </c>
      <c r="H64" s="621" t="s">
        <v>1315</v>
      </c>
      <c r="I64" s="715"/>
    </row>
    <row r="65" spans="1:9" ht="12" customHeight="1">
      <c r="A65" s="620" t="s">
        <v>85</v>
      </c>
      <c r="B65" s="626">
        <v>471782300</v>
      </c>
      <c r="C65" s="626">
        <v>471782300</v>
      </c>
      <c r="D65" s="626">
        <v>488501200</v>
      </c>
      <c r="E65" s="409">
        <f t="shared" si="2"/>
        <v>960283500</v>
      </c>
      <c r="F65" s="409">
        <f t="shared" si="3"/>
        <v>960283500</v>
      </c>
      <c r="G65" s="626">
        <v>3649077.3</v>
      </c>
      <c r="H65" s="621" t="s">
        <v>1315</v>
      </c>
      <c r="I65" s="715"/>
    </row>
    <row r="66" spans="1:9" ht="21" customHeight="1">
      <c r="A66" s="620" t="s">
        <v>87</v>
      </c>
      <c r="B66" s="626">
        <v>1204966000</v>
      </c>
      <c r="C66" s="626">
        <v>682208900</v>
      </c>
      <c r="D66" s="626">
        <v>1152519300</v>
      </c>
      <c r="E66" s="409">
        <f t="shared" si="2"/>
        <v>2357485300</v>
      </c>
      <c r="F66" s="409">
        <f t="shared" si="3"/>
        <v>1834728200</v>
      </c>
      <c r="G66" s="626">
        <v>13576988.68</v>
      </c>
      <c r="H66" s="621" t="s">
        <v>1315</v>
      </c>
      <c r="I66" s="715"/>
    </row>
    <row r="67" spans="1:9" ht="12" customHeight="1">
      <c r="A67" s="620" t="s">
        <v>89</v>
      </c>
      <c r="B67" s="626">
        <v>751657700</v>
      </c>
      <c r="C67" s="626">
        <v>751657700</v>
      </c>
      <c r="D67" s="626">
        <v>1339495400</v>
      </c>
      <c r="E67" s="409">
        <f t="shared" si="2"/>
        <v>2091153100</v>
      </c>
      <c r="F67" s="409">
        <f t="shared" si="3"/>
        <v>2091153100</v>
      </c>
      <c r="G67" s="626">
        <v>11710457.359999999</v>
      </c>
      <c r="H67" s="621" t="s">
        <v>1315</v>
      </c>
      <c r="I67" s="715"/>
    </row>
    <row r="68" spans="1:9" ht="12" customHeight="1">
      <c r="A68" s="620" t="s">
        <v>91</v>
      </c>
      <c r="B68" s="626">
        <v>1692386100</v>
      </c>
      <c r="C68" s="626">
        <v>1692386100</v>
      </c>
      <c r="D68" s="626">
        <v>4054781100</v>
      </c>
      <c r="E68" s="409">
        <f t="shared" si="2"/>
        <v>5747167200</v>
      </c>
      <c r="F68" s="409">
        <f t="shared" si="3"/>
        <v>5747167200</v>
      </c>
      <c r="G68" s="626">
        <v>22988668.800000001</v>
      </c>
      <c r="H68" s="621" t="s">
        <v>1315</v>
      </c>
      <c r="I68" s="715"/>
    </row>
    <row r="69" spans="1:9" ht="12" customHeight="1">
      <c r="A69" s="620" t="s">
        <v>93</v>
      </c>
      <c r="B69" s="626">
        <v>1148044900</v>
      </c>
      <c r="C69" s="626">
        <v>1080674800</v>
      </c>
      <c r="D69" s="626">
        <v>1464272000</v>
      </c>
      <c r="E69" s="409">
        <f t="shared" si="2"/>
        <v>2612316900</v>
      </c>
      <c r="F69" s="409">
        <f t="shared" si="3"/>
        <v>2544946800</v>
      </c>
      <c r="G69" s="626">
        <v>15524175.48</v>
      </c>
      <c r="H69" s="621" t="s">
        <v>1315</v>
      </c>
      <c r="I69" s="715"/>
    </row>
    <row r="70" spans="1:9" ht="12" customHeight="1">
      <c r="A70" s="620" t="s">
        <v>95</v>
      </c>
      <c r="B70" s="626">
        <v>3008945900</v>
      </c>
      <c r="C70" s="626">
        <v>2767252300</v>
      </c>
      <c r="D70" s="626">
        <v>9051766600</v>
      </c>
      <c r="E70" s="409">
        <f t="shared" si="2"/>
        <v>12060712500</v>
      </c>
      <c r="F70" s="409">
        <f t="shared" si="3"/>
        <v>11819018900</v>
      </c>
      <c r="G70" s="626">
        <v>82733132.299999997</v>
      </c>
      <c r="H70" s="621" t="s">
        <v>1315</v>
      </c>
      <c r="I70" s="715"/>
    </row>
    <row r="71" spans="1:9" ht="15.5">
      <c r="A71" s="781" t="s">
        <v>786</v>
      </c>
    </row>
    <row r="72" spans="1:9" ht="13">
      <c r="A72" s="810" t="str">
        <f>A37</f>
        <v>Real Estate Fair Market Value (FMV), Fair Market Value (Taxable), and Local Levy by Locality - Tax Year 2023</v>
      </c>
      <c r="B72" s="810"/>
      <c r="C72" s="810"/>
      <c r="D72" s="810"/>
      <c r="E72" s="810"/>
      <c r="F72" s="810"/>
      <c r="G72" s="810"/>
      <c r="H72" s="810"/>
    </row>
    <row r="73" spans="1:9" ht="4" customHeight="1">
      <c r="A73" s="645"/>
      <c r="B73" s="645"/>
      <c r="C73" s="645"/>
      <c r="D73" s="645"/>
      <c r="E73" s="645"/>
      <c r="F73" s="645"/>
      <c r="G73" s="645"/>
      <c r="H73" s="645"/>
    </row>
    <row r="74" spans="1:9" ht="4" customHeight="1" thickBot="1">
      <c r="A74" s="622"/>
      <c r="B74" s="622"/>
      <c r="C74" s="622"/>
      <c r="D74" s="622"/>
      <c r="E74" s="622"/>
      <c r="F74" s="622"/>
      <c r="G74" s="622"/>
      <c r="H74" s="622"/>
    </row>
    <row r="75" spans="1:9" ht="23">
      <c r="A75" s="1218" t="s">
        <v>18</v>
      </c>
      <c r="B75" s="1220" t="s">
        <v>778</v>
      </c>
      <c r="C75" s="1219" t="s">
        <v>779</v>
      </c>
      <c r="D75" s="1219" t="s">
        <v>780</v>
      </c>
      <c r="E75" s="1220" t="s">
        <v>781</v>
      </c>
      <c r="F75" s="1219" t="s">
        <v>782</v>
      </c>
      <c r="G75" s="1220" t="s">
        <v>783</v>
      </c>
      <c r="H75" s="871" t="s">
        <v>784</v>
      </c>
    </row>
    <row r="76" spans="1:9" ht="21" customHeight="1">
      <c r="A76" s="620" t="s">
        <v>97</v>
      </c>
      <c r="B76" s="625">
        <v>1335821300</v>
      </c>
      <c r="C76" s="625">
        <v>842182700</v>
      </c>
      <c r="D76" s="625">
        <v>2333392700</v>
      </c>
      <c r="E76" s="724">
        <f t="shared" ref="E76:E105" si="4">IF(SUM(B76,D76)=0,"",SUM(B76,D76))</f>
        <v>3669214000</v>
      </c>
      <c r="F76" s="724">
        <f t="shared" ref="F76:F105" si="5">IF(SUM(C76:D76)=0,"",SUM(C76:D76))</f>
        <v>3175575400</v>
      </c>
      <c r="G76" s="625">
        <v>20641240.100000001</v>
      </c>
      <c r="H76" s="621" t="s">
        <v>1315</v>
      </c>
      <c r="I76" s="715"/>
    </row>
    <row r="77" spans="1:9" ht="12" customHeight="1">
      <c r="A77" s="620" t="s">
        <v>99</v>
      </c>
      <c r="B77" s="626">
        <v>1659473466</v>
      </c>
      <c r="C77" s="626">
        <v>1526403600</v>
      </c>
      <c r="D77" s="626">
        <v>2861185331</v>
      </c>
      <c r="E77" s="628">
        <f t="shared" si="4"/>
        <v>4520658797</v>
      </c>
      <c r="F77" s="628">
        <f t="shared" si="5"/>
        <v>4387588931</v>
      </c>
      <c r="G77" s="626">
        <v>29396845.837699998</v>
      </c>
      <c r="H77" s="621" t="s">
        <v>1315</v>
      </c>
      <c r="I77" s="715"/>
    </row>
    <row r="78" spans="1:9" ht="12" customHeight="1">
      <c r="A78" s="620" t="s">
        <v>101</v>
      </c>
      <c r="B78" s="626">
        <v>1209066300</v>
      </c>
      <c r="C78" s="626">
        <v>1097450200</v>
      </c>
      <c r="D78" s="626">
        <v>1348092000</v>
      </c>
      <c r="E78" s="628">
        <f t="shared" si="4"/>
        <v>2557158300</v>
      </c>
      <c r="F78" s="628">
        <f t="shared" si="5"/>
        <v>2445542200</v>
      </c>
      <c r="G78" s="626">
        <v>18586120.719999999</v>
      </c>
      <c r="H78" s="621" t="s">
        <v>1315</v>
      </c>
      <c r="I78" s="715"/>
    </row>
    <row r="79" spans="1:9" ht="12" customHeight="1">
      <c r="A79" s="620" t="s">
        <v>393</v>
      </c>
      <c r="B79" s="626">
        <v>1249532900</v>
      </c>
      <c r="C79" s="626">
        <v>1086224603</v>
      </c>
      <c r="D79" s="626">
        <v>1748202800</v>
      </c>
      <c r="E79" s="628">
        <f t="shared" si="4"/>
        <v>2997735700</v>
      </c>
      <c r="F79" s="628">
        <f t="shared" si="5"/>
        <v>2834427403</v>
      </c>
      <c r="G79" s="626">
        <v>17290007.158300001</v>
      </c>
      <c r="H79" s="621" t="s">
        <v>1315</v>
      </c>
      <c r="I79" s="715"/>
    </row>
    <row r="80" spans="1:9" ht="12" customHeight="1">
      <c r="A80" s="620" t="s">
        <v>105</v>
      </c>
      <c r="B80" s="626">
        <v>371209900</v>
      </c>
      <c r="C80" s="626">
        <v>337376300</v>
      </c>
      <c r="D80" s="626">
        <v>649470800</v>
      </c>
      <c r="E80" s="628">
        <f t="shared" si="4"/>
        <v>1020680700</v>
      </c>
      <c r="F80" s="628">
        <f t="shared" si="5"/>
        <v>986847100</v>
      </c>
      <c r="G80" s="626">
        <v>4736866.08</v>
      </c>
      <c r="H80" s="621" t="s">
        <v>1315</v>
      </c>
      <c r="I80" s="715"/>
    </row>
    <row r="81" spans="1:9" ht="21" customHeight="1">
      <c r="A81" s="620" t="s">
        <v>107</v>
      </c>
      <c r="B81" s="626">
        <v>1814955900</v>
      </c>
      <c r="C81" s="626">
        <v>1336857800</v>
      </c>
      <c r="D81" s="626">
        <v>3372607900</v>
      </c>
      <c r="E81" s="628">
        <f t="shared" si="4"/>
        <v>5187563800</v>
      </c>
      <c r="F81" s="628">
        <f t="shared" si="5"/>
        <v>4709465700</v>
      </c>
      <c r="G81" s="626">
        <v>35320992.75</v>
      </c>
      <c r="H81" s="621" t="s">
        <v>1315</v>
      </c>
      <c r="I81" s="715"/>
    </row>
    <row r="82" spans="1:9" ht="12" customHeight="1">
      <c r="A82" s="620" t="s">
        <v>109</v>
      </c>
      <c r="B82" s="626">
        <v>1110231700</v>
      </c>
      <c r="C82" s="626">
        <v>634110900</v>
      </c>
      <c r="D82" s="626">
        <v>1710961500</v>
      </c>
      <c r="E82" s="628">
        <f t="shared" si="4"/>
        <v>2821193200</v>
      </c>
      <c r="F82" s="628">
        <f t="shared" si="5"/>
        <v>2345072400</v>
      </c>
      <c r="G82" s="626">
        <v>17119028.52</v>
      </c>
      <c r="H82" s="621" t="s">
        <v>1315</v>
      </c>
      <c r="I82" s="715"/>
    </row>
    <row r="83" spans="1:9" ht="12" customHeight="1">
      <c r="A83" s="620" t="s">
        <v>110</v>
      </c>
      <c r="B83" s="626">
        <v>748463000</v>
      </c>
      <c r="C83" s="626">
        <v>748463000</v>
      </c>
      <c r="D83" s="626">
        <v>876396100</v>
      </c>
      <c r="E83" s="628">
        <f t="shared" si="4"/>
        <v>1624859100</v>
      </c>
      <c r="F83" s="628">
        <f t="shared" si="5"/>
        <v>1624859100</v>
      </c>
      <c r="G83" s="626">
        <v>11861471.43</v>
      </c>
      <c r="H83" s="621" t="s">
        <v>1315</v>
      </c>
      <c r="I83" s="715"/>
    </row>
    <row r="84" spans="1:9" ht="12" customHeight="1">
      <c r="A84" s="620" t="s">
        <v>112</v>
      </c>
      <c r="B84" s="626">
        <v>1947485460</v>
      </c>
      <c r="C84" s="626">
        <v>1391787460</v>
      </c>
      <c r="D84" s="626">
        <v>3103310660</v>
      </c>
      <c r="E84" s="628">
        <f t="shared" si="4"/>
        <v>5050796120</v>
      </c>
      <c r="F84" s="628">
        <f t="shared" si="5"/>
        <v>4495098120</v>
      </c>
      <c r="G84" s="626">
        <v>27869608.344000001</v>
      </c>
      <c r="H84" s="621" t="s">
        <v>1315</v>
      </c>
      <c r="I84" s="715"/>
    </row>
    <row r="85" spans="1:9" ht="12" customHeight="1">
      <c r="A85" s="620" t="s">
        <v>411</v>
      </c>
      <c r="B85" s="626">
        <v>1954371900</v>
      </c>
      <c r="C85" s="626">
        <v>1648605199</v>
      </c>
      <c r="D85" s="626">
        <v>4027585273</v>
      </c>
      <c r="E85" s="628">
        <f t="shared" si="4"/>
        <v>5981957173</v>
      </c>
      <c r="F85" s="628">
        <f t="shared" si="5"/>
        <v>5676190472</v>
      </c>
      <c r="G85" s="626">
        <v>39165714.256800003</v>
      </c>
      <c r="H85" s="621" t="s">
        <v>1315</v>
      </c>
      <c r="I85" s="715"/>
    </row>
    <row r="86" spans="1:9" ht="21" customHeight="1">
      <c r="A86" s="620" t="s">
        <v>115</v>
      </c>
      <c r="B86" s="626">
        <v>615172864</v>
      </c>
      <c r="C86" s="626">
        <v>599919864</v>
      </c>
      <c r="D86" s="626">
        <v>1252338500</v>
      </c>
      <c r="E86" s="628">
        <f t="shared" si="4"/>
        <v>1867511364</v>
      </c>
      <c r="F86" s="628">
        <f t="shared" si="5"/>
        <v>1852258364</v>
      </c>
      <c r="G86" s="626">
        <v>9446517.6564000007</v>
      </c>
      <c r="H86" s="621" t="s">
        <v>1315</v>
      </c>
      <c r="I86" s="715"/>
    </row>
    <row r="87" spans="1:9" ht="12" customHeight="1">
      <c r="A87" s="620" t="s">
        <v>416</v>
      </c>
      <c r="B87" s="626">
        <v>1134356100</v>
      </c>
      <c r="C87" s="626">
        <v>961960600</v>
      </c>
      <c r="D87" s="626">
        <v>2762767900</v>
      </c>
      <c r="E87" s="628">
        <f t="shared" si="4"/>
        <v>3897124000</v>
      </c>
      <c r="F87" s="628">
        <f t="shared" si="5"/>
        <v>3724728500</v>
      </c>
      <c r="G87" s="626">
        <v>30542773.699999999</v>
      </c>
      <c r="H87" s="621" t="s">
        <v>1315</v>
      </c>
      <c r="I87" s="715"/>
    </row>
    <row r="88" spans="1:9" ht="12" customHeight="1">
      <c r="A88" s="620" t="s">
        <v>119</v>
      </c>
      <c r="B88" s="626">
        <v>30599298600</v>
      </c>
      <c r="C88" s="626">
        <v>30173583000</v>
      </c>
      <c r="D88" s="626">
        <v>61372406000</v>
      </c>
      <c r="E88" s="628">
        <f t="shared" si="4"/>
        <v>91971704600</v>
      </c>
      <c r="F88" s="628">
        <f t="shared" si="5"/>
        <v>91545989000</v>
      </c>
      <c r="G88" s="626">
        <v>884334253.74000001</v>
      </c>
      <c r="H88" s="621" t="s">
        <v>1315</v>
      </c>
      <c r="I88" s="715"/>
    </row>
    <row r="89" spans="1:9" ht="12" customHeight="1">
      <c r="A89" s="620" t="s">
        <v>121</v>
      </c>
      <c r="B89" s="626">
        <v>982599300</v>
      </c>
      <c r="C89" s="626">
        <v>817594100</v>
      </c>
      <c r="D89" s="626">
        <v>2288679200</v>
      </c>
      <c r="E89" s="628">
        <f t="shared" si="4"/>
        <v>3271278500</v>
      </c>
      <c r="F89" s="628">
        <f t="shared" si="5"/>
        <v>3106273300</v>
      </c>
      <c r="G89" s="626">
        <v>22986422.420000002</v>
      </c>
      <c r="H89" s="621" t="s">
        <v>1315</v>
      </c>
      <c r="I89" s="715"/>
    </row>
    <row r="90" spans="1:9" ht="12" customHeight="1">
      <c r="A90" s="620" t="s">
        <v>123</v>
      </c>
      <c r="B90" s="626">
        <v>1264292100</v>
      </c>
      <c r="C90" s="626">
        <v>691902700</v>
      </c>
      <c r="D90" s="626">
        <v>1275721600</v>
      </c>
      <c r="E90" s="628">
        <f t="shared" si="4"/>
        <v>2540013700</v>
      </c>
      <c r="F90" s="628">
        <f t="shared" si="5"/>
        <v>1967624300</v>
      </c>
      <c r="G90" s="626">
        <v>12002508.23</v>
      </c>
      <c r="H90" s="621" t="s">
        <v>1315</v>
      </c>
      <c r="I90" s="715"/>
    </row>
    <row r="91" spans="1:9" ht="21" customHeight="1">
      <c r="A91" s="620" t="s">
        <v>726</v>
      </c>
      <c r="B91" s="626">
        <v>452544738</v>
      </c>
      <c r="C91" s="626">
        <v>389771608</v>
      </c>
      <c r="D91" s="626">
        <v>510394791</v>
      </c>
      <c r="E91" s="628">
        <f t="shared" si="4"/>
        <v>962939529</v>
      </c>
      <c r="F91" s="628">
        <f t="shared" si="5"/>
        <v>900166399</v>
      </c>
      <c r="G91" s="626">
        <v>6301164.7929999996</v>
      </c>
      <c r="H91" s="621" t="s">
        <v>1315</v>
      </c>
      <c r="I91" s="715"/>
    </row>
    <row r="92" spans="1:9" ht="12" customHeight="1">
      <c r="A92" s="620" t="s">
        <v>358</v>
      </c>
      <c r="B92" s="626">
        <v>2541152200</v>
      </c>
      <c r="C92" s="626">
        <v>2378692900</v>
      </c>
      <c r="D92" s="626">
        <v>8698545650</v>
      </c>
      <c r="E92" s="628">
        <f t="shared" si="4"/>
        <v>11239697850</v>
      </c>
      <c r="F92" s="628">
        <f t="shared" si="5"/>
        <v>11077238550</v>
      </c>
      <c r="G92" s="626">
        <v>117418728.63</v>
      </c>
      <c r="H92" s="621" t="s">
        <v>1315</v>
      </c>
      <c r="I92" s="715"/>
    </row>
    <row r="93" spans="1:9" ht="12" customHeight="1">
      <c r="A93" s="620" t="s">
        <v>127</v>
      </c>
      <c r="B93" s="626">
        <v>1490609701</v>
      </c>
      <c r="C93" s="626">
        <v>1018109100</v>
      </c>
      <c r="D93" s="626">
        <v>2302050300</v>
      </c>
      <c r="E93" s="628">
        <f t="shared" si="4"/>
        <v>3792660001</v>
      </c>
      <c r="F93" s="628">
        <f t="shared" si="5"/>
        <v>3320159400</v>
      </c>
      <c r="G93" s="626">
        <v>20252972.34</v>
      </c>
      <c r="H93" s="621" t="s">
        <v>1315</v>
      </c>
      <c r="I93" s="715"/>
    </row>
    <row r="94" spans="1:9" ht="12" customHeight="1">
      <c r="A94" s="620" t="s">
        <v>128</v>
      </c>
      <c r="B94" s="626">
        <v>3409688567</v>
      </c>
      <c r="C94" s="626">
        <v>2384178348</v>
      </c>
      <c r="D94" s="626">
        <v>9024236823</v>
      </c>
      <c r="E94" s="628">
        <f t="shared" si="4"/>
        <v>12433925390</v>
      </c>
      <c r="F94" s="628">
        <f t="shared" si="5"/>
        <v>11408415171</v>
      </c>
      <c r="G94" s="626">
        <v>77577223.162799999</v>
      </c>
      <c r="H94" s="621" t="s">
        <v>1315</v>
      </c>
      <c r="I94" s="715"/>
    </row>
    <row r="95" spans="1:9" ht="12" customHeight="1">
      <c r="A95" s="620" t="s">
        <v>130</v>
      </c>
      <c r="B95" s="626">
        <v>595450293</v>
      </c>
      <c r="C95" s="626">
        <v>430741999</v>
      </c>
      <c r="D95" s="626">
        <v>1001106723</v>
      </c>
      <c r="E95" s="725">
        <f t="shared" si="4"/>
        <v>1596557016</v>
      </c>
      <c r="F95" s="725">
        <f t="shared" si="5"/>
        <v>1431848722</v>
      </c>
      <c r="G95" s="626">
        <v>9020646.9485999998</v>
      </c>
      <c r="H95" s="621" t="s">
        <v>1315</v>
      </c>
      <c r="I95" s="715"/>
    </row>
    <row r="96" spans="1:9" ht="21" customHeight="1">
      <c r="A96" s="620" t="s">
        <v>132</v>
      </c>
      <c r="B96" s="626">
        <v>627977200</v>
      </c>
      <c r="C96" s="626">
        <v>629572323</v>
      </c>
      <c r="D96" s="626">
        <v>973136500</v>
      </c>
      <c r="E96" s="628">
        <f t="shared" si="4"/>
        <v>1601113700</v>
      </c>
      <c r="F96" s="628">
        <f t="shared" si="5"/>
        <v>1602708823</v>
      </c>
      <c r="G96" s="626">
        <v>12340857.937100001</v>
      </c>
      <c r="H96" s="621" t="s">
        <v>1315</v>
      </c>
      <c r="I96" s="715"/>
    </row>
    <row r="97" spans="1:9" ht="12" customHeight="1">
      <c r="A97" s="620" t="s">
        <v>134</v>
      </c>
      <c r="B97" s="626">
        <v>2298077573</v>
      </c>
      <c r="C97" s="626">
        <v>1717441473</v>
      </c>
      <c r="D97" s="626">
        <v>4350408397</v>
      </c>
      <c r="E97" s="628">
        <f t="shared" si="4"/>
        <v>6648485970</v>
      </c>
      <c r="F97" s="628">
        <f t="shared" si="5"/>
        <v>6067849870</v>
      </c>
      <c r="G97" s="626">
        <v>36407099.219999999</v>
      </c>
      <c r="H97" s="621" t="s">
        <v>1315</v>
      </c>
      <c r="I97" s="715"/>
    </row>
    <row r="98" spans="1:9" ht="12" customHeight="1">
      <c r="A98" s="620" t="s">
        <v>136</v>
      </c>
      <c r="B98" s="626">
        <v>582991000</v>
      </c>
      <c r="C98" s="626">
        <v>405571122</v>
      </c>
      <c r="D98" s="626">
        <v>1143343400</v>
      </c>
      <c r="E98" s="628">
        <f t="shared" si="4"/>
        <v>1726334400</v>
      </c>
      <c r="F98" s="628">
        <f t="shared" si="5"/>
        <v>1548914522</v>
      </c>
      <c r="G98" s="626">
        <v>11461967.4628</v>
      </c>
      <c r="H98" s="621" t="s">
        <v>1315</v>
      </c>
      <c r="I98" s="715"/>
    </row>
    <row r="99" spans="1:9" ht="12" customHeight="1">
      <c r="A99" s="620" t="s">
        <v>138</v>
      </c>
      <c r="B99" s="626">
        <v>897949700</v>
      </c>
      <c r="C99" s="626">
        <v>525754500</v>
      </c>
      <c r="D99" s="626">
        <v>967278400</v>
      </c>
      <c r="E99" s="628">
        <f t="shared" si="4"/>
        <v>1865228100</v>
      </c>
      <c r="F99" s="628">
        <f t="shared" si="5"/>
        <v>1493032900</v>
      </c>
      <c r="G99" s="626">
        <v>13287992.810000001</v>
      </c>
      <c r="H99" s="621" t="s">
        <v>1315</v>
      </c>
      <c r="I99" s="715"/>
    </row>
    <row r="100" spans="1:9" ht="12" customHeight="1">
      <c r="A100" s="620" t="s">
        <v>140</v>
      </c>
      <c r="B100" s="626">
        <v>7244482700</v>
      </c>
      <c r="C100" s="626">
        <v>6845246084</v>
      </c>
      <c r="D100" s="626">
        <v>13276469800</v>
      </c>
      <c r="E100" s="628">
        <f t="shared" si="4"/>
        <v>20520952500</v>
      </c>
      <c r="F100" s="628">
        <f t="shared" si="5"/>
        <v>20121715884</v>
      </c>
      <c r="G100" s="626">
        <v>155279281.47679999</v>
      </c>
      <c r="H100" s="621" t="s">
        <v>1315</v>
      </c>
      <c r="I100" s="715"/>
    </row>
    <row r="101" spans="1:9" ht="21" customHeight="1">
      <c r="A101" s="620" t="s">
        <v>142</v>
      </c>
      <c r="B101" s="626">
        <v>8198751300</v>
      </c>
      <c r="C101" s="626">
        <v>8625107425</v>
      </c>
      <c r="D101" s="626">
        <v>16386922500</v>
      </c>
      <c r="E101" s="628">
        <f t="shared" si="4"/>
        <v>24585673800</v>
      </c>
      <c r="F101" s="628">
        <f t="shared" si="5"/>
        <v>25012029925</v>
      </c>
      <c r="G101" s="626">
        <v>236363682.79120001</v>
      </c>
      <c r="H101" s="621" t="s">
        <v>1315</v>
      </c>
      <c r="I101" s="715"/>
    </row>
    <row r="102" spans="1:9" ht="12" customHeight="1">
      <c r="A102" s="620" t="s">
        <v>144</v>
      </c>
      <c r="B102" s="626">
        <v>580461400</v>
      </c>
      <c r="C102" s="626">
        <v>580461400</v>
      </c>
      <c r="D102" s="626">
        <v>671999600</v>
      </c>
      <c r="E102" s="628">
        <f t="shared" si="4"/>
        <v>1252461000</v>
      </c>
      <c r="F102" s="628">
        <f t="shared" si="5"/>
        <v>1252461000</v>
      </c>
      <c r="G102" s="626">
        <v>8892473.0999999996</v>
      </c>
      <c r="H102" s="621" t="s">
        <v>1315</v>
      </c>
      <c r="I102" s="715"/>
    </row>
    <row r="103" spans="1:9" ht="12" customHeight="1">
      <c r="A103" s="620" t="s">
        <v>146</v>
      </c>
      <c r="B103" s="626">
        <v>701820500</v>
      </c>
      <c r="C103" s="626">
        <v>701820500</v>
      </c>
      <c r="D103" s="626">
        <v>507056022</v>
      </c>
      <c r="E103" s="628">
        <f t="shared" si="4"/>
        <v>1208876522</v>
      </c>
      <c r="F103" s="628">
        <f t="shared" si="5"/>
        <v>1208876522</v>
      </c>
      <c r="G103" s="626">
        <v>5802607.3055999996</v>
      </c>
      <c r="H103" s="621" t="s">
        <v>1315</v>
      </c>
      <c r="I103" s="715"/>
    </row>
    <row r="104" spans="1:9" ht="12" customHeight="1">
      <c r="A104" s="620" t="s">
        <v>148</v>
      </c>
      <c r="B104" s="626">
        <v>744109800</v>
      </c>
      <c r="C104" s="626">
        <v>617260500</v>
      </c>
      <c r="D104" s="626">
        <v>2001875600</v>
      </c>
      <c r="E104" s="628">
        <f t="shared" si="4"/>
        <v>2745985400</v>
      </c>
      <c r="F104" s="628">
        <f t="shared" si="5"/>
        <v>2619136100</v>
      </c>
      <c r="G104" s="626">
        <v>15190989.380000001</v>
      </c>
      <c r="H104" s="621" t="s">
        <v>1315</v>
      </c>
      <c r="I104" s="715"/>
    </row>
    <row r="105" spans="1:9" ht="12" customHeight="1">
      <c r="A105" s="620" t="s">
        <v>150</v>
      </c>
      <c r="B105" s="626">
        <v>1854222421</v>
      </c>
      <c r="C105" s="626">
        <v>1533348021</v>
      </c>
      <c r="D105" s="626">
        <v>5076247900</v>
      </c>
      <c r="E105" s="628">
        <f t="shared" si="4"/>
        <v>6930470321</v>
      </c>
      <c r="F105" s="628">
        <f t="shared" si="5"/>
        <v>6609595921</v>
      </c>
      <c r="G105" s="626">
        <v>32387020.012899999</v>
      </c>
      <c r="H105" s="621" t="s">
        <v>1315</v>
      </c>
      <c r="I105" s="715"/>
    </row>
    <row r="106" spans="1:9" ht="21" customHeight="1">
      <c r="A106" s="620" t="s">
        <v>152</v>
      </c>
      <c r="B106" s="626">
        <v>1988172090</v>
      </c>
      <c r="C106" s="626">
        <v>1264837347</v>
      </c>
      <c r="D106" s="626">
        <v>3333599600</v>
      </c>
      <c r="E106" s="628">
        <f t="shared" ref="E106:E110" si="6">IF(SUM(B106,D106)=0,"",SUM(B106,D106))</f>
        <v>5321771690</v>
      </c>
      <c r="F106" s="628">
        <f t="shared" ref="F106:F110" si="7">IF(SUM(C106:D106)=0,"",SUM(C106:D106))</f>
        <v>4598436947</v>
      </c>
      <c r="G106" s="626">
        <v>27590621.682</v>
      </c>
      <c r="H106" s="621" t="s">
        <v>1315</v>
      </c>
      <c r="I106" s="715"/>
    </row>
    <row r="107" spans="1:9">
      <c r="A107" s="620" t="s">
        <v>154</v>
      </c>
      <c r="B107" s="626">
        <v>1243913600</v>
      </c>
      <c r="C107" s="626">
        <v>1091915060</v>
      </c>
      <c r="D107" s="626">
        <v>2042880200</v>
      </c>
      <c r="E107" s="628">
        <f t="shared" si="6"/>
        <v>3286793800</v>
      </c>
      <c r="F107" s="628">
        <f t="shared" si="7"/>
        <v>3134795260</v>
      </c>
      <c r="G107" s="626">
        <v>19435730.612</v>
      </c>
      <c r="H107" s="621" t="s">
        <v>1315</v>
      </c>
      <c r="I107" s="715"/>
    </row>
    <row r="108" spans="1:9">
      <c r="A108" s="620" t="s">
        <v>156</v>
      </c>
      <c r="B108" s="626">
        <v>490180286</v>
      </c>
      <c r="C108" s="626">
        <v>486431622</v>
      </c>
      <c r="D108" s="626">
        <v>1420405200</v>
      </c>
      <c r="E108" s="628">
        <f t="shared" si="6"/>
        <v>1910585486</v>
      </c>
      <c r="F108" s="628">
        <f t="shared" si="7"/>
        <v>1906836822</v>
      </c>
      <c r="G108" s="626">
        <v>13157174.071799999</v>
      </c>
      <c r="H108" s="621" t="s">
        <v>1315</v>
      </c>
      <c r="I108" s="715"/>
    </row>
    <row r="109" spans="1:9">
      <c r="A109" s="620" t="s">
        <v>158</v>
      </c>
      <c r="B109" s="626">
        <v>1023936296</v>
      </c>
      <c r="C109" s="626">
        <v>826598440</v>
      </c>
      <c r="D109" s="626">
        <v>2073197776</v>
      </c>
      <c r="E109" s="628">
        <f t="shared" si="6"/>
        <v>3097134072</v>
      </c>
      <c r="F109" s="628">
        <f t="shared" si="7"/>
        <v>2899796216</v>
      </c>
      <c r="G109" s="626">
        <v>14788960.7016</v>
      </c>
      <c r="H109" s="621" t="s">
        <v>1315</v>
      </c>
      <c r="I109" s="715"/>
    </row>
    <row r="110" spans="1:9">
      <c r="A110" s="620" t="s">
        <v>160</v>
      </c>
      <c r="B110" s="626">
        <v>3655608251</v>
      </c>
      <c r="C110" s="626">
        <v>3651608051</v>
      </c>
      <c r="D110" s="626">
        <v>6944046500</v>
      </c>
      <c r="E110" s="628">
        <f t="shared" si="6"/>
        <v>10599654751</v>
      </c>
      <c r="F110" s="628">
        <f t="shared" si="7"/>
        <v>10595654551</v>
      </c>
      <c r="G110" s="626">
        <v>81586540.042699993</v>
      </c>
      <c r="H110" s="621" t="s">
        <v>1315</v>
      </c>
      <c r="I110" s="715"/>
    </row>
    <row r="111" spans="1:9" ht="6" customHeight="1">
      <c r="C111" s="631"/>
      <c r="D111" s="631"/>
    </row>
    <row r="112" spans="1:9" s="633" customFormat="1" ht="12.75" customHeight="1">
      <c r="A112" s="786" t="s">
        <v>19</v>
      </c>
      <c r="B112" s="784">
        <f t="shared" ref="B112:G112" si="8">SUM(B6:B110)</f>
        <v>397173466686.5</v>
      </c>
      <c r="C112" s="784">
        <f t="shared" si="8"/>
        <v>371783341367.69</v>
      </c>
      <c r="D112" s="784">
        <f t="shared" si="8"/>
        <v>782609477587</v>
      </c>
      <c r="E112" s="784">
        <f t="shared" si="8"/>
        <v>1179782944273.5</v>
      </c>
      <c r="F112" s="784">
        <f t="shared" si="8"/>
        <v>1154392818954.6899</v>
      </c>
      <c r="G112" s="784">
        <f t="shared" si="8"/>
        <v>10298731332.813395</v>
      </c>
      <c r="H112" s="632"/>
      <c r="I112" s="716"/>
    </row>
    <row r="113" spans="1:9" ht="15" customHeight="1">
      <c r="A113" s="781" t="s">
        <v>786</v>
      </c>
    </row>
    <row r="114" spans="1:9" ht="12.65" customHeight="1">
      <c r="A114" s="810" t="str">
        <f>A2</f>
        <v>Real Estate Fair Market Value (FMV), Fair Market Value (Taxable), and Local Levy by Locality - Tax Year 2023</v>
      </c>
    </row>
    <row r="115" spans="1:9" ht="4" customHeight="1">
      <c r="B115" s="625"/>
      <c r="C115" s="625"/>
      <c r="D115" s="625"/>
      <c r="E115" s="625"/>
      <c r="F115" s="625"/>
      <c r="G115" s="625"/>
    </row>
    <row r="116" spans="1:9" ht="4" customHeight="1" thickBot="1">
      <c r="B116" s="625"/>
      <c r="C116" s="625"/>
      <c r="D116" s="625"/>
      <c r="E116" s="625"/>
      <c r="F116" s="625"/>
      <c r="G116" s="625"/>
    </row>
    <row r="117" spans="1:9" s="634" customFormat="1" ht="23.15" customHeight="1">
      <c r="A117" s="1218" t="s">
        <v>20</v>
      </c>
      <c r="B117" s="1220" t="s">
        <v>778</v>
      </c>
      <c r="C117" s="1219" t="s">
        <v>779</v>
      </c>
      <c r="D117" s="1219" t="s">
        <v>780</v>
      </c>
      <c r="E117" s="1220" t="s">
        <v>781</v>
      </c>
      <c r="F117" s="1219" t="s">
        <v>782</v>
      </c>
      <c r="G117" s="1220" t="s">
        <v>783</v>
      </c>
      <c r="H117" s="871" t="s">
        <v>784</v>
      </c>
      <c r="I117" s="683"/>
    </row>
    <row r="118" spans="1:9" ht="18" customHeight="1">
      <c r="A118" s="620" t="s">
        <v>165</v>
      </c>
      <c r="B118" s="625">
        <v>19894329484</v>
      </c>
      <c r="C118" s="625">
        <v>19894329484</v>
      </c>
      <c r="D118" s="625">
        <v>27196304683</v>
      </c>
      <c r="E118" s="724">
        <f t="shared" ref="E118:E137" si="9">IF(SUM(B118,D118)=0,"",SUM(B118,D118))</f>
        <v>47090634167</v>
      </c>
      <c r="F118" s="724">
        <f t="shared" ref="F118:F137" si="10">IF(SUM(C118:D118)=0,"",SUM(C118:D118))</f>
        <v>47090634167</v>
      </c>
      <c r="G118" s="625">
        <v>522706039.25370002</v>
      </c>
      <c r="H118" s="621" t="s">
        <v>1315</v>
      </c>
      <c r="I118" s="715"/>
    </row>
    <row r="119" spans="1:9" ht="11.9" customHeight="1">
      <c r="A119" s="620" t="s">
        <v>167</v>
      </c>
      <c r="B119" s="626">
        <v>309616100</v>
      </c>
      <c r="C119" s="626">
        <v>309616100</v>
      </c>
      <c r="D119" s="626">
        <v>1026377888</v>
      </c>
      <c r="E119" s="628">
        <f t="shared" si="9"/>
        <v>1335993988</v>
      </c>
      <c r="F119" s="628">
        <f t="shared" si="10"/>
        <v>1335993988</v>
      </c>
      <c r="G119" s="626">
        <v>15631129.659600001</v>
      </c>
      <c r="H119" s="621" t="s">
        <v>1315</v>
      </c>
      <c r="I119" s="715"/>
    </row>
    <row r="120" spans="1:9" ht="11.9" customHeight="1">
      <c r="A120" s="620" t="s">
        <v>169</v>
      </c>
      <c r="B120" s="626">
        <v>70995850</v>
      </c>
      <c r="C120" s="626">
        <v>70951250</v>
      </c>
      <c r="D120" s="626">
        <v>270892400</v>
      </c>
      <c r="E120" s="628">
        <f t="shared" si="9"/>
        <v>341888250</v>
      </c>
      <c r="F120" s="628">
        <f t="shared" si="10"/>
        <v>341843650</v>
      </c>
      <c r="G120" s="626">
        <v>4341414.3550000004</v>
      </c>
      <c r="H120" s="621" t="s">
        <v>1315</v>
      </c>
      <c r="I120" s="715"/>
    </row>
    <row r="121" spans="1:9" ht="11.9" customHeight="1">
      <c r="A121" s="620" t="s">
        <v>171</v>
      </c>
      <c r="B121" s="626">
        <v>3063619800</v>
      </c>
      <c r="C121" s="626">
        <v>3063619800</v>
      </c>
      <c r="D121" s="626">
        <v>7344635000</v>
      </c>
      <c r="E121" s="628">
        <f t="shared" si="9"/>
        <v>10408254800</v>
      </c>
      <c r="F121" s="628">
        <f t="shared" si="10"/>
        <v>10408254800</v>
      </c>
      <c r="G121" s="626">
        <v>99919246.079999998</v>
      </c>
      <c r="H121" s="621" t="s">
        <v>1315</v>
      </c>
      <c r="I121" s="715"/>
    </row>
    <row r="122" spans="1:9" ht="11.9" customHeight="1">
      <c r="A122" s="620" t="s">
        <v>400</v>
      </c>
      <c r="B122" s="626">
        <v>11674290600</v>
      </c>
      <c r="C122" s="626">
        <v>11415376700</v>
      </c>
      <c r="D122" s="626">
        <v>23121799100</v>
      </c>
      <c r="E122" s="628">
        <f t="shared" si="9"/>
        <v>34796089700</v>
      </c>
      <c r="F122" s="628">
        <f t="shared" si="10"/>
        <v>34537175800</v>
      </c>
      <c r="G122" s="626">
        <v>348825475.57999998</v>
      </c>
      <c r="H122" s="621" t="s">
        <v>1315</v>
      </c>
      <c r="I122" s="715"/>
    </row>
    <row r="123" spans="1:9" ht="18" customHeight="1">
      <c r="A123" s="620" t="s">
        <v>118</v>
      </c>
      <c r="B123" s="626">
        <v>623631100</v>
      </c>
      <c r="C123" s="626">
        <v>623631100</v>
      </c>
      <c r="D123" s="626">
        <v>1327286800</v>
      </c>
      <c r="E123" s="628">
        <f t="shared" si="9"/>
        <v>1950917900</v>
      </c>
      <c r="F123" s="628">
        <f t="shared" si="10"/>
        <v>1950917900</v>
      </c>
      <c r="G123" s="626">
        <v>23411014.800000001</v>
      </c>
      <c r="H123" s="621" t="s">
        <v>1315</v>
      </c>
      <c r="I123" s="715"/>
    </row>
    <row r="124" spans="1:9" ht="11.9" customHeight="1">
      <c r="A124" s="620" t="s">
        <v>120</v>
      </c>
      <c r="B124" s="626">
        <v>57314200</v>
      </c>
      <c r="C124" s="626">
        <v>57314200</v>
      </c>
      <c r="D124" s="626">
        <v>243224400</v>
      </c>
      <c r="E124" s="628">
        <f t="shared" si="9"/>
        <v>300538600</v>
      </c>
      <c r="F124" s="628">
        <f t="shared" si="10"/>
        <v>300538600</v>
      </c>
      <c r="G124" s="626">
        <v>2554578.1</v>
      </c>
      <c r="H124" s="621" t="s">
        <v>1315</v>
      </c>
      <c r="I124" s="715"/>
    </row>
    <row r="125" spans="1:9" ht="11.9" customHeight="1">
      <c r="A125" s="620" t="s">
        <v>122</v>
      </c>
      <c r="B125" s="626">
        <v>314477000</v>
      </c>
      <c r="C125" s="626">
        <v>313266400</v>
      </c>
      <c r="D125" s="626">
        <v>2125690900</v>
      </c>
      <c r="E125" s="628">
        <f t="shared" si="9"/>
        <v>2440167900</v>
      </c>
      <c r="F125" s="628">
        <f t="shared" si="10"/>
        <v>2438957300</v>
      </c>
      <c r="G125" s="626">
        <v>20487241.32</v>
      </c>
      <c r="H125" s="621" t="s">
        <v>1315</v>
      </c>
      <c r="I125" s="715"/>
    </row>
    <row r="126" spans="1:9" ht="11.9" customHeight="1">
      <c r="A126" s="620" t="s">
        <v>124</v>
      </c>
      <c r="B126" s="626">
        <v>65962100</v>
      </c>
      <c r="C126" s="626">
        <v>65962100</v>
      </c>
      <c r="D126" s="626">
        <v>313714700</v>
      </c>
      <c r="E126" s="628">
        <f t="shared" si="9"/>
        <v>379676800</v>
      </c>
      <c r="F126" s="628">
        <f t="shared" si="10"/>
        <v>379676800</v>
      </c>
      <c r="G126" s="626">
        <v>3493026.56</v>
      </c>
      <c r="H126" s="621" t="s">
        <v>1315</v>
      </c>
      <c r="I126" s="715"/>
    </row>
    <row r="127" spans="1:9" ht="11.9" customHeight="1">
      <c r="A127" s="620" t="s">
        <v>859</v>
      </c>
      <c r="B127" s="626">
        <v>2753176600</v>
      </c>
      <c r="C127" s="626">
        <v>2753176600</v>
      </c>
      <c r="D127" s="626">
        <v>4883913600</v>
      </c>
      <c r="E127" s="628">
        <f t="shared" si="9"/>
        <v>7637090200</v>
      </c>
      <c r="F127" s="628">
        <f t="shared" si="10"/>
        <v>7637090200</v>
      </c>
      <c r="G127" s="626">
        <v>78280174.549999997</v>
      </c>
      <c r="H127" s="621" t="s">
        <v>1315</v>
      </c>
      <c r="I127" s="715"/>
    </row>
    <row r="128" spans="1:9" ht="18" customHeight="1">
      <c r="A128" s="620" t="s">
        <v>417</v>
      </c>
      <c r="B128" s="626">
        <v>2273507500</v>
      </c>
      <c r="C128" s="626">
        <v>2273507500</v>
      </c>
      <c r="D128" s="626">
        <v>3086039500</v>
      </c>
      <c r="E128" s="628">
        <f t="shared" si="9"/>
        <v>5359547000</v>
      </c>
      <c r="F128" s="628">
        <f t="shared" si="10"/>
        <v>5359547000</v>
      </c>
      <c r="G128" s="626">
        <v>65922428.100000001</v>
      </c>
      <c r="H128" s="621" t="s">
        <v>1315</v>
      </c>
      <c r="I128" s="715"/>
    </row>
    <row r="129" spans="1:9" ht="11.9" customHeight="1">
      <c r="A129" s="620" t="s">
        <v>21</v>
      </c>
      <c r="B129" s="626">
        <v>158388600</v>
      </c>
      <c r="C129" s="626">
        <v>152250439</v>
      </c>
      <c r="D129" s="626">
        <v>469525300</v>
      </c>
      <c r="E129" s="628">
        <f t="shared" si="9"/>
        <v>627913900</v>
      </c>
      <c r="F129" s="628">
        <f t="shared" si="10"/>
        <v>621775739</v>
      </c>
      <c r="G129" s="626">
        <v>6404290.1117000002</v>
      </c>
      <c r="H129" s="621" t="s">
        <v>1315</v>
      </c>
      <c r="I129" s="715"/>
    </row>
    <row r="130" spans="1:9" ht="11.9" customHeight="1">
      <c r="A130" s="620" t="s">
        <v>129</v>
      </c>
      <c r="B130" s="626">
        <v>1575283900</v>
      </c>
      <c r="C130" s="626">
        <v>1544003000</v>
      </c>
      <c r="D130" s="626">
        <v>3128689300</v>
      </c>
      <c r="E130" s="628">
        <f t="shared" si="9"/>
        <v>4703973200</v>
      </c>
      <c r="F130" s="628">
        <f t="shared" si="10"/>
        <v>4672692300</v>
      </c>
      <c r="G130" s="626">
        <v>40185153.780000001</v>
      </c>
      <c r="H130" s="621" t="s">
        <v>1315</v>
      </c>
      <c r="I130" s="715"/>
    </row>
    <row r="131" spans="1:9" ht="11.9" customHeight="1">
      <c r="A131" s="620" t="s">
        <v>131</v>
      </c>
      <c r="B131" s="626">
        <v>91654900</v>
      </c>
      <c r="C131" s="626">
        <v>91654900</v>
      </c>
      <c r="D131" s="626">
        <v>384944250</v>
      </c>
      <c r="E131" s="628">
        <f t="shared" si="9"/>
        <v>476599150</v>
      </c>
      <c r="F131" s="628">
        <f t="shared" si="10"/>
        <v>476599150</v>
      </c>
      <c r="G131" s="626">
        <v>4765991.5</v>
      </c>
      <c r="H131" s="621" t="s">
        <v>1315</v>
      </c>
      <c r="I131" s="715"/>
    </row>
    <row r="132" spans="1:9" ht="11.9" customHeight="1">
      <c r="A132" s="620" t="s">
        <v>427</v>
      </c>
      <c r="B132" s="626">
        <v>3874357500</v>
      </c>
      <c r="C132" s="626">
        <v>3859214300</v>
      </c>
      <c r="D132" s="626">
        <v>10387296500</v>
      </c>
      <c r="E132" s="628">
        <f t="shared" si="9"/>
        <v>14261654000</v>
      </c>
      <c r="F132" s="628">
        <f t="shared" si="10"/>
        <v>14246510800</v>
      </c>
      <c r="G132" s="626">
        <v>168108827.44</v>
      </c>
      <c r="H132" s="621" t="s">
        <v>1315</v>
      </c>
      <c r="I132" s="715"/>
    </row>
    <row r="133" spans="1:9" ht="18" customHeight="1">
      <c r="A133" s="620" t="s">
        <v>429</v>
      </c>
      <c r="B133" s="626">
        <v>1405438900</v>
      </c>
      <c r="C133" s="626">
        <v>1351891800</v>
      </c>
      <c r="D133" s="626">
        <v>3552323050</v>
      </c>
      <c r="E133" s="628">
        <f t="shared" si="9"/>
        <v>4957761950</v>
      </c>
      <c r="F133" s="628">
        <f t="shared" si="10"/>
        <v>4904214850</v>
      </c>
      <c r="G133" s="626">
        <v>45609198.104999997</v>
      </c>
      <c r="H133" s="621" t="s">
        <v>1315</v>
      </c>
      <c r="I133" s="715"/>
    </row>
    <row r="134" spans="1:9" ht="11.9" customHeight="1">
      <c r="A134" s="620" t="s">
        <v>137</v>
      </c>
      <c r="B134" s="626">
        <v>372553000</v>
      </c>
      <c r="C134" s="626">
        <v>372553000</v>
      </c>
      <c r="D134" s="626">
        <v>1553216800</v>
      </c>
      <c r="E134" s="628">
        <f t="shared" si="9"/>
        <v>1925769800</v>
      </c>
      <c r="F134" s="628">
        <f t="shared" si="10"/>
        <v>1925769800</v>
      </c>
      <c r="G134" s="626">
        <v>21761198.739999998</v>
      </c>
      <c r="H134" s="621" t="s">
        <v>1315</v>
      </c>
      <c r="I134" s="715"/>
    </row>
    <row r="135" spans="1:9" ht="11.9" customHeight="1">
      <c r="A135" s="620" t="s">
        <v>788</v>
      </c>
      <c r="B135" s="626">
        <v>192480800</v>
      </c>
      <c r="C135" s="626">
        <v>192480800</v>
      </c>
      <c r="D135" s="626">
        <v>485188900</v>
      </c>
      <c r="E135" s="628">
        <f t="shared" si="9"/>
        <v>677669700</v>
      </c>
      <c r="F135" s="628">
        <f t="shared" si="10"/>
        <v>677669700</v>
      </c>
      <c r="G135" s="626">
        <v>6234561.2400000002</v>
      </c>
      <c r="H135" s="621" t="s">
        <v>1315</v>
      </c>
      <c r="I135" s="715"/>
    </row>
    <row r="136" spans="1:9" ht="11.9" customHeight="1">
      <c r="A136" s="620" t="s">
        <v>141</v>
      </c>
      <c r="B136" s="626">
        <v>1361661800</v>
      </c>
      <c r="C136" s="626">
        <v>1347790100</v>
      </c>
      <c r="D136" s="626">
        <v>4950533600</v>
      </c>
      <c r="E136" s="725">
        <f t="shared" si="9"/>
        <v>6312195400</v>
      </c>
      <c r="F136" s="725">
        <f t="shared" si="10"/>
        <v>6298323700</v>
      </c>
      <c r="G136" s="626">
        <v>69911393.069999993</v>
      </c>
      <c r="H136" s="621" t="s">
        <v>1315</v>
      </c>
      <c r="I136" s="715"/>
    </row>
    <row r="137" spans="1:9">
      <c r="A137" s="620" t="s">
        <v>314</v>
      </c>
      <c r="B137" s="626">
        <v>2009117000</v>
      </c>
      <c r="C137" s="626">
        <v>2009117000</v>
      </c>
      <c r="D137" s="626">
        <v>4220221800</v>
      </c>
      <c r="E137" s="628">
        <f t="shared" si="9"/>
        <v>6229338800</v>
      </c>
      <c r="F137" s="628">
        <f t="shared" si="10"/>
        <v>6229338800</v>
      </c>
      <c r="G137" s="626">
        <v>70702995.379999995</v>
      </c>
      <c r="H137" s="621" t="s">
        <v>1315</v>
      </c>
      <c r="I137" s="715"/>
    </row>
    <row r="138" spans="1:9" ht="18" customHeight="1">
      <c r="A138" s="620" t="s">
        <v>1201</v>
      </c>
      <c r="B138" s="626">
        <v>691606400</v>
      </c>
      <c r="C138" s="626">
        <v>691606400</v>
      </c>
      <c r="D138" s="626">
        <v>1470996000</v>
      </c>
      <c r="E138" s="628">
        <f t="shared" ref="E138:E155" si="11">IF(SUM(B138,D138)=0,"",SUM(B138,D138))</f>
        <v>2162602400</v>
      </c>
      <c r="F138" s="628">
        <f t="shared" ref="F138:F155" si="12">IF(SUM(C138:D138)=0,"",SUM(C138:D138))</f>
        <v>2162602400</v>
      </c>
      <c r="G138" s="626">
        <v>31357734.800000001</v>
      </c>
      <c r="H138" s="621" t="s">
        <v>1315</v>
      </c>
      <c r="I138" s="715"/>
    </row>
    <row r="139" spans="1:9" ht="11.9" customHeight="1">
      <c r="A139" s="620" t="s">
        <v>322</v>
      </c>
      <c r="B139" s="626">
        <v>126332500</v>
      </c>
      <c r="C139" s="626">
        <v>126332500</v>
      </c>
      <c r="D139" s="626">
        <v>525414286</v>
      </c>
      <c r="E139" s="628">
        <f t="shared" si="11"/>
        <v>651746786</v>
      </c>
      <c r="F139" s="628">
        <f t="shared" si="12"/>
        <v>651746786</v>
      </c>
      <c r="G139" s="626">
        <v>6776537.2073999997</v>
      </c>
      <c r="H139" s="621" t="s">
        <v>1315</v>
      </c>
      <c r="I139" s="715"/>
    </row>
    <row r="140" spans="1:9" ht="11.9" customHeight="1">
      <c r="A140" s="620" t="s">
        <v>149</v>
      </c>
      <c r="B140" s="626">
        <v>5261292900</v>
      </c>
      <c r="C140" s="626">
        <v>5261292900</v>
      </c>
      <c r="D140" s="626">
        <v>15085296600</v>
      </c>
      <c r="E140" s="628">
        <f t="shared" si="11"/>
        <v>20346589500</v>
      </c>
      <c r="F140" s="628">
        <f t="shared" si="12"/>
        <v>20346589500</v>
      </c>
      <c r="G140" s="626">
        <v>244159074</v>
      </c>
      <c r="H140" s="621" t="s">
        <v>1315</v>
      </c>
      <c r="I140" s="715"/>
    </row>
    <row r="141" spans="1:9" ht="11.9" customHeight="1">
      <c r="A141" s="620" t="s">
        <v>151</v>
      </c>
      <c r="B141" s="626">
        <v>8005776600</v>
      </c>
      <c r="C141" s="626">
        <v>8005776600</v>
      </c>
      <c r="D141" s="626">
        <v>18102652300</v>
      </c>
      <c r="E141" s="628">
        <f t="shared" si="11"/>
        <v>26108428900</v>
      </c>
      <c r="F141" s="628">
        <f t="shared" si="12"/>
        <v>26108428900</v>
      </c>
      <c r="G141" s="626">
        <v>326355361.25</v>
      </c>
      <c r="H141" s="621" t="s">
        <v>1315</v>
      </c>
      <c r="I141" s="715"/>
    </row>
    <row r="142" spans="1:9" ht="11.9" customHeight="1">
      <c r="A142" s="620" t="s">
        <v>790</v>
      </c>
      <c r="B142" s="626">
        <v>55513300</v>
      </c>
      <c r="C142" s="626">
        <v>55513300</v>
      </c>
      <c r="D142" s="626">
        <v>172064700</v>
      </c>
      <c r="E142" s="628">
        <f t="shared" si="11"/>
        <v>227578000</v>
      </c>
      <c r="F142" s="628">
        <f t="shared" si="12"/>
        <v>227578000</v>
      </c>
      <c r="G142" s="626">
        <v>2048202</v>
      </c>
      <c r="H142" s="621" t="s">
        <v>1315</v>
      </c>
      <c r="I142" s="715"/>
    </row>
    <row r="143" spans="1:9" ht="18" customHeight="1">
      <c r="A143" s="636" t="s">
        <v>338</v>
      </c>
      <c r="B143" s="626">
        <v>487364800</v>
      </c>
      <c r="C143" s="626">
        <v>477702900</v>
      </c>
      <c r="D143" s="626">
        <v>1829578250</v>
      </c>
      <c r="E143" s="628">
        <f t="shared" si="11"/>
        <v>2316943050</v>
      </c>
      <c r="F143" s="628">
        <f t="shared" si="12"/>
        <v>2307281150</v>
      </c>
      <c r="G143" s="626">
        <v>29302470.605</v>
      </c>
      <c r="H143" s="621" t="s">
        <v>1315</v>
      </c>
      <c r="I143" s="715"/>
    </row>
    <row r="144" spans="1:9" ht="11.9" customHeight="1">
      <c r="A144" s="620" t="s">
        <v>1202</v>
      </c>
      <c r="B144" s="626">
        <v>720525600</v>
      </c>
      <c r="C144" s="626">
        <v>720525600</v>
      </c>
      <c r="D144" s="626">
        <v>1328185500</v>
      </c>
      <c r="E144" s="628">
        <f t="shared" si="11"/>
        <v>2048711100</v>
      </c>
      <c r="F144" s="628">
        <f t="shared" si="12"/>
        <v>2048711100</v>
      </c>
      <c r="G144" s="626">
        <v>23150435.43</v>
      </c>
      <c r="H144" s="621" t="s">
        <v>1315</v>
      </c>
      <c r="I144" s="715"/>
    </row>
    <row r="145" spans="1:9" ht="11.9" customHeight="1">
      <c r="A145" s="620" t="s">
        <v>346</v>
      </c>
      <c r="B145" s="626">
        <v>2633253160</v>
      </c>
      <c r="C145" s="626">
        <v>2629803550</v>
      </c>
      <c r="D145" s="626">
        <v>6073027943</v>
      </c>
      <c r="E145" s="628">
        <f t="shared" si="11"/>
        <v>8706281103</v>
      </c>
      <c r="F145" s="628">
        <f t="shared" si="12"/>
        <v>8702831493</v>
      </c>
      <c r="G145" s="626">
        <v>113136809.40899999</v>
      </c>
      <c r="H145" s="621" t="s">
        <v>1315</v>
      </c>
      <c r="I145" s="715"/>
    </row>
    <row r="146" spans="1:9" ht="11.9" customHeight="1">
      <c r="A146" s="620" t="s">
        <v>161</v>
      </c>
      <c r="B146" s="626">
        <v>185291300</v>
      </c>
      <c r="C146" s="626">
        <v>182995050</v>
      </c>
      <c r="D146" s="626">
        <v>727357300</v>
      </c>
      <c r="E146" s="628">
        <f t="shared" si="11"/>
        <v>912648600</v>
      </c>
      <c r="F146" s="628">
        <f t="shared" si="12"/>
        <v>910352350</v>
      </c>
      <c r="G146" s="626">
        <v>7646959.7400000002</v>
      </c>
      <c r="H146" s="621" t="s">
        <v>1315</v>
      </c>
      <c r="I146" s="715"/>
    </row>
    <row r="147" spans="1:9" ht="11.9" customHeight="1">
      <c r="A147" s="620" t="s">
        <v>354</v>
      </c>
      <c r="B147" s="626">
        <v>9877372000</v>
      </c>
      <c r="C147" s="626">
        <v>9877372000</v>
      </c>
      <c r="D147" s="626">
        <v>26056323000</v>
      </c>
      <c r="E147" s="628">
        <f t="shared" si="11"/>
        <v>35933695000</v>
      </c>
      <c r="F147" s="628">
        <f t="shared" si="12"/>
        <v>35933695000</v>
      </c>
      <c r="G147" s="626">
        <v>431204340</v>
      </c>
      <c r="H147" s="621" t="s">
        <v>1315</v>
      </c>
      <c r="I147" s="715"/>
    </row>
    <row r="148" spans="1:9" ht="18" customHeight="1">
      <c r="A148" s="620" t="s">
        <v>358</v>
      </c>
      <c r="B148" s="626">
        <v>2171097200</v>
      </c>
      <c r="C148" s="626">
        <v>2167555900</v>
      </c>
      <c r="D148" s="626">
        <v>8507541500</v>
      </c>
      <c r="E148" s="628">
        <f t="shared" si="11"/>
        <v>10678638700</v>
      </c>
      <c r="F148" s="628">
        <f t="shared" si="12"/>
        <v>10675097400</v>
      </c>
      <c r="G148" s="626">
        <v>130236188.28</v>
      </c>
      <c r="H148" s="621" t="s">
        <v>1315</v>
      </c>
      <c r="I148" s="715"/>
    </row>
    <row r="149" spans="1:9" ht="11.9" customHeight="1">
      <c r="A149" s="620" t="s">
        <v>362</v>
      </c>
      <c r="B149" s="626">
        <v>649088100</v>
      </c>
      <c r="C149" s="626">
        <v>649088100</v>
      </c>
      <c r="D149" s="626">
        <v>2116376300</v>
      </c>
      <c r="E149" s="628">
        <f t="shared" si="11"/>
        <v>2765464400</v>
      </c>
      <c r="F149" s="628">
        <f t="shared" si="12"/>
        <v>2765464400</v>
      </c>
      <c r="G149" s="626">
        <v>33185572.800000001</v>
      </c>
      <c r="H149" s="621" t="s">
        <v>1315</v>
      </c>
      <c r="I149" s="715"/>
    </row>
    <row r="150" spans="1:9" ht="11.9" customHeight="1">
      <c r="A150" s="620" t="s">
        <v>163</v>
      </c>
      <c r="B150" s="626">
        <v>606443548</v>
      </c>
      <c r="C150" s="626">
        <v>584401831</v>
      </c>
      <c r="D150" s="626">
        <v>2286731666</v>
      </c>
      <c r="E150" s="628">
        <f t="shared" si="11"/>
        <v>2893175214</v>
      </c>
      <c r="F150" s="628">
        <f t="shared" si="12"/>
        <v>2871133497</v>
      </c>
      <c r="G150" s="626">
        <v>25553088.123300001</v>
      </c>
      <c r="H150" s="621" t="s">
        <v>1315</v>
      </c>
      <c r="I150" s="715"/>
    </row>
    <row r="151" spans="1:9" ht="11.9" customHeight="1">
      <c r="A151" s="620" t="s">
        <v>370</v>
      </c>
      <c r="B151" s="626">
        <v>4198766700</v>
      </c>
      <c r="C151" s="626">
        <v>3754219100</v>
      </c>
      <c r="D151" s="626">
        <v>11976545200</v>
      </c>
      <c r="E151" s="628">
        <f t="shared" si="11"/>
        <v>16175311900</v>
      </c>
      <c r="F151" s="628">
        <f t="shared" si="12"/>
        <v>15730764300</v>
      </c>
      <c r="G151" s="626">
        <v>171465330.87</v>
      </c>
      <c r="H151" s="621" t="s">
        <v>1315</v>
      </c>
      <c r="I151" s="715"/>
    </row>
    <row r="152" spans="1:9" ht="11.9" customHeight="1">
      <c r="A152" s="620" t="s">
        <v>586</v>
      </c>
      <c r="B152" s="626">
        <v>28324859800</v>
      </c>
      <c r="C152" s="626">
        <v>28043661300</v>
      </c>
      <c r="D152" s="626">
        <v>41631165100</v>
      </c>
      <c r="E152" s="628">
        <f t="shared" si="11"/>
        <v>69956024900</v>
      </c>
      <c r="F152" s="628">
        <f t="shared" si="12"/>
        <v>69674826400</v>
      </c>
      <c r="G152" s="626">
        <v>689780781.36000001</v>
      </c>
      <c r="H152" s="621" t="s">
        <v>1315</v>
      </c>
      <c r="I152" s="715"/>
    </row>
    <row r="153" spans="1:9" ht="18" customHeight="1">
      <c r="A153" s="620" t="s">
        <v>166</v>
      </c>
      <c r="B153" s="626">
        <v>683470375</v>
      </c>
      <c r="C153" s="626">
        <v>672453275</v>
      </c>
      <c r="D153" s="626">
        <v>2037195501</v>
      </c>
      <c r="E153" s="628">
        <f t="shared" si="11"/>
        <v>2720665876</v>
      </c>
      <c r="F153" s="628">
        <f t="shared" si="12"/>
        <v>2709648776</v>
      </c>
      <c r="G153" s="626">
        <v>20864295.575199999</v>
      </c>
      <c r="H153" s="621" t="s">
        <v>1315</v>
      </c>
      <c r="I153" s="715"/>
    </row>
    <row r="154" spans="1:9" ht="11.9" customHeight="1">
      <c r="A154" s="620" t="s">
        <v>791</v>
      </c>
      <c r="B154" s="626">
        <v>748488700</v>
      </c>
      <c r="C154" s="626">
        <v>748488700</v>
      </c>
      <c r="D154" s="626">
        <v>1744444970</v>
      </c>
      <c r="E154" s="628">
        <f t="shared" si="11"/>
        <v>2492933670</v>
      </c>
      <c r="F154" s="628">
        <f t="shared" si="12"/>
        <v>2492933670</v>
      </c>
      <c r="G154" s="626">
        <v>15456188.754000001</v>
      </c>
      <c r="H154" s="621" t="s">
        <v>1315</v>
      </c>
      <c r="I154" s="715"/>
    </row>
    <row r="155" spans="1:9" ht="11.9" customHeight="1">
      <c r="A155" s="620" t="s">
        <v>170</v>
      </c>
      <c r="B155" s="626">
        <v>1060948165</v>
      </c>
      <c r="C155" s="626">
        <v>1059248167</v>
      </c>
      <c r="D155" s="626">
        <v>3242150707</v>
      </c>
      <c r="E155" s="628">
        <f t="shared" si="11"/>
        <v>4303098872</v>
      </c>
      <c r="F155" s="628">
        <f t="shared" si="12"/>
        <v>4301398874</v>
      </c>
      <c r="G155" s="626">
        <v>35701610.654200003</v>
      </c>
      <c r="H155" s="621" t="s">
        <v>1315</v>
      </c>
      <c r="I155" s="715"/>
    </row>
    <row r="156" spans="1:9" ht="5.15" customHeight="1">
      <c r="I156" s="715"/>
    </row>
    <row r="157" spans="1:9" s="633" customFormat="1" ht="12.65" customHeight="1">
      <c r="A157" s="783" t="s">
        <v>24</v>
      </c>
      <c r="B157" s="784">
        <f t="shared" ref="B157:G157" si="13">SUM(B118:B137,B138:B155)</f>
        <v>118629347882</v>
      </c>
      <c r="C157" s="784">
        <f t="shared" si="13"/>
        <v>117469743746</v>
      </c>
      <c r="D157" s="784">
        <f t="shared" si="13"/>
        <v>244984865294</v>
      </c>
      <c r="E157" s="784">
        <f t="shared" si="13"/>
        <v>363614213176</v>
      </c>
      <c r="F157" s="784">
        <f t="shared" si="13"/>
        <v>362454609040</v>
      </c>
      <c r="G157" s="784">
        <f t="shared" si="13"/>
        <v>3956636358.5831003</v>
      </c>
      <c r="H157" s="632"/>
      <c r="I157" s="716"/>
    </row>
    <row r="158" spans="1:9" s="633" customFormat="1" ht="12.65" customHeight="1">
      <c r="A158" s="783" t="s">
        <v>19</v>
      </c>
      <c r="B158" s="784">
        <f t="shared" ref="B158:G158" si="14">B112</f>
        <v>397173466686.5</v>
      </c>
      <c r="C158" s="784">
        <f t="shared" si="14"/>
        <v>371783341367.69</v>
      </c>
      <c r="D158" s="784">
        <f t="shared" si="14"/>
        <v>782609477587</v>
      </c>
      <c r="E158" s="784">
        <f t="shared" si="14"/>
        <v>1179782944273.5</v>
      </c>
      <c r="F158" s="784">
        <f t="shared" si="14"/>
        <v>1154392818954.6899</v>
      </c>
      <c r="G158" s="784">
        <f t="shared" si="14"/>
        <v>10298731332.813395</v>
      </c>
      <c r="H158" s="632"/>
      <c r="I158" s="716"/>
    </row>
    <row r="159" spans="1:9" ht="6" customHeight="1">
      <c r="A159" s="785"/>
      <c r="B159" s="784"/>
      <c r="C159" s="784"/>
      <c r="D159" s="784"/>
      <c r="E159" s="784"/>
      <c r="F159" s="784"/>
      <c r="G159" s="784"/>
      <c r="H159" s="638"/>
    </row>
    <row r="160" spans="1:9" s="633" customFormat="1" ht="12.65" customHeight="1">
      <c r="A160" s="783" t="s">
        <v>25</v>
      </c>
      <c r="B160" s="784">
        <f t="shared" ref="B160:G160" si="15">B157+B158</f>
        <v>515802814568.5</v>
      </c>
      <c r="C160" s="784">
        <f t="shared" si="15"/>
        <v>489253085113.69</v>
      </c>
      <c r="D160" s="784">
        <f>D157+D158</f>
        <v>1027594342881</v>
      </c>
      <c r="E160" s="784">
        <f t="shared" si="15"/>
        <v>1543397157449.5</v>
      </c>
      <c r="F160" s="784">
        <f t="shared" si="15"/>
        <v>1516847427994.6899</v>
      </c>
      <c r="G160" s="784">
        <f t="shared" si="15"/>
        <v>14255367691.396496</v>
      </c>
      <c r="H160" s="632"/>
      <c r="I160" s="716"/>
    </row>
    <row r="161" spans="1:9" ht="5.15" customHeight="1">
      <c r="A161" s="636"/>
      <c r="B161" s="1354"/>
      <c r="C161" s="1354"/>
      <c r="D161" s="1354"/>
      <c r="E161" s="1354"/>
      <c r="F161" s="1354"/>
      <c r="G161" s="1354"/>
    </row>
    <row r="162" spans="1:9" s="1048" customFormat="1" ht="10" customHeight="1">
      <c r="A162" s="1222" t="s">
        <v>1</v>
      </c>
      <c r="B162" s="1355"/>
      <c r="C162" s="1355"/>
      <c r="D162" s="1355"/>
      <c r="E162" s="1355"/>
      <c r="F162" s="1355"/>
      <c r="G162" s="1355"/>
      <c r="H162" s="1051"/>
      <c r="I162" s="1049"/>
    </row>
    <row r="163" spans="1:9" s="1048" customFormat="1" ht="10" customHeight="1">
      <c r="A163" s="1221" t="s">
        <v>1388</v>
      </c>
      <c r="B163" s="1050"/>
      <c r="C163" s="1050"/>
      <c r="D163" s="1050"/>
      <c r="E163" s="1050"/>
      <c r="F163" s="1050"/>
      <c r="G163" s="1050"/>
      <c r="H163" s="1050"/>
      <c r="I163" s="1049"/>
    </row>
    <row r="164" spans="1:9" s="1048" customFormat="1" ht="10" customHeight="1">
      <c r="A164" s="1221" t="s">
        <v>1267</v>
      </c>
      <c r="B164" s="1050"/>
      <c r="C164" s="1050"/>
      <c r="D164" s="1050"/>
      <c r="E164" s="1050"/>
      <c r="F164" s="1050"/>
      <c r="G164" s="1050"/>
      <c r="H164" s="1050"/>
      <c r="I164" s="1049"/>
    </row>
    <row r="165" spans="1:9" s="1048" customFormat="1" ht="10" customHeight="1">
      <c r="A165" s="1221" t="s">
        <v>919</v>
      </c>
      <c r="B165" s="1050"/>
      <c r="C165" s="1050"/>
      <c r="D165" s="1050"/>
      <c r="E165" s="1050"/>
      <c r="F165" s="1050"/>
      <c r="G165" s="1050"/>
      <c r="H165" s="1050"/>
      <c r="I165" s="1049"/>
    </row>
    <row r="166" spans="1:9" s="1048" customFormat="1" ht="10" customHeight="1">
      <c r="A166" s="1221" t="s">
        <v>795</v>
      </c>
      <c r="B166" s="1050"/>
      <c r="C166" s="1050"/>
      <c r="D166" s="1050"/>
      <c r="E166" s="1050"/>
      <c r="F166" s="1050"/>
      <c r="G166" s="1050"/>
      <c r="H166" s="1050"/>
      <c r="I166" s="1049"/>
    </row>
    <row r="167" spans="1:9" ht="10" customHeight="1">
      <c r="A167" s="1052" t="s">
        <v>924</v>
      </c>
      <c r="B167" s="639"/>
      <c r="C167" s="639"/>
      <c r="D167" s="639"/>
      <c r="E167" s="639"/>
      <c r="F167" s="639"/>
      <c r="G167" s="639"/>
    </row>
    <row r="168" spans="1:9">
      <c r="A168" s="639"/>
      <c r="B168" s="639"/>
      <c r="C168" s="639"/>
      <c r="D168" s="639"/>
      <c r="E168" s="639"/>
      <c r="F168" s="639"/>
      <c r="G168" s="639"/>
      <c r="I168" s="620"/>
    </row>
    <row r="169" spans="1:9">
      <c r="B169" s="625"/>
      <c r="C169" s="625"/>
      <c r="D169" s="625"/>
      <c r="E169" s="625"/>
      <c r="F169" s="625"/>
      <c r="G169" s="625"/>
      <c r="I169" s="620"/>
    </row>
    <row r="170" spans="1:9">
      <c r="B170" s="640"/>
      <c r="C170" s="640"/>
      <c r="D170" s="640"/>
      <c r="E170" s="640"/>
      <c r="F170" s="640"/>
      <c r="G170" s="640"/>
      <c r="I170" s="620"/>
    </row>
    <row r="171" spans="1:9">
      <c r="B171" s="640"/>
      <c r="C171" s="640"/>
      <c r="D171" s="640"/>
      <c r="E171" s="640"/>
      <c r="F171" s="640"/>
      <c r="G171" s="640"/>
      <c r="I171" s="620"/>
    </row>
    <row r="172" spans="1:9">
      <c r="B172" s="625"/>
      <c r="C172" s="625"/>
      <c r="D172" s="625"/>
      <c r="E172" s="625"/>
      <c r="F172" s="625"/>
      <c r="G172" s="625"/>
      <c r="I172" s="620"/>
    </row>
    <row r="173" spans="1:9">
      <c r="B173" s="777"/>
      <c r="C173" s="777"/>
      <c r="D173" s="777"/>
      <c r="E173" s="777"/>
      <c r="F173" s="777"/>
      <c r="G173" s="777"/>
      <c r="I173" s="620"/>
    </row>
    <row r="174" spans="1:9">
      <c r="B174" s="777"/>
      <c r="C174" s="777"/>
      <c r="D174" s="777"/>
      <c r="E174" s="777"/>
      <c r="F174" s="777"/>
      <c r="G174" s="777"/>
      <c r="I174" s="620"/>
    </row>
    <row r="175" spans="1:9">
      <c r="B175" s="777"/>
      <c r="C175" s="777"/>
      <c r="D175" s="777"/>
      <c r="E175" s="777"/>
      <c r="F175" s="777"/>
      <c r="G175" s="777"/>
      <c r="I175" s="620"/>
    </row>
    <row r="176" spans="1:9">
      <c r="B176" s="777"/>
      <c r="C176" s="777"/>
      <c r="D176" s="777"/>
      <c r="E176" s="777"/>
      <c r="F176" s="777"/>
      <c r="G176" s="777"/>
    </row>
  </sheetData>
  <hyperlinks>
    <hyperlink ref="I1" location="TOC!A1" display="Back" xr:uid="{00000000-0004-0000-1E00-000000000000}"/>
  </hyperlinks>
  <pageMargins left="0.75" right="0.25" top="0.4" bottom="0.2" header="0.25" footer="0"/>
  <pageSetup scale="87" fitToHeight="4" orientation="landscape" r:id="rId1"/>
  <headerFooter scaleWithDoc="0">
    <oddHeader>&amp;R&amp;P</oddHeader>
  </headerFooter>
  <rowBreaks count="3" manualBreakCount="3">
    <brk id="35" max="7" man="1"/>
    <brk id="70" max="7" man="1"/>
    <brk id="112" max="7"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7030A0"/>
  </sheetPr>
  <dimension ref="A1:AB214"/>
  <sheetViews>
    <sheetView topLeftCell="A175" zoomScale="90" zoomScaleNormal="90" workbookViewId="0">
      <selection activeCell="N59" sqref="N59"/>
    </sheetView>
  </sheetViews>
  <sheetFormatPr defaultColWidth="13.7265625" defaultRowHeight="11.5"/>
  <cols>
    <col min="1" max="1" width="14.453125" style="401" customWidth="1"/>
    <col min="2" max="2" width="15.26953125" style="401" customWidth="1"/>
    <col min="3" max="3" width="15.7265625" style="401" customWidth="1"/>
    <col min="4" max="4" width="15.26953125" style="401" customWidth="1"/>
    <col min="5" max="6" width="16.81640625" style="401" customWidth="1"/>
    <col min="7" max="7" width="14.453125" style="401" customWidth="1"/>
    <col min="8" max="8" width="14.453125" style="406" customWidth="1"/>
    <col min="9" max="10" width="8.26953125" style="401" customWidth="1"/>
    <col min="11" max="97" width="13.7265625" style="401" customWidth="1"/>
    <col min="98" max="16384" width="13.7265625" style="401"/>
  </cols>
  <sheetData>
    <row r="1" spans="1:28" ht="14">
      <c r="A1" s="400" t="s">
        <v>777</v>
      </c>
      <c r="L1" s="413"/>
    </row>
    <row r="2" spans="1:28" ht="13">
      <c r="A2" s="1655" t="s">
        <v>852</v>
      </c>
      <c r="B2" s="1655"/>
      <c r="C2" s="1655"/>
      <c r="D2" s="1655"/>
      <c r="E2" s="1655"/>
      <c r="F2" s="1655"/>
      <c r="G2" s="1655"/>
      <c r="H2" s="1655"/>
      <c r="L2" s="1656"/>
      <c r="M2" s="1656"/>
      <c r="N2" s="1656"/>
      <c r="O2" s="1656"/>
      <c r="P2" s="1656"/>
      <c r="Q2" s="1656"/>
      <c r="R2" s="1656"/>
      <c r="S2" s="1656"/>
      <c r="U2" s="413"/>
    </row>
    <row r="3" spans="1:28" ht="12" thickBot="1">
      <c r="A3" s="416"/>
      <c r="B3" s="416"/>
      <c r="C3" s="416"/>
      <c r="D3" s="416"/>
      <c r="E3" s="416"/>
      <c r="F3" s="416"/>
      <c r="G3" s="416"/>
      <c r="H3" s="419"/>
      <c r="L3" s="460"/>
      <c r="M3" s="460"/>
      <c r="N3" s="460"/>
      <c r="O3" s="460"/>
      <c r="P3" s="460"/>
      <c r="Q3" s="460"/>
      <c r="R3" s="460"/>
      <c r="S3" s="460"/>
      <c r="U3" s="413"/>
    </row>
    <row r="5" spans="1:28" s="420" customFormat="1">
      <c r="A5" s="421" t="s">
        <v>18</v>
      </c>
      <c r="B5" s="421" t="s">
        <v>778</v>
      </c>
      <c r="C5" s="421" t="s">
        <v>779</v>
      </c>
      <c r="D5" s="421" t="s">
        <v>780</v>
      </c>
      <c r="E5" s="421" t="s">
        <v>781</v>
      </c>
      <c r="F5" s="421" t="s">
        <v>782</v>
      </c>
      <c r="G5" s="421" t="s">
        <v>783</v>
      </c>
      <c r="H5" s="421" t="s">
        <v>784</v>
      </c>
    </row>
    <row r="6" spans="1:28" ht="8.25" customHeight="1"/>
    <row r="7" spans="1:28" ht="12" customHeight="1">
      <c r="A7" s="401" t="s">
        <v>47</v>
      </c>
      <c r="B7" s="625">
        <v>1637882600</v>
      </c>
      <c r="C7" s="625">
        <v>1551107600</v>
      </c>
      <c r="D7" s="625">
        <v>2022125700</v>
      </c>
      <c r="E7" s="403">
        <v>3660008300</v>
      </c>
      <c r="F7" s="403">
        <v>3573233300</v>
      </c>
      <c r="G7" s="625">
        <v>21360827.5</v>
      </c>
      <c r="H7" s="621">
        <v>2019</v>
      </c>
      <c r="I7" s="404"/>
      <c r="J7" s="404"/>
      <c r="M7" s="405"/>
      <c r="N7" s="405"/>
      <c r="O7" s="405"/>
      <c r="P7" s="405"/>
      <c r="Q7" s="405"/>
      <c r="R7" s="405"/>
      <c r="S7" s="406"/>
      <c r="V7" s="407"/>
      <c r="W7" s="407"/>
      <c r="X7" s="407"/>
      <c r="Y7" s="407"/>
      <c r="Z7" s="407"/>
      <c r="AA7" s="407"/>
      <c r="AB7" s="407"/>
    </row>
    <row r="8" spans="1:28" ht="12" customHeight="1">
      <c r="A8" s="401" t="s">
        <v>49</v>
      </c>
      <c r="B8" s="626">
        <v>7986959200</v>
      </c>
      <c r="C8" s="626">
        <v>6457390800</v>
      </c>
      <c r="D8" s="626">
        <v>12565800900</v>
      </c>
      <c r="E8" s="409">
        <v>20552760100</v>
      </c>
      <c r="F8" s="409">
        <v>19023191700</v>
      </c>
      <c r="G8" s="626">
        <v>162458057.118</v>
      </c>
      <c r="H8" s="621">
        <v>2019</v>
      </c>
      <c r="I8" s="404"/>
      <c r="J8" s="404"/>
      <c r="M8" s="410"/>
      <c r="N8" s="410"/>
      <c r="O8" s="410"/>
      <c r="P8" s="410"/>
      <c r="Q8" s="410"/>
      <c r="R8" s="410"/>
      <c r="S8" s="406"/>
      <c r="V8" s="407"/>
      <c r="W8" s="407"/>
      <c r="X8" s="407"/>
      <c r="Y8" s="407"/>
      <c r="Z8" s="407"/>
      <c r="AA8" s="407"/>
      <c r="AB8" s="407"/>
    </row>
    <row r="9" spans="1:28" ht="12" customHeight="1">
      <c r="A9" s="401" t="s">
        <v>51</v>
      </c>
      <c r="B9" s="626">
        <v>330184200</v>
      </c>
      <c r="C9" s="626">
        <v>254185800</v>
      </c>
      <c r="D9" s="626">
        <v>791622000</v>
      </c>
      <c r="E9" s="409">
        <v>1121806200</v>
      </c>
      <c r="F9" s="409">
        <v>1045807800</v>
      </c>
      <c r="G9" s="626">
        <v>7634396.9399999995</v>
      </c>
      <c r="H9" s="621">
        <v>2019</v>
      </c>
      <c r="I9" s="404"/>
      <c r="J9" s="404"/>
      <c r="M9" s="410"/>
      <c r="N9" s="410"/>
      <c r="O9" s="410"/>
      <c r="P9" s="410"/>
      <c r="Q9" s="410"/>
      <c r="R9" s="410"/>
      <c r="S9" s="406"/>
      <c r="V9" s="407"/>
      <c r="W9" s="407"/>
      <c r="X9" s="407"/>
      <c r="Y9" s="407"/>
      <c r="Z9" s="407"/>
      <c r="AA9" s="407"/>
      <c r="AB9" s="407"/>
    </row>
    <row r="10" spans="1:28" ht="12" customHeight="1">
      <c r="A10" s="401" t="s">
        <v>53</v>
      </c>
      <c r="B10" s="626">
        <v>515564155</v>
      </c>
      <c r="C10" s="626">
        <v>441675755</v>
      </c>
      <c r="D10" s="626">
        <v>777360900</v>
      </c>
      <c r="E10" s="409">
        <v>1292925055</v>
      </c>
      <c r="F10" s="409">
        <v>1219036655</v>
      </c>
      <c r="G10" s="626">
        <v>5851375.9440000001</v>
      </c>
      <c r="H10" s="621">
        <v>2019</v>
      </c>
      <c r="I10" s="404"/>
      <c r="J10" s="404"/>
      <c r="M10" s="410"/>
      <c r="N10" s="410"/>
      <c r="O10" s="410"/>
      <c r="P10" s="410"/>
      <c r="Q10" s="410"/>
      <c r="R10" s="410"/>
      <c r="S10" s="406"/>
      <c r="V10" s="407"/>
      <c r="W10" s="407"/>
      <c r="X10" s="407"/>
      <c r="Y10" s="407"/>
      <c r="Z10" s="407"/>
      <c r="AA10" s="407"/>
      <c r="AB10" s="407"/>
    </row>
    <row r="11" spans="1:28" ht="12" customHeight="1">
      <c r="A11" s="401" t="s">
        <v>55</v>
      </c>
      <c r="B11" s="626">
        <v>1090356600</v>
      </c>
      <c r="C11" s="626">
        <v>800464900</v>
      </c>
      <c r="D11" s="626">
        <v>1561757400</v>
      </c>
      <c r="E11" s="409">
        <v>2652114000</v>
      </c>
      <c r="F11" s="409">
        <v>2362222300</v>
      </c>
      <c r="G11" s="626">
        <v>14409556.029999999</v>
      </c>
      <c r="H11" s="621">
        <v>2019</v>
      </c>
      <c r="I11" s="404"/>
      <c r="J11" s="404"/>
      <c r="M11" s="410"/>
      <c r="N11" s="410"/>
      <c r="O11" s="410"/>
      <c r="P11" s="410"/>
      <c r="Q11" s="410"/>
      <c r="R11" s="410"/>
      <c r="S11" s="406"/>
      <c r="V11" s="407"/>
      <c r="W11" s="407"/>
      <c r="X11" s="407"/>
      <c r="Y11" s="407"/>
      <c r="Z11" s="407"/>
      <c r="AA11" s="407"/>
      <c r="AB11" s="407"/>
    </row>
    <row r="12" spans="1:28" ht="9" customHeight="1">
      <c r="B12" s="626"/>
      <c r="C12" s="626"/>
      <c r="D12" s="626"/>
      <c r="E12" s="409"/>
      <c r="F12" s="409"/>
      <c r="G12" s="626"/>
      <c r="H12" s="621"/>
      <c r="M12" s="410"/>
      <c r="N12" s="410"/>
      <c r="O12" s="410"/>
      <c r="P12" s="410"/>
      <c r="Q12" s="410"/>
      <c r="R12" s="410"/>
      <c r="S12" s="406"/>
      <c r="V12" s="407"/>
      <c r="W12" s="407"/>
      <c r="X12" s="407"/>
      <c r="Y12" s="407"/>
      <c r="Z12" s="407"/>
      <c r="AA12" s="407"/>
      <c r="AB12" s="407"/>
    </row>
    <row r="13" spans="1:28" ht="12" customHeight="1">
      <c r="A13" s="401" t="s">
        <v>57</v>
      </c>
      <c r="B13" s="626">
        <v>594750700</v>
      </c>
      <c r="C13" s="626">
        <v>546481132</v>
      </c>
      <c r="D13" s="626">
        <v>789806300</v>
      </c>
      <c r="E13" s="409">
        <v>1384557000</v>
      </c>
      <c r="F13" s="409">
        <v>1336287432</v>
      </c>
      <c r="G13" s="626">
        <v>8685868.3080000002</v>
      </c>
      <c r="H13" s="621">
        <v>2019</v>
      </c>
      <c r="I13" s="404"/>
      <c r="J13" s="404"/>
      <c r="M13" s="410"/>
      <c r="N13" s="410"/>
      <c r="O13" s="410"/>
      <c r="P13" s="410"/>
      <c r="Q13" s="410"/>
      <c r="R13" s="410"/>
      <c r="S13" s="406"/>
      <c r="V13" s="407"/>
      <c r="W13" s="407"/>
      <c r="X13" s="407"/>
      <c r="Y13" s="407"/>
      <c r="Z13" s="407"/>
      <c r="AA13" s="407"/>
      <c r="AB13" s="407"/>
    </row>
    <row r="14" spans="1:28" ht="12" customHeight="1">
      <c r="A14" s="401" t="s">
        <v>866</v>
      </c>
      <c r="B14" s="626">
        <v>30299633700</v>
      </c>
      <c r="C14" s="626">
        <v>30299633700</v>
      </c>
      <c r="D14" s="626">
        <v>47290504500</v>
      </c>
      <c r="E14" s="409">
        <v>77590138200</v>
      </c>
      <c r="F14" s="409">
        <v>77590138200</v>
      </c>
      <c r="G14" s="627">
        <v>785988099.96599996</v>
      </c>
      <c r="H14" s="621">
        <v>2018</v>
      </c>
      <c r="I14" s="404"/>
      <c r="J14" s="404"/>
      <c r="M14" s="410"/>
      <c r="N14" s="410"/>
      <c r="O14" s="410"/>
      <c r="P14" s="410"/>
      <c r="Q14" s="410"/>
      <c r="R14" s="410"/>
      <c r="S14" s="406"/>
      <c r="V14" s="407"/>
      <c r="W14" s="407"/>
      <c r="X14" s="407"/>
      <c r="Y14" s="407"/>
      <c r="Z14" s="407"/>
      <c r="AA14" s="407"/>
      <c r="AB14" s="407"/>
    </row>
    <row r="15" spans="1:28" ht="12" customHeight="1">
      <c r="A15" s="401" t="s">
        <v>61</v>
      </c>
      <c r="B15" s="626">
        <v>3685755300</v>
      </c>
      <c r="C15" s="626">
        <v>2439748330</v>
      </c>
      <c r="D15" s="626">
        <v>5077074400</v>
      </c>
      <c r="E15" s="409">
        <v>8762829700</v>
      </c>
      <c r="F15" s="409">
        <v>7516822730</v>
      </c>
      <c r="G15" s="626">
        <v>47355980.409999996</v>
      </c>
      <c r="H15" s="621">
        <v>2019</v>
      </c>
      <c r="I15" s="404"/>
      <c r="J15" s="404"/>
      <c r="M15" s="410"/>
      <c r="N15" s="410"/>
      <c r="O15" s="410"/>
      <c r="P15" s="410"/>
      <c r="Q15" s="410"/>
      <c r="R15" s="410"/>
      <c r="S15" s="406"/>
      <c r="V15" s="407"/>
      <c r="W15" s="407"/>
      <c r="X15" s="407"/>
      <c r="Y15" s="407"/>
      <c r="Z15" s="407"/>
      <c r="AA15" s="407"/>
      <c r="AB15" s="407"/>
    </row>
    <row r="16" spans="1:28" ht="12" customHeight="1">
      <c r="A16" s="401" t="s">
        <v>63</v>
      </c>
      <c r="B16" s="626">
        <v>383209800</v>
      </c>
      <c r="C16" s="626">
        <v>355770400</v>
      </c>
      <c r="D16" s="626">
        <v>500181900</v>
      </c>
      <c r="E16" s="409">
        <v>883391700</v>
      </c>
      <c r="F16" s="409">
        <v>855952300</v>
      </c>
      <c r="G16" s="626">
        <v>4279761.5</v>
      </c>
      <c r="H16" s="621" t="s">
        <v>858</v>
      </c>
      <c r="I16" s="404"/>
      <c r="J16" s="404"/>
      <c r="M16" s="410"/>
      <c r="N16" s="410"/>
      <c r="O16" s="410"/>
      <c r="P16" s="410"/>
      <c r="Q16" s="410"/>
      <c r="R16" s="410"/>
      <c r="S16" s="406"/>
      <c r="V16" s="407"/>
      <c r="W16" s="407"/>
      <c r="X16" s="407"/>
      <c r="Y16" s="407"/>
      <c r="Z16" s="407"/>
      <c r="AA16" s="407"/>
      <c r="AB16" s="407"/>
    </row>
    <row r="17" spans="1:28" ht="12" customHeight="1">
      <c r="A17" s="401" t="s">
        <v>785</v>
      </c>
      <c r="B17" s="626">
        <v>4174813500</v>
      </c>
      <c r="C17" s="626">
        <v>2977823600</v>
      </c>
      <c r="D17" s="626">
        <v>6078110034</v>
      </c>
      <c r="E17" s="409">
        <v>10252923534</v>
      </c>
      <c r="F17" s="409">
        <v>9055933634</v>
      </c>
      <c r="G17" s="626">
        <v>45279668.170000002</v>
      </c>
      <c r="H17" s="621">
        <v>2019</v>
      </c>
      <c r="I17" s="404"/>
      <c r="J17" s="404"/>
      <c r="P17" s="411"/>
      <c r="Q17" s="411"/>
      <c r="S17" s="406"/>
      <c r="V17" s="407"/>
      <c r="W17" s="407"/>
      <c r="X17" s="407"/>
      <c r="Y17" s="407"/>
      <c r="Z17" s="407"/>
      <c r="AA17" s="407"/>
      <c r="AB17" s="407"/>
    </row>
    <row r="18" spans="1:28" ht="9" customHeight="1">
      <c r="B18" s="469"/>
      <c r="C18" s="469"/>
      <c r="D18" s="469"/>
      <c r="E18" s="409"/>
      <c r="F18" s="409"/>
      <c r="G18" s="469"/>
      <c r="H18" s="463"/>
      <c r="M18" s="410"/>
      <c r="N18" s="410"/>
      <c r="O18" s="410"/>
      <c r="P18" s="410"/>
      <c r="Q18" s="410"/>
      <c r="R18" s="410"/>
      <c r="S18" s="406"/>
      <c r="V18" s="407"/>
      <c r="W18" s="407"/>
      <c r="X18" s="407"/>
      <c r="Y18" s="407"/>
      <c r="Z18" s="407"/>
      <c r="AA18" s="407"/>
      <c r="AB18" s="407"/>
    </row>
    <row r="19" spans="1:28" ht="12" customHeight="1">
      <c r="A19" s="401" t="s">
        <v>66</v>
      </c>
      <c r="B19" s="626">
        <v>349800400</v>
      </c>
      <c r="C19" s="626">
        <v>198324600</v>
      </c>
      <c r="D19" s="626">
        <v>259747700</v>
      </c>
      <c r="E19" s="409">
        <v>609548100</v>
      </c>
      <c r="F19" s="409">
        <v>458072300</v>
      </c>
      <c r="G19" s="626">
        <v>2748433.8</v>
      </c>
      <c r="H19" s="621">
        <v>2019</v>
      </c>
      <c r="I19" s="404"/>
      <c r="J19" s="404"/>
      <c r="M19" s="410"/>
      <c r="N19" s="410"/>
      <c r="O19" s="410"/>
      <c r="P19" s="410"/>
      <c r="Q19" s="410"/>
      <c r="R19" s="410"/>
      <c r="S19" s="406"/>
      <c r="V19" s="407"/>
      <c r="W19" s="407"/>
      <c r="X19" s="407"/>
      <c r="Y19" s="407"/>
      <c r="Z19" s="407"/>
      <c r="AA19" s="407"/>
      <c r="AB19" s="407"/>
    </row>
    <row r="20" spans="1:28" ht="12" customHeight="1">
      <c r="A20" s="401" t="s">
        <v>68</v>
      </c>
      <c r="B20" s="626">
        <v>1285197053</v>
      </c>
      <c r="C20" s="626">
        <v>1284915953</v>
      </c>
      <c r="D20" s="626">
        <v>2483287650</v>
      </c>
      <c r="E20" s="409">
        <v>3768484703</v>
      </c>
      <c r="F20" s="409">
        <v>3768203603</v>
      </c>
      <c r="G20" s="626">
        <v>29768808.463700004</v>
      </c>
      <c r="H20" s="621">
        <v>2019</v>
      </c>
      <c r="I20" s="404"/>
      <c r="J20" s="404"/>
      <c r="M20" s="410"/>
      <c r="N20" s="410"/>
      <c r="O20" s="410"/>
      <c r="P20" s="410"/>
      <c r="Q20" s="410"/>
      <c r="R20" s="410"/>
      <c r="S20" s="406"/>
      <c r="V20" s="407"/>
      <c r="W20" s="407"/>
      <c r="X20" s="407"/>
      <c r="Y20" s="407"/>
      <c r="Z20" s="407"/>
      <c r="AA20" s="407"/>
      <c r="AB20" s="407"/>
    </row>
    <row r="21" spans="1:28" ht="12" customHeight="1">
      <c r="A21" s="401" t="s">
        <v>70</v>
      </c>
      <c r="B21" s="626">
        <v>698530200</v>
      </c>
      <c r="C21" s="626">
        <v>698530200</v>
      </c>
      <c r="D21" s="626">
        <v>605774360</v>
      </c>
      <c r="E21" s="409">
        <v>1304304560</v>
      </c>
      <c r="F21" s="409">
        <v>1304304560</v>
      </c>
      <c r="G21" s="626">
        <v>6912814.1680000005</v>
      </c>
      <c r="H21" s="621">
        <v>2019</v>
      </c>
      <c r="I21" s="404"/>
      <c r="J21" s="404"/>
      <c r="M21" s="410"/>
      <c r="N21" s="410"/>
      <c r="O21" s="410"/>
      <c r="P21" s="410"/>
      <c r="Q21" s="410"/>
      <c r="R21" s="410"/>
      <c r="S21" s="406"/>
      <c r="V21" s="407"/>
      <c r="W21" s="407"/>
      <c r="X21" s="407"/>
      <c r="Y21" s="407"/>
      <c r="Z21" s="407"/>
      <c r="AA21" s="407"/>
      <c r="AB21" s="407"/>
    </row>
    <row r="22" spans="1:28" ht="12" customHeight="1">
      <c r="A22" s="401" t="s">
        <v>72</v>
      </c>
      <c r="B22" s="626">
        <v>653374358</v>
      </c>
      <c r="C22" s="626">
        <v>653374358</v>
      </c>
      <c r="D22" s="626">
        <v>1588791189</v>
      </c>
      <c r="E22" s="409">
        <v>2242165547</v>
      </c>
      <c r="F22" s="409">
        <v>2242165547</v>
      </c>
      <c r="G22" s="626">
        <v>8744446.1799999997</v>
      </c>
      <c r="H22" s="621">
        <v>2019</v>
      </c>
      <c r="I22" s="404"/>
      <c r="J22" s="404"/>
      <c r="M22" s="410"/>
      <c r="N22" s="410"/>
      <c r="O22" s="410"/>
      <c r="P22" s="410"/>
      <c r="Q22" s="410"/>
      <c r="R22" s="410"/>
      <c r="S22" s="406"/>
      <c r="V22" s="407"/>
      <c r="W22" s="407"/>
      <c r="X22" s="407"/>
      <c r="Y22" s="407"/>
      <c r="Z22" s="407"/>
      <c r="AA22" s="407"/>
      <c r="AB22" s="407"/>
    </row>
    <row r="23" spans="1:28" ht="12" customHeight="1">
      <c r="A23" s="401" t="s">
        <v>74</v>
      </c>
      <c r="B23" s="626">
        <v>758915000</v>
      </c>
      <c r="C23" s="626">
        <v>758915000</v>
      </c>
      <c r="D23" s="626">
        <v>678007800</v>
      </c>
      <c r="E23" s="409">
        <v>1436922800</v>
      </c>
      <c r="F23" s="409">
        <v>1436922800</v>
      </c>
      <c r="G23" s="626">
        <v>7903075.4000000004</v>
      </c>
      <c r="H23" s="621">
        <v>2019</v>
      </c>
      <c r="I23" s="404"/>
      <c r="J23" s="404"/>
      <c r="M23" s="410"/>
      <c r="N23" s="410"/>
      <c r="O23" s="410"/>
      <c r="P23" s="410"/>
      <c r="Q23" s="410"/>
      <c r="R23" s="410"/>
      <c r="S23" s="406"/>
      <c r="V23" s="407"/>
      <c r="W23" s="407"/>
      <c r="X23" s="407"/>
      <c r="Y23" s="407"/>
      <c r="Z23" s="407"/>
      <c r="AA23" s="407"/>
      <c r="AB23" s="407"/>
    </row>
    <row r="24" spans="1:28" ht="9" customHeight="1">
      <c r="B24" s="626"/>
      <c r="C24" s="626"/>
      <c r="D24" s="626"/>
      <c r="E24" s="409"/>
      <c r="F24" s="409"/>
      <c r="G24" s="626"/>
      <c r="H24" s="621"/>
      <c r="M24" s="410"/>
      <c r="N24" s="410"/>
      <c r="O24" s="410"/>
      <c r="P24" s="410"/>
      <c r="Q24" s="410"/>
      <c r="R24" s="410"/>
      <c r="S24" s="406"/>
      <c r="V24" s="407"/>
      <c r="W24" s="407"/>
      <c r="X24" s="407"/>
      <c r="Y24" s="407"/>
      <c r="Z24" s="407"/>
      <c r="AA24" s="407"/>
      <c r="AB24" s="407"/>
    </row>
    <row r="25" spans="1:28" ht="12.65" customHeight="1">
      <c r="A25" s="401" t="s">
        <v>76</v>
      </c>
      <c r="B25" s="626">
        <v>1371123957</v>
      </c>
      <c r="C25" s="626">
        <v>1100605972</v>
      </c>
      <c r="D25" s="626">
        <v>3017243500</v>
      </c>
      <c r="E25" s="409">
        <v>4388367457</v>
      </c>
      <c r="F25" s="409">
        <v>4117849472</v>
      </c>
      <c r="G25" s="626">
        <v>21412817.2544</v>
      </c>
      <c r="H25" s="621">
        <v>2019</v>
      </c>
      <c r="I25" s="404"/>
      <c r="J25" s="404"/>
      <c r="O25" s="410"/>
      <c r="P25" s="410"/>
      <c r="Q25" s="410"/>
      <c r="R25" s="410"/>
      <c r="S25" s="406"/>
      <c r="V25" s="407"/>
      <c r="W25" s="407"/>
      <c r="X25" s="407"/>
      <c r="Y25" s="407"/>
      <c r="Z25" s="407"/>
      <c r="AA25" s="407"/>
      <c r="AB25" s="407"/>
    </row>
    <row r="26" spans="1:28" ht="12" customHeight="1">
      <c r="A26" s="401" t="s">
        <v>78</v>
      </c>
      <c r="B26" s="626">
        <v>1167337812</v>
      </c>
      <c r="C26" s="626">
        <v>991858769</v>
      </c>
      <c r="D26" s="626">
        <v>1688570400</v>
      </c>
      <c r="E26" s="409">
        <v>2855908212</v>
      </c>
      <c r="F26" s="409">
        <v>2680429169</v>
      </c>
      <c r="G26" s="626">
        <v>22247562.102699999</v>
      </c>
      <c r="H26" s="621">
        <v>2019</v>
      </c>
      <c r="I26" s="404"/>
      <c r="J26" s="404"/>
      <c r="M26" s="410"/>
      <c r="N26" s="410"/>
      <c r="O26" s="410"/>
      <c r="P26" s="410"/>
      <c r="Q26" s="410"/>
      <c r="R26" s="410"/>
      <c r="S26" s="406"/>
      <c r="V26" s="407"/>
      <c r="W26" s="407"/>
      <c r="X26" s="407"/>
      <c r="Y26" s="407"/>
      <c r="Z26" s="407"/>
      <c r="AA26" s="407"/>
      <c r="AB26" s="407"/>
    </row>
    <row r="27" spans="1:28" ht="12" customHeight="1">
      <c r="A27" s="401" t="s">
        <v>80</v>
      </c>
      <c r="B27" s="626">
        <v>1016744300</v>
      </c>
      <c r="C27" s="626">
        <v>828465111</v>
      </c>
      <c r="D27" s="626">
        <v>1333182500</v>
      </c>
      <c r="E27" s="409">
        <v>2349926800</v>
      </c>
      <c r="F27" s="409">
        <v>2161647611</v>
      </c>
      <c r="G27" s="626">
        <v>15023450.896449998</v>
      </c>
      <c r="H27" s="621">
        <v>2019</v>
      </c>
      <c r="I27" s="404"/>
      <c r="J27" s="404"/>
      <c r="M27" s="410"/>
      <c r="N27" s="410"/>
      <c r="O27" s="410"/>
      <c r="P27" s="410"/>
      <c r="Q27" s="410"/>
      <c r="R27" s="410"/>
      <c r="S27" s="406"/>
      <c r="V27" s="407"/>
      <c r="W27" s="407"/>
      <c r="X27" s="407"/>
      <c r="Y27" s="407"/>
      <c r="Z27" s="407"/>
      <c r="AA27" s="407"/>
      <c r="AB27" s="407"/>
    </row>
    <row r="28" spans="1:28" ht="12" customHeight="1">
      <c r="A28" s="401" t="s">
        <v>82</v>
      </c>
      <c r="B28" s="626">
        <v>420441310</v>
      </c>
      <c r="C28" s="626">
        <v>420441310</v>
      </c>
      <c r="D28" s="626">
        <v>432815370</v>
      </c>
      <c r="E28" s="409">
        <v>853256680</v>
      </c>
      <c r="F28" s="409">
        <v>853256680</v>
      </c>
      <c r="G28" s="626">
        <v>6484750.7680000011</v>
      </c>
      <c r="H28" s="621" t="s">
        <v>858</v>
      </c>
      <c r="I28" s="404"/>
      <c r="J28" s="404"/>
      <c r="P28" s="411"/>
      <c r="Q28" s="411"/>
      <c r="S28" s="406"/>
      <c r="V28" s="407"/>
      <c r="W28" s="407"/>
      <c r="X28" s="407"/>
      <c r="Y28" s="407"/>
      <c r="Z28" s="407"/>
      <c r="AA28" s="407"/>
      <c r="AB28" s="407"/>
    </row>
    <row r="29" spans="1:28" ht="12" customHeight="1">
      <c r="A29" s="401" t="s">
        <v>84</v>
      </c>
      <c r="B29" s="626">
        <v>525096421</v>
      </c>
      <c r="C29" s="626">
        <v>525096421</v>
      </c>
      <c r="D29" s="626">
        <v>484863402</v>
      </c>
      <c r="E29" s="409">
        <v>1009959823</v>
      </c>
      <c r="F29" s="409">
        <v>1009959823</v>
      </c>
      <c r="G29" s="626">
        <v>6261750.9026000006</v>
      </c>
      <c r="H29" s="621" t="s">
        <v>858</v>
      </c>
      <c r="I29" s="404"/>
      <c r="J29" s="404"/>
      <c r="M29" s="410"/>
      <c r="N29" s="410"/>
      <c r="O29" s="410"/>
      <c r="P29" s="410"/>
      <c r="Q29" s="410"/>
      <c r="R29" s="410"/>
      <c r="S29" s="406"/>
      <c r="V29" s="407"/>
      <c r="W29" s="407"/>
      <c r="X29" s="407"/>
      <c r="Y29" s="407"/>
      <c r="Z29" s="407"/>
      <c r="AA29" s="407"/>
      <c r="AB29" s="407"/>
    </row>
    <row r="30" spans="1:28" ht="9" customHeight="1">
      <c r="B30" s="626"/>
      <c r="C30" s="626"/>
      <c r="D30" s="626"/>
      <c r="E30" s="409"/>
      <c r="F30" s="409"/>
      <c r="G30" s="626"/>
      <c r="H30" s="621"/>
      <c r="M30" s="410"/>
      <c r="N30" s="410"/>
      <c r="O30" s="410"/>
      <c r="P30" s="410"/>
      <c r="Q30" s="410"/>
      <c r="R30" s="410"/>
      <c r="S30" s="406"/>
      <c r="V30" s="407"/>
      <c r="W30" s="407"/>
      <c r="X30" s="407"/>
      <c r="Y30" s="407"/>
      <c r="Z30" s="407"/>
      <c r="AA30" s="407"/>
      <c r="AB30" s="407"/>
    </row>
    <row r="31" spans="1:28" ht="12" customHeight="1">
      <c r="A31" s="401" t="s">
        <v>86</v>
      </c>
      <c r="B31" s="626">
        <v>10064289900</v>
      </c>
      <c r="C31" s="626">
        <v>9890725291</v>
      </c>
      <c r="D31" s="626">
        <v>28999590300</v>
      </c>
      <c r="E31" s="409">
        <v>39063880200</v>
      </c>
      <c r="F31" s="409">
        <v>38890315591</v>
      </c>
      <c r="G31" s="627">
        <v>369457998.11449999</v>
      </c>
      <c r="H31" s="621">
        <v>2019</v>
      </c>
      <c r="I31" s="404"/>
      <c r="J31" s="404"/>
      <c r="M31" s="410"/>
      <c r="N31" s="410"/>
      <c r="O31" s="410"/>
      <c r="P31" s="410"/>
      <c r="Q31" s="410"/>
      <c r="R31" s="410"/>
      <c r="S31" s="406"/>
      <c r="V31" s="407"/>
      <c r="W31" s="407"/>
      <c r="X31" s="407"/>
      <c r="Y31" s="407"/>
      <c r="Z31" s="407"/>
      <c r="AA31" s="407"/>
      <c r="AB31" s="407"/>
    </row>
    <row r="32" spans="1:28" ht="12" customHeight="1">
      <c r="A32" s="401" t="s">
        <v>88</v>
      </c>
      <c r="B32" s="626">
        <v>1081906900</v>
      </c>
      <c r="C32" s="626">
        <v>758630039</v>
      </c>
      <c r="D32" s="626">
        <v>1325056500</v>
      </c>
      <c r="E32" s="409">
        <v>2406963400</v>
      </c>
      <c r="F32" s="409">
        <v>2083686539</v>
      </c>
      <c r="G32" s="626">
        <v>14794174.426899999</v>
      </c>
      <c r="H32" s="621">
        <v>2019</v>
      </c>
      <c r="I32" s="404"/>
      <c r="J32" s="404"/>
      <c r="M32" s="410"/>
      <c r="N32" s="410"/>
      <c r="O32" s="410"/>
      <c r="P32" s="410"/>
      <c r="Q32" s="410"/>
      <c r="R32" s="410"/>
      <c r="S32" s="406"/>
      <c r="V32" s="407"/>
      <c r="W32" s="407"/>
      <c r="X32" s="407"/>
      <c r="Y32" s="407"/>
      <c r="Z32" s="407"/>
      <c r="AA32" s="407"/>
      <c r="AB32" s="407"/>
    </row>
    <row r="33" spans="1:28" ht="12" customHeight="1">
      <c r="A33" s="401" t="s">
        <v>90</v>
      </c>
      <c r="B33" s="626">
        <v>229725800</v>
      </c>
      <c r="C33" s="626">
        <v>229725800</v>
      </c>
      <c r="D33" s="626">
        <v>285404400</v>
      </c>
      <c r="E33" s="409">
        <v>515130200</v>
      </c>
      <c r="F33" s="409">
        <v>515130200</v>
      </c>
      <c r="G33" s="626">
        <v>3039268.1799999997</v>
      </c>
      <c r="H33" s="621">
        <v>2019</v>
      </c>
      <c r="I33" s="404"/>
      <c r="J33" s="404"/>
      <c r="M33" s="410"/>
      <c r="N33" s="410"/>
      <c r="O33" s="410"/>
      <c r="P33" s="410"/>
      <c r="Q33" s="410"/>
      <c r="R33" s="410"/>
      <c r="S33" s="406"/>
      <c r="V33" s="407"/>
      <c r="W33" s="407"/>
      <c r="X33" s="407"/>
      <c r="Y33" s="407"/>
      <c r="Z33" s="407"/>
      <c r="AA33" s="407"/>
      <c r="AB33" s="407"/>
    </row>
    <row r="34" spans="1:28">
      <c r="A34" s="401" t="s">
        <v>92</v>
      </c>
      <c r="B34" s="626">
        <v>2334418118</v>
      </c>
      <c r="C34" s="626">
        <v>1835875218</v>
      </c>
      <c r="D34" s="626">
        <v>3785165300</v>
      </c>
      <c r="E34" s="409">
        <v>6119583418</v>
      </c>
      <c r="F34" s="409">
        <v>5621040518</v>
      </c>
      <c r="G34" s="626">
        <v>34850451.211599998</v>
      </c>
      <c r="H34" s="621">
        <v>2019</v>
      </c>
      <c r="I34" s="404"/>
      <c r="J34" s="404"/>
      <c r="M34" s="410"/>
      <c r="N34" s="410"/>
      <c r="O34" s="410"/>
      <c r="P34" s="410"/>
      <c r="Q34" s="410"/>
      <c r="R34" s="410"/>
      <c r="S34" s="406"/>
      <c r="V34" s="407"/>
      <c r="W34" s="407"/>
      <c r="X34" s="407"/>
      <c r="Y34" s="407"/>
      <c r="Z34" s="407"/>
      <c r="AA34" s="407"/>
      <c r="AB34" s="407"/>
    </row>
    <row r="35" spans="1:28" ht="12" customHeight="1">
      <c r="A35" s="401" t="s">
        <v>94</v>
      </c>
      <c r="B35" s="626">
        <v>411782935</v>
      </c>
      <c r="C35" s="626">
        <v>323566939</v>
      </c>
      <c r="D35" s="626">
        <v>451654000</v>
      </c>
      <c r="E35" s="409">
        <v>863436935</v>
      </c>
      <c r="F35" s="409">
        <v>775220939</v>
      </c>
      <c r="G35" s="626">
        <v>6046723.3241999997</v>
      </c>
      <c r="H35" s="621">
        <v>2019</v>
      </c>
      <c r="I35" s="404"/>
      <c r="J35" s="404"/>
      <c r="M35" s="410"/>
      <c r="N35" s="410"/>
      <c r="O35" s="410"/>
      <c r="P35" s="410"/>
      <c r="Q35" s="410"/>
      <c r="R35" s="410"/>
      <c r="S35" s="406"/>
      <c r="V35" s="407"/>
      <c r="W35" s="407"/>
      <c r="X35" s="407"/>
      <c r="Y35" s="407"/>
      <c r="Z35" s="407"/>
      <c r="AA35" s="407"/>
      <c r="AB35" s="407"/>
    </row>
    <row r="36" spans="1:28" ht="9" customHeight="1">
      <c r="B36" s="626"/>
      <c r="C36" s="626"/>
      <c r="D36" s="626"/>
      <c r="E36" s="409"/>
      <c r="F36" s="409"/>
      <c r="G36" s="626"/>
      <c r="H36" s="621"/>
      <c r="M36" s="410"/>
      <c r="N36" s="410"/>
      <c r="O36" s="410"/>
      <c r="P36" s="410"/>
      <c r="Q36" s="410"/>
      <c r="R36" s="410"/>
      <c r="S36" s="406"/>
      <c r="V36" s="407"/>
      <c r="W36" s="407"/>
      <c r="X36" s="407"/>
      <c r="Y36" s="407"/>
      <c r="Z36" s="407"/>
      <c r="AA36" s="407"/>
      <c r="AB36" s="407"/>
    </row>
    <row r="37" spans="1:28" ht="12" customHeight="1">
      <c r="A37" s="401" t="s">
        <v>96</v>
      </c>
      <c r="B37" s="626">
        <v>393914600</v>
      </c>
      <c r="C37" s="626">
        <v>393914600</v>
      </c>
      <c r="D37" s="626">
        <v>898812600</v>
      </c>
      <c r="E37" s="409">
        <v>1292727200</v>
      </c>
      <c r="F37" s="409">
        <v>1292727200</v>
      </c>
      <c r="G37" s="626">
        <v>7756363.1999999993</v>
      </c>
      <c r="H37" s="621">
        <v>2019</v>
      </c>
      <c r="I37" s="404"/>
      <c r="J37" s="404"/>
      <c r="M37" s="410"/>
      <c r="N37" s="410"/>
      <c r="O37" s="410"/>
      <c r="P37" s="410"/>
      <c r="Q37" s="410"/>
      <c r="R37" s="410"/>
      <c r="S37" s="406"/>
      <c r="V37" s="407"/>
      <c r="W37" s="407"/>
      <c r="X37" s="407"/>
      <c r="Y37" s="407"/>
      <c r="Z37" s="407"/>
      <c r="AA37" s="407"/>
      <c r="AB37" s="407"/>
    </row>
    <row r="38" spans="1:28" ht="12" customHeight="1">
      <c r="A38" s="401" t="s">
        <v>98</v>
      </c>
      <c r="B38" s="626">
        <v>1043356913</v>
      </c>
      <c r="C38" s="626">
        <v>727713763</v>
      </c>
      <c r="D38" s="626">
        <v>1720031700</v>
      </c>
      <c r="E38" s="409">
        <v>2763388613</v>
      </c>
      <c r="F38" s="409">
        <v>2447745463</v>
      </c>
      <c r="G38" s="626">
        <v>19337189.157699998</v>
      </c>
      <c r="H38" s="621">
        <v>2019</v>
      </c>
      <c r="I38" s="404"/>
      <c r="J38" s="404"/>
      <c r="M38" s="410"/>
      <c r="N38" s="410"/>
      <c r="O38" s="410"/>
      <c r="P38" s="410"/>
      <c r="Q38" s="410"/>
      <c r="R38" s="410"/>
      <c r="S38" s="406"/>
      <c r="V38" s="407"/>
      <c r="W38" s="407"/>
      <c r="X38" s="407"/>
      <c r="Y38" s="407"/>
      <c r="Z38" s="407"/>
      <c r="AA38" s="407"/>
      <c r="AB38" s="407"/>
    </row>
    <row r="39" spans="1:28" ht="12" customHeight="1">
      <c r="A39" s="401" t="s">
        <v>100</v>
      </c>
      <c r="B39" s="626">
        <v>711880900</v>
      </c>
      <c r="C39" s="626">
        <v>621217419</v>
      </c>
      <c r="D39" s="626">
        <v>679111100</v>
      </c>
      <c r="E39" s="409">
        <v>1390992000</v>
      </c>
      <c r="F39" s="409">
        <v>1300328519</v>
      </c>
      <c r="G39" s="626">
        <v>11442890.9672</v>
      </c>
      <c r="H39" s="621">
        <v>2019</v>
      </c>
      <c r="I39" s="404"/>
      <c r="J39" s="404"/>
      <c r="P39" s="411"/>
      <c r="Q39" s="411"/>
      <c r="S39" s="406"/>
      <c r="V39" s="407"/>
      <c r="W39" s="407"/>
      <c r="X39" s="407"/>
      <c r="Y39" s="407"/>
      <c r="Z39" s="407"/>
      <c r="AA39" s="407"/>
      <c r="AB39" s="407"/>
    </row>
    <row r="40" spans="1:28" ht="11.25" customHeight="1">
      <c r="A40" s="401" t="s">
        <v>407</v>
      </c>
      <c r="B40" s="626">
        <v>89982549903</v>
      </c>
      <c r="C40" s="626">
        <v>89821836470</v>
      </c>
      <c r="D40" s="626">
        <v>165370118480</v>
      </c>
      <c r="E40" s="409">
        <v>255352668383</v>
      </c>
      <c r="F40" s="409">
        <v>255191954950</v>
      </c>
      <c r="G40" s="626">
        <v>2934707481.9249997</v>
      </c>
      <c r="H40" s="723" t="s">
        <v>912</v>
      </c>
      <c r="I40" s="404"/>
      <c r="J40" s="404"/>
      <c r="M40" s="410"/>
      <c r="N40" s="410"/>
      <c r="O40" s="410"/>
      <c r="P40" s="410"/>
      <c r="Q40" s="410"/>
      <c r="R40" s="410"/>
      <c r="S40" s="406"/>
      <c r="V40" s="407"/>
      <c r="W40" s="407"/>
      <c r="X40" s="407"/>
      <c r="Y40" s="407"/>
      <c r="Z40" s="407"/>
      <c r="AA40" s="407"/>
      <c r="AB40" s="407"/>
    </row>
    <row r="41" spans="1:28" ht="12" customHeight="1">
      <c r="A41" s="401" t="s">
        <v>104</v>
      </c>
      <c r="B41" s="626">
        <v>6091558000</v>
      </c>
      <c r="C41" s="626">
        <v>4710596200</v>
      </c>
      <c r="D41" s="626">
        <v>7334427500</v>
      </c>
      <c r="E41" s="409">
        <v>13425985500</v>
      </c>
      <c r="F41" s="409">
        <v>12045023700</v>
      </c>
      <c r="G41" s="626">
        <v>119727535.57799999</v>
      </c>
      <c r="H41" s="621">
        <v>2019</v>
      </c>
      <c r="I41" s="404"/>
      <c r="J41" s="404"/>
      <c r="M41" s="410"/>
      <c r="N41" s="410"/>
      <c r="O41" s="410"/>
      <c r="P41" s="410"/>
      <c r="Q41" s="410"/>
      <c r="R41" s="410"/>
      <c r="S41" s="406"/>
      <c r="V41" s="407"/>
      <c r="W41" s="407"/>
      <c r="X41" s="407"/>
      <c r="Y41" s="407"/>
      <c r="Z41" s="407"/>
      <c r="AA41" s="407"/>
      <c r="AB41" s="407"/>
    </row>
    <row r="42" spans="1:28" ht="14">
      <c r="A42" s="400" t="s">
        <v>786</v>
      </c>
      <c r="M42" s="410"/>
      <c r="N42" s="410"/>
      <c r="O42" s="410"/>
      <c r="P42" s="410"/>
      <c r="Q42" s="410"/>
      <c r="R42" s="410"/>
      <c r="S42" s="406"/>
      <c r="V42" s="407"/>
      <c r="W42" s="407"/>
      <c r="X42" s="407"/>
      <c r="Y42" s="407"/>
      <c r="Z42" s="407"/>
      <c r="AA42" s="407"/>
      <c r="AB42" s="407"/>
    </row>
    <row r="43" spans="1:28" ht="13">
      <c r="A43" s="1655" t="str">
        <f>A2</f>
        <v>Real Estate Fair Market Value (FMV), Fair Market Value (Taxable), and Local Levy by Locality - Tax Year 2019</v>
      </c>
      <c r="B43" s="1655"/>
      <c r="C43" s="1655"/>
      <c r="D43" s="1655"/>
      <c r="E43" s="1655"/>
      <c r="F43" s="1655"/>
      <c r="G43" s="1655"/>
      <c r="H43" s="1655"/>
      <c r="M43" s="410"/>
      <c r="N43" s="410"/>
      <c r="O43" s="410"/>
      <c r="P43" s="410"/>
      <c r="Q43" s="410"/>
      <c r="R43" s="410"/>
      <c r="S43" s="406"/>
      <c r="V43" s="407"/>
      <c r="W43" s="407"/>
      <c r="X43" s="407"/>
      <c r="Y43" s="407"/>
      <c r="Z43" s="407"/>
      <c r="AA43" s="407"/>
      <c r="AB43" s="407"/>
    </row>
    <row r="44" spans="1:28" ht="12" thickBot="1">
      <c r="A44" s="416"/>
      <c r="B44" s="416"/>
      <c r="C44" s="416"/>
      <c r="D44" s="416"/>
      <c r="E44" s="416"/>
      <c r="F44" s="416"/>
      <c r="G44" s="416"/>
      <c r="H44" s="416"/>
      <c r="M44" s="410"/>
      <c r="N44" s="410"/>
      <c r="O44" s="410"/>
      <c r="P44" s="410"/>
      <c r="Q44" s="410"/>
      <c r="R44" s="410"/>
      <c r="S44" s="406"/>
      <c r="V44" s="407"/>
      <c r="W44" s="407"/>
      <c r="X44" s="407"/>
      <c r="Y44" s="407"/>
      <c r="Z44" s="407"/>
      <c r="AA44" s="407"/>
      <c r="AB44" s="407"/>
    </row>
    <row r="45" spans="1:28">
      <c r="M45" s="410"/>
      <c r="N45" s="410"/>
      <c r="O45" s="410"/>
      <c r="P45" s="410"/>
      <c r="Q45" s="410"/>
      <c r="R45" s="410"/>
      <c r="S45" s="406"/>
      <c r="V45" s="407"/>
      <c r="W45" s="407"/>
      <c r="X45" s="407"/>
      <c r="Y45" s="407"/>
      <c r="Z45" s="407"/>
      <c r="AA45" s="407"/>
      <c r="AB45" s="407"/>
    </row>
    <row r="46" spans="1:28">
      <c r="A46" s="421" t="s">
        <v>18</v>
      </c>
      <c r="B46" s="421" t="s">
        <v>778</v>
      </c>
      <c r="C46" s="421" t="s">
        <v>779</v>
      </c>
      <c r="D46" s="421" t="s">
        <v>780</v>
      </c>
      <c r="E46" s="421" t="s">
        <v>781</v>
      </c>
      <c r="F46" s="421" t="s">
        <v>782</v>
      </c>
      <c r="G46" s="421" t="s">
        <v>783</v>
      </c>
      <c r="H46" s="421" t="s">
        <v>784</v>
      </c>
      <c r="M46" s="410"/>
      <c r="N46" s="410"/>
      <c r="O46" s="410"/>
      <c r="P46" s="410"/>
      <c r="Q46" s="410"/>
      <c r="R46" s="410"/>
      <c r="S46" s="406"/>
      <c r="V46" s="407"/>
      <c r="W46" s="407"/>
      <c r="X46" s="407"/>
      <c r="Y46" s="407"/>
      <c r="Z46" s="407"/>
      <c r="AA46" s="407"/>
      <c r="AB46" s="407"/>
    </row>
    <row r="47" spans="1:28" ht="8.25" customHeight="1">
      <c r="B47" s="408"/>
      <c r="C47" s="408"/>
      <c r="D47" s="408"/>
      <c r="E47" s="412"/>
      <c r="F47" s="412"/>
      <c r="G47" s="408"/>
      <c r="M47" s="410"/>
      <c r="N47" s="410"/>
      <c r="O47" s="410"/>
      <c r="P47" s="410"/>
      <c r="Q47" s="410"/>
      <c r="R47" s="410"/>
      <c r="S47" s="406"/>
      <c r="V47" s="407"/>
      <c r="W47" s="407"/>
      <c r="X47" s="407"/>
      <c r="Y47" s="407"/>
      <c r="Z47" s="407"/>
      <c r="AA47" s="407"/>
      <c r="AB47" s="407"/>
    </row>
    <row r="48" spans="1:28" ht="12" customHeight="1">
      <c r="A48" s="401" t="s">
        <v>106</v>
      </c>
      <c r="B48" s="625">
        <v>898471000</v>
      </c>
      <c r="C48" s="625">
        <v>707822000</v>
      </c>
      <c r="D48" s="625">
        <v>892933700</v>
      </c>
      <c r="E48" s="403">
        <v>1791404700</v>
      </c>
      <c r="F48" s="403">
        <v>1600755700</v>
      </c>
      <c r="G48" s="625">
        <v>9604534.1999999993</v>
      </c>
      <c r="H48" s="621">
        <v>2019</v>
      </c>
      <c r="I48" s="404"/>
      <c r="J48" s="404"/>
      <c r="M48" s="410"/>
      <c r="N48" s="410"/>
      <c r="O48" s="410"/>
      <c r="P48" s="410"/>
      <c r="Q48" s="410"/>
      <c r="R48" s="410"/>
      <c r="S48" s="406"/>
      <c r="V48" s="407"/>
      <c r="W48" s="407"/>
      <c r="X48" s="407"/>
      <c r="Y48" s="407"/>
      <c r="Z48" s="407"/>
      <c r="AA48" s="407"/>
      <c r="AB48" s="407"/>
    </row>
    <row r="49" spans="1:28" ht="12" customHeight="1">
      <c r="A49" s="401" t="s">
        <v>108</v>
      </c>
      <c r="B49" s="626">
        <v>1040922402</v>
      </c>
      <c r="C49" s="626">
        <v>739667302</v>
      </c>
      <c r="D49" s="626">
        <v>1928958100</v>
      </c>
      <c r="E49" s="409">
        <v>2969880502</v>
      </c>
      <c r="F49" s="409">
        <v>2668625402</v>
      </c>
      <c r="G49" s="626">
        <v>24684784.968499999</v>
      </c>
      <c r="H49" s="621">
        <v>2019</v>
      </c>
      <c r="I49" s="404"/>
      <c r="J49" s="404"/>
      <c r="M49" s="410"/>
      <c r="N49" s="410"/>
      <c r="O49" s="410"/>
      <c r="P49" s="410"/>
      <c r="Q49" s="410"/>
      <c r="R49" s="410"/>
      <c r="S49" s="406"/>
      <c r="V49" s="407"/>
      <c r="W49" s="407"/>
      <c r="X49" s="407"/>
      <c r="Y49" s="407"/>
      <c r="Z49" s="407"/>
      <c r="AA49" s="407"/>
      <c r="AB49" s="407"/>
    </row>
    <row r="50" spans="1:28" ht="12" customHeight="1">
      <c r="A50" s="401" t="s">
        <v>21</v>
      </c>
      <c r="B50" s="626">
        <v>3061519000</v>
      </c>
      <c r="C50" s="626">
        <v>2628338016</v>
      </c>
      <c r="D50" s="626">
        <v>4091206800</v>
      </c>
      <c r="E50" s="409">
        <v>7152725800</v>
      </c>
      <c r="F50" s="409">
        <v>6719544816</v>
      </c>
      <c r="G50" s="626">
        <v>40989223.377599999</v>
      </c>
      <c r="H50" s="621">
        <v>2019</v>
      </c>
      <c r="I50" s="404"/>
      <c r="J50" s="404"/>
      <c r="M50" s="410"/>
      <c r="N50" s="410"/>
      <c r="O50" s="410"/>
      <c r="P50" s="410"/>
      <c r="Q50" s="410"/>
      <c r="R50" s="410"/>
      <c r="S50" s="406"/>
      <c r="V50" s="407"/>
      <c r="W50" s="407"/>
      <c r="X50" s="407"/>
      <c r="Y50" s="407"/>
      <c r="Z50" s="407"/>
      <c r="AA50" s="407"/>
      <c r="AB50" s="407"/>
    </row>
    <row r="51" spans="1:28" ht="12" customHeight="1">
      <c r="A51" s="401" t="s">
        <v>111</v>
      </c>
      <c r="B51" s="626">
        <v>3842066700</v>
      </c>
      <c r="C51" s="626">
        <v>3336247300</v>
      </c>
      <c r="D51" s="626">
        <v>7112106475</v>
      </c>
      <c r="E51" s="409">
        <v>10954173175</v>
      </c>
      <c r="F51" s="409">
        <v>10448353775</v>
      </c>
      <c r="G51" s="627">
        <v>63734958.027499996</v>
      </c>
      <c r="H51" s="621">
        <v>2019</v>
      </c>
      <c r="I51" s="404"/>
      <c r="J51" s="404"/>
      <c r="M51" s="410"/>
      <c r="N51" s="410"/>
      <c r="O51" s="410"/>
      <c r="P51" s="410"/>
      <c r="Q51" s="410"/>
      <c r="R51" s="410"/>
      <c r="S51" s="406"/>
      <c r="V51" s="407"/>
      <c r="W51" s="407"/>
      <c r="X51" s="407"/>
      <c r="Y51" s="407"/>
      <c r="Z51" s="407"/>
      <c r="AA51" s="407"/>
      <c r="AB51" s="407"/>
    </row>
    <row r="52" spans="1:28" ht="12" customHeight="1">
      <c r="A52" s="401" t="s">
        <v>113</v>
      </c>
      <c r="B52" s="626">
        <v>453321700</v>
      </c>
      <c r="C52" s="626">
        <v>319226000</v>
      </c>
      <c r="D52" s="626">
        <v>755482000</v>
      </c>
      <c r="E52" s="409">
        <v>1208803700</v>
      </c>
      <c r="F52" s="409">
        <v>1074708000</v>
      </c>
      <c r="G52" s="626">
        <v>7200543.6000000006</v>
      </c>
      <c r="H52" s="621">
        <v>2019</v>
      </c>
      <c r="I52" s="404"/>
      <c r="J52" s="404"/>
      <c r="M52" s="410"/>
      <c r="N52" s="410"/>
      <c r="O52" s="410"/>
      <c r="P52" s="410"/>
      <c r="Q52" s="410"/>
      <c r="R52" s="410"/>
      <c r="S52" s="406"/>
      <c r="V52" s="407"/>
      <c r="W52" s="407"/>
      <c r="X52" s="407"/>
      <c r="Y52" s="407"/>
      <c r="Z52" s="407"/>
      <c r="AA52" s="407"/>
      <c r="AB52" s="407"/>
    </row>
    <row r="53" spans="1:28" ht="9" customHeight="1">
      <c r="B53" s="626"/>
      <c r="C53" s="626"/>
      <c r="D53" s="626"/>
      <c r="E53" s="409"/>
      <c r="F53" s="409"/>
      <c r="G53" s="626"/>
      <c r="H53" s="621"/>
      <c r="M53" s="410"/>
      <c r="N53" s="410"/>
      <c r="O53" s="410"/>
      <c r="P53" s="410"/>
      <c r="Q53" s="410"/>
      <c r="R53" s="410"/>
      <c r="S53" s="406"/>
      <c r="V53" s="407"/>
      <c r="W53" s="407"/>
      <c r="X53" s="407"/>
      <c r="Y53" s="407"/>
      <c r="Z53" s="407"/>
      <c r="AA53" s="407"/>
      <c r="AB53" s="407"/>
    </row>
    <row r="54" spans="1:28" ht="12" customHeight="1">
      <c r="A54" s="401" t="s">
        <v>48</v>
      </c>
      <c r="B54" s="626">
        <v>1784288284</v>
      </c>
      <c r="C54" s="626">
        <v>1687328084</v>
      </c>
      <c r="D54" s="626">
        <v>2704479402</v>
      </c>
      <c r="E54" s="409">
        <v>4488767686</v>
      </c>
      <c r="F54" s="409">
        <v>4391807486</v>
      </c>
      <c r="G54" s="626">
        <v>30523062.027699996</v>
      </c>
      <c r="H54" s="621">
        <v>2019</v>
      </c>
      <c r="I54" s="404"/>
      <c r="J54" s="404"/>
      <c r="M54" s="410"/>
      <c r="N54" s="410"/>
      <c r="O54" s="410"/>
      <c r="P54" s="410"/>
      <c r="Q54" s="410"/>
      <c r="R54" s="410"/>
      <c r="S54" s="406"/>
      <c r="V54" s="407"/>
      <c r="W54" s="407"/>
      <c r="X54" s="407"/>
      <c r="Y54" s="407"/>
      <c r="Z54" s="407"/>
      <c r="AA54" s="407"/>
      <c r="AB54" s="407"/>
    </row>
    <row r="55" spans="1:28" ht="12" customHeight="1">
      <c r="A55" s="401" t="s">
        <v>50</v>
      </c>
      <c r="B55" s="626">
        <v>2631210300</v>
      </c>
      <c r="C55" s="626">
        <v>2045806300</v>
      </c>
      <c r="D55" s="626">
        <v>3275434400</v>
      </c>
      <c r="E55" s="409">
        <v>5906644700</v>
      </c>
      <c r="F55" s="409">
        <v>5321240700</v>
      </c>
      <c r="G55" s="626">
        <v>28202575.710000001</v>
      </c>
      <c r="H55" s="621">
        <v>2019</v>
      </c>
      <c r="I55" s="404"/>
      <c r="J55" s="404"/>
      <c r="L55" s="1657"/>
      <c r="M55" s="1657"/>
      <c r="N55" s="1657"/>
      <c r="O55" s="1657"/>
      <c r="P55" s="1657"/>
      <c r="Q55" s="1657"/>
      <c r="R55" s="1657"/>
      <c r="S55" s="1657"/>
      <c r="V55" s="407"/>
      <c r="W55" s="407"/>
      <c r="X55" s="407"/>
      <c r="Y55" s="407"/>
      <c r="Z55" s="407"/>
      <c r="AA55" s="407"/>
      <c r="AB55" s="407"/>
    </row>
    <row r="56" spans="1:28" ht="12" customHeight="1">
      <c r="A56" s="401" t="s">
        <v>52</v>
      </c>
      <c r="B56" s="626">
        <v>1044343700</v>
      </c>
      <c r="C56" s="626">
        <v>1044343700</v>
      </c>
      <c r="D56" s="626">
        <v>623790200</v>
      </c>
      <c r="E56" s="409">
        <v>1668133900</v>
      </c>
      <c r="F56" s="409">
        <v>1668133900</v>
      </c>
      <c r="G56" s="626">
        <v>9341549.8400000017</v>
      </c>
      <c r="H56" s="621">
        <v>2019</v>
      </c>
      <c r="I56" s="404"/>
      <c r="J56" s="404"/>
      <c r="L56" s="413"/>
      <c r="V56" s="407"/>
      <c r="W56" s="407"/>
      <c r="X56" s="407"/>
      <c r="Y56" s="407"/>
      <c r="Z56" s="407"/>
      <c r="AA56" s="407"/>
      <c r="AB56" s="407"/>
    </row>
    <row r="57" spans="1:28" ht="12" customHeight="1">
      <c r="A57" s="401" t="s">
        <v>54</v>
      </c>
      <c r="B57" s="626">
        <v>950103602</v>
      </c>
      <c r="C57" s="626">
        <v>670683052</v>
      </c>
      <c r="D57" s="626">
        <v>1364388047</v>
      </c>
      <c r="E57" s="409">
        <v>2314491649</v>
      </c>
      <c r="F57" s="409">
        <v>2035071099</v>
      </c>
      <c r="G57" s="626">
        <v>16687583.011799999</v>
      </c>
      <c r="H57" s="621">
        <v>2019</v>
      </c>
      <c r="I57" s="404"/>
      <c r="J57" s="404"/>
      <c r="L57" s="1656"/>
      <c r="M57" s="1656"/>
      <c r="N57" s="1656"/>
      <c r="O57" s="1656"/>
      <c r="P57" s="1656"/>
      <c r="Q57" s="1656"/>
      <c r="R57" s="1656"/>
      <c r="S57" s="1656"/>
      <c r="V57" s="407"/>
      <c r="W57" s="407"/>
      <c r="X57" s="407"/>
      <c r="Y57" s="407"/>
      <c r="Z57" s="407"/>
      <c r="AA57" s="407"/>
      <c r="AB57" s="407"/>
    </row>
    <row r="58" spans="1:28" ht="12" customHeight="1">
      <c r="A58" s="401" t="s">
        <v>56</v>
      </c>
      <c r="B58" s="626">
        <v>313742510</v>
      </c>
      <c r="C58" s="626">
        <v>312119397</v>
      </c>
      <c r="D58" s="626">
        <v>323224400</v>
      </c>
      <c r="E58" s="409">
        <v>636966910</v>
      </c>
      <c r="F58" s="409">
        <v>635343797</v>
      </c>
      <c r="G58" s="626">
        <v>4256803.4398999996</v>
      </c>
      <c r="H58" s="621">
        <v>2019</v>
      </c>
      <c r="I58" s="404"/>
      <c r="J58" s="404"/>
      <c r="V58" s="407"/>
      <c r="W58" s="407"/>
      <c r="X58" s="407"/>
      <c r="Y58" s="407"/>
      <c r="Z58" s="407"/>
      <c r="AA58" s="407"/>
      <c r="AB58" s="407"/>
    </row>
    <row r="59" spans="1:28" ht="9" customHeight="1">
      <c r="B59" s="620"/>
      <c r="C59" s="620"/>
      <c r="D59" s="620"/>
      <c r="E59" s="620"/>
      <c r="F59" s="620"/>
      <c r="G59" s="620"/>
      <c r="H59" s="621"/>
      <c r="V59" s="407"/>
      <c r="W59" s="407"/>
      <c r="X59" s="407"/>
      <c r="Y59" s="407"/>
      <c r="Z59" s="407"/>
      <c r="AA59" s="407"/>
      <c r="AB59" s="407"/>
    </row>
    <row r="60" spans="1:28" ht="12" customHeight="1">
      <c r="A60" s="401" t="s">
        <v>312</v>
      </c>
      <c r="B60" s="626">
        <v>1145755167</v>
      </c>
      <c r="C60" s="626">
        <v>1145755167</v>
      </c>
      <c r="D60" s="626">
        <v>1543988869</v>
      </c>
      <c r="E60" s="409">
        <v>2689744036</v>
      </c>
      <c r="F60" s="409">
        <v>2689744036</v>
      </c>
      <c r="G60" s="626">
        <v>13448784.9</v>
      </c>
      <c r="H60" s="621">
        <v>2019</v>
      </c>
      <c r="I60" s="404"/>
      <c r="J60" s="404"/>
      <c r="M60" s="405"/>
      <c r="N60" s="405"/>
      <c r="O60" s="405"/>
      <c r="P60" s="405"/>
      <c r="Q60" s="405"/>
      <c r="R60" s="405"/>
      <c r="S60" s="406"/>
      <c r="V60" s="407"/>
      <c r="W60" s="407"/>
      <c r="X60" s="407"/>
      <c r="Y60" s="407"/>
      <c r="Z60" s="407"/>
      <c r="AA60" s="407"/>
      <c r="AB60" s="407"/>
    </row>
    <row r="61" spans="1:28" ht="12" customHeight="1">
      <c r="A61" s="401" t="s">
        <v>60</v>
      </c>
      <c r="B61" s="626">
        <v>5237984795</v>
      </c>
      <c r="C61" s="626">
        <v>4639318602</v>
      </c>
      <c r="D61" s="626">
        <v>10603055015</v>
      </c>
      <c r="E61" s="409">
        <v>15841039810</v>
      </c>
      <c r="F61" s="409">
        <v>15242373617</v>
      </c>
      <c r="G61" s="626">
        <v>123463226.2977</v>
      </c>
      <c r="H61" s="621">
        <v>2019</v>
      </c>
      <c r="I61" s="404"/>
      <c r="J61" s="404"/>
      <c r="M61" s="410"/>
      <c r="N61" s="410"/>
      <c r="O61" s="410"/>
      <c r="P61" s="410"/>
      <c r="Q61" s="410"/>
      <c r="R61" s="410"/>
      <c r="S61" s="406"/>
      <c r="V61" s="407"/>
      <c r="W61" s="407"/>
      <c r="X61" s="407"/>
      <c r="Y61" s="407"/>
      <c r="Z61" s="407"/>
      <c r="AA61" s="407"/>
      <c r="AB61" s="407"/>
    </row>
    <row r="62" spans="1:28" ht="12" customHeight="1">
      <c r="A62" s="401" t="s">
        <v>62</v>
      </c>
      <c r="B62" s="626">
        <v>9991204300</v>
      </c>
      <c r="C62" s="626">
        <v>9804033400</v>
      </c>
      <c r="D62" s="626">
        <v>30399855100</v>
      </c>
      <c r="E62" s="409">
        <v>40391059400</v>
      </c>
      <c r="F62" s="409">
        <v>40203888500</v>
      </c>
      <c r="G62" s="626">
        <v>349773829.94999999</v>
      </c>
      <c r="H62" s="621">
        <v>2019</v>
      </c>
      <c r="I62" s="404"/>
      <c r="J62" s="404"/>
      <c r="M62" s="410"/>
      <c r="N62" s="410"/>
      <c r="O62" s="410"/>
      <c r="P62" s="410"/>
      <c r="Q62" s="410"/>
      <c r="R62" s="410"/>
      <c r="S62" s="406"/>
      <c r="V62" s="407"/>
      <c r="W62" s="407"/>
      <c r="X62" s="407"/>
      <c r="Y62" s="407"/>
      <c r="Z62" s="407"/>
      <c r="AA62" s="407"/>
      <c r="AB62" s="407"/>
    </row>
    <row r="63" spans="1:28" ht="12" customHeight="1">
      <c r="A63" s="401" t="s">
        <v>64</v>
      </c>
      <c r="B63" s="626">
        <v>796022500</v>
      </c>
      <c r="C63" s="626">
        <v>760547300</v>
      </c>
      <c r="D63" s="626">
        <v>2150619200</v>
      </c>
      <c r="E63" s="409">
        <v>2946641700</v>
      </c>
      <c r="F63" s="409">
        <v>2911166500</v>
      </c>
      <c r="G63" s="626">
        <v>16156974.075000001</v>
      </c>
      <c r="H63" s="621">
        <v>2019</v>
      </c>
      <c r="I63" s="404"/>
      <c r="J63" s="404"/>
      <c r="M63" s="410"/>
      <c r="N63" s="410"/>
      <c r="O63" s="410"/>
      <c r="P63" s="410"/>
      <c r="Q63" s="410"/>
      <c r="R63" s="410"/>
      <c r="S63" s="406"/>
      <c r="V63" s="407"/>
      <c r="W63" s="407"/>
      <c r="X63" s="407"/>
      <c r="Y63" s="407"/>
      <c r="Z63" s="407"/>
      <c r="AA63" s="407"/>
      <c r="AB63" s="407"/>
    </row>
    <row r="64" spans="1:28" ht="12" customHeight="1">
      <c r="A64" s="401" t="s">
        <v>65</v>
      </c>
      <c r="B64" s="626">
        <v>437545700</v>
      </c>
      <c r="C64" s="626">
        <v>437545700</v>
      </c>
      <c r="D64" s="626">
        <v>236608500</v>
      </c>
      <c r="E64" s="409">
        <v>674154200</v>
      </c>
      <c r="F64" s="409">
        <v>674154200</v>
      </c>
      <c r="G64" s="626">
        <v>3235940.1599999997</v>
      </c>
      <c r="H64" s="621">
        <v>2019</v>
      </c>
      <c r="I64" s="404"/>
      <c r="J64" s="404"/>
      <c r="M64" s="410"/>
      <c r="N64" s="410"/>
      <c r="O64" s="410"/>
      <c r="P64" s="410"/>
      <c r="Q64" s="410"/>
      <c r="R64" s="410"/>
      <c r="S64" s="406"/>
      <c r="V64" s="407"/>
      <c r="W64" s="407"/>
      <c r="X64" s="407"/>
      <c r="Y64" s="407"/>
      <c r="Z64" s="407"/>
      <c r="AA64" s="407"/>
      <c r="AB64" s="407"/>
    </row>
    <row r="65" spans="1:28" ht="9" customHeight="1">
      <c r="B65" s="626"/>
      <c r="C65" s="626"/>
      <c r="D65" s="626"/>
      <c r="E65" s="409"/>
      <c r="F65" s="409"/>
      <c r="G65" s="626"/>
      <c r="H65" s="621"/>
      <c r="M65" s="410"/>
      <c r="N65" s="410"/>
      <c r="O65" s="410"/>
      <c r="P65" s="410"/>
      <c r="Q65" s="410"/>
      <c r="R65" s="410"/>
      <c r="S65" s="406"/>
      <c r="V65" s="407"/>
      <c r="W65" s="407"/>
      <c r="X65" s="407"/>
      <c r="Y65" s="407"/>
      <c r="Z65" s="407"/>
      <c r="AA65" s="407"/>
      <c r="AB65" s="407"/>
    </row>
    <row r="66" spans="1:28" ht="12" customHeight="1">
      <c r="A66" s="401" t="s">
        <v>67</v>
      </c>
      <c r="B66" s="626">
        <v>1728224624</v>
      </c>
      <c r="C66" s="626">
        <v>1418746124</v>
      </c>
      <c r="D66" s="626">
        <v>3278949656</v>
      </c>
      <c r="E66" s="409">
        <v>5007174280</v>
      </c>
      <c r="F66" s="409">
        <v>4697695780</v>
      </c>
      <c r="G66" s="626">
        <v>39930414.129999995</v>
      </c>
      <c r="H66" s="621" t="s">
        <v>858</v>
      </c>
      <c r="I66" s="404"/>
      <c r="J66" s="404"/>
      <c r="M66" s="410"/>
      <c r="N66" s="410"/>
      <c r="O66" s="410"/>
      <c r="P66" s="410"/>
      <c r="Q66" s="410"/>
      <c r="R66" s="410"/>
      <c r="S66" s="406"/>
      <c r="V66" s="407"/>
      <c r="W66" s="407"/>
      <c r="X66" s="407"/>
      <c r="Y66" s="407"/>
      <c r="Z66" s="407"/>
      <c r="AA66" s="407"/>
      <c r="AB66" s="407"/>
    </row>
    <row r="67" spans="1:28" ht="12" customHeight="1">
      <c r="A67" s="401" t="s">
        <v>865</v>
      </c>
      <c r="B67" s="626">
        <v>3312260100</v>
      </c>
      <c r="C67" s="626">
        <v>3182804467</v>
      </c>
      <c r="D67" s="626">
        <v>8906498600</v>
      </c>
      <c r="E67" s="409">
        <v>12218758700</v>
      </c>
      <c r="F67" s="409">
        <v>12089303067</v>
      </c>
      <c r="G67" s="626">
        <v>101550145.76279999</v>
      </c>
      <c r="H67" s="621" t="s">
        <v>844</v>
      </c>
      <c r="I67" s="404"/>
      <c r="J67" s="404"/>
      <c r="M67" s="410"/>
      <c r="N67" s="410"/>
      <c r="O67" s="410"/>
      <c r="P67" s="410"/>
      <c r="Q67" s="410"/>
      <c r="R67" s="410"/>
      <c r="S67" s="406"/>
      <c r="V67" s="407"/>
      <c r="W67" s="407"/>
      <c r="X67" s="407"/>
      <c r="Y67" s="407"/>
      <c r="Z67" s="407"/>
      <c r="AA67" s="407"/>
      <c r="AB67" s="407"/>
    </row>
    <row r="68" spans="1:28" ht="12" customHeight="1">
      <c r="A68" s="401" t="s">
        <v>71</v>
      </c>
      <c r="B68" s="626">
        <v>493452000</v>
      </c>
      <c r="C68" s="626">
        <v>493452000</v>
      </c>
      <c r="D68" s="626">
        <v>408975400</v>
      </c>
      <c r="E68" s="409">
        <v>902427400</v>
      </c>
      <c r="F68" s="409">
        <v>902427400</v>
      </c>
      <c r="G68" s="626">
        <v>4782865.2200000007</v>
      </c>
      <c r="H68" s="621">
        <v>2019</v>
      </c>
      <c r="I68" s="404"/>
      <c r="J68" s="404"/>
      <c r="M68" s="410"/>
      <c r="N68" s="410"/>
      <c r="O68" s="410"/>
      <c r="P68" s="410"/>
      <c r="Q68" s="410"/>
      <c r="R68" s="410"/>
      <c r="S68" s="406"/>
      <c r="V68" s="407"/>
      <c r="W68" s="407"/>
      <c r="X68" s="407"/>
      <c r="Y68" s="407"/>
      <c r="Z68" s="407"/>
      <c r="AA68" s="407"/>
      <c r="AB68" s="407"/>
    </row>
    <row r="69" spans="1:28" ht="12" customHeight="1">
      <c r="A69" s="401" t="s">
        <v>73</v>
      </c>
      <c r="B69" s="626">
        <v>1154902849</v>
      </c>
      <c r="C69" s="626">
        <v>973342151</v>
      </c>
      <c r="D69" s="626">
        <v>1818786390</v>
      </c>
      <c r="E69" s="409">
        <v>2973689239</v>
      </c>
      <c r="F69" s="409">
        <v>2792128541</v>
      </c>
      <c r="G69" s="626">
        <v>19544899.787</v>
      </c>
      <c r="H69" s="621">
        <v>2019</v>
      </c>
      <c r="I69" s="404"/>
      <c r="J69" s="404"/>
      <c r="M69" s="410"/>
      <c r="N69" s="410"/>
      <c r="O69" s="410"/>
      <c r="P69" s="410"/>
      <c r="Q69" s="410"/>
      <c r="R69" s="410"/>
      <c r="S69" s="406"/>
      <c r="V69" s="407"/>
      <c r="W69" s="407"/>
      <c r="X69" s="407"/>
      <c r="Y69" s="407"/>
      <c r="Z69" s="407"/>
      <c r="AA69" s="407"/>
      <c r="AB69" s="407"/>
    </row>
    <row r="70" spans="1:28" ht="12" customHeight="1">
      <c r="A70" s="401" t="s">
        <v>348</v>
      </c>
      <c r="B70" s="626">
        <v>637951200</v>
      </c>
      <c r="C70" s="626">
        <v>510344800</v>
      </c>
      <c r="D70" s="626">
        <v>771291079</v>
      </c>
      <c r="E70" s="409">
        <v>1409242279</v>
      </c>
      <c r="F70" s="409">
        <v>1281635879</v>
      </c>
      <c r="G70" s="626">
        <v>11022068.5594</v>
      </c>
      <c r="H70" s="621">
        <v>2019</v>
      </c>
      <c r="I70" s="404"/>
      <c r="J70" s="404"/>
      <c r="S70" s="406"/>
      <c r="V70" s="407"/>
      <c r="W70" s="407"/>
      <c r="X70" s="407"/>
      <c r="Y70" s="407"/>
      <c r="Z70" s="407"/>
      <c r="AA70" s="407"/>
      <c r="AB70" s="407"/>
    </row>
    <row r="71" spans="1:28" ht="9" customHeight="1">
      <c r="B71" s="469"/>
      <c r="C71" s="469"/>
      <c r="D71" s="469"/>
      <c r="E71" s="626"/>
      <c r="F71" s="626"/>
      <c r="G71" s="469"/>
      <c r="H71" s="463"/>
      <c r="M71" s="410"/>
      <c r="N71" s="410"/>
      <c r="O71" s="410"/>
      <c r="P71" s="410"/>
      <c r="Q71" s="410"/>
      <c r="R71" s="410"/>
      <c r="S71" s="406"/>
      <c r="V71" s="407"/>
      <c r="W71" s="407"/>
      <c r="X71" s="407"/>
      <c r="Y71" s="407"/>
      <c r="Z71" s="407"/>
      <c r="AA71" s="407"/>
      <c r="AB71" s="407"/>
    </row>
    <row r="72" spans="1:28" ht="12" customHeight="1">
      <c r="A72" s="401" t="s">
        <v>77</v>
      </c>
      <c r="B72" s="626">
        <v>1184998600</v>
      </c>
      <c r="C72" s="626">
        <v>1168427300</v>
      </c>
      <c r="D72" s="626">
        <v>1487217700</v>
      </c>
      <c r="E72" s="409">
        <v>2672216300</v>
      </c>
      <c r="F72" s="409">
        <v>2655645000</v>
      </c>
      <c r="G72" s="626">
        <v>16730563.5</v>
      </c>
      <c r="H72" s="621">
        <v>2019</v>
      </c>
      <c r="I72" s="404"/>
      <c r="J72" s="404"/>
      <c r="M72" s="410"/>
      <c r="N72" s="410"/>
      <c r="O72" s="410"/>
      <c r="P72" s="410"/>
      <c r="Q72" s="410"/>
      <c r="R72" s="410"/>
      <c r="S72" s="406"/>
      <c r="V72" s="407"/>
      <c r="W72" s="407"/>
      <c r="X72" s="407"/>
      <c r="Y72" s="407"/>
      <c r="Z72" s="407"/>
      <c r="AA72" s="407"/>
      <c r="AB72" s="407"/>
    </row>
    <row r="73" spans="1:28" ht="12" customHeight="1">
      <c r="A73" s="401" t="s">
        <v>79</v>
      </c>
      <c r="B73" s="626">
        <v>325049900</v>
      </c>
      <c r="C73" s="626">
        <v>325049900</v>
      </c>
      <c r="D73" s="626">
        <v>640086082</v>
      </c>
      <c r="E73" s="409">
        <v>965135982</v>
      </c>
      <c r="F73" s="409">
        <v>965135982</v>
      </c>
      <c r="G73" s="626">
        <v>5971296.320634</v>
      </c>
      <c r="H73" s="621">
        <v>2019</v>
      </c>
      <c r="I73" s="404"/>
      <c r="J73" s="404"/>
      <c r="M73" s="410"/>
      <c r="N73" s="410"/>
      <c r="O73" s="410"/>
      <c r="P73" s="410"/>
      <c r="Q73" s="410"/>
      <c r="R73" s="410"/>
      <c r="S73" s="406"/>
      <c r="V73" s="407"/>
      <c r="W73" s="407"/>
      <c r="X73" s="407"/>
      <c r="Y73" s="407"/>
      <c r="Z73" s="407"/>
      <c r="AA73" s="407"/>
      <c r="AB73" s="407"/>
    </row>
    <row r="74" spans="1:28" ht="12" customHeight="1">
      <c r="A74" s="401" t="s">
        <v>81</v>
      </c>
      <c r="B74" s="626">
        <v>28429297380</v>
      </c>
      <c r="C74" s="626">
        <v>26650663690</v>
      </c>
      <c r="D74" s="626">
        <v>57479984540</v>
      </c>
      <c r="E74" s="409">
        <v>85909281920</v>
      </c>
      <c r="F74" s="409">
        <v>84130648230</v>
      </c>
      <c r="G74" s="626">
        <v>879165274.00349987</v>
      </c>
      <c r="H74" s="621">
        <v>2019</v>
      </c>
      <c r="I74" s="404"/>
      <c r="J74" s="404"/>
      <c r="M74" s="410"/>
      <c r="N74" s="410"/>
      <c r="O74" s="410"/>
      <c r="P74" s="410"/>
      <c r="Q74" s="410"/>
      <c r="R74" s="410"/>
      <c r="S74" s="406"/>
      <c r="V74" s="407"/>
      <c r="W74" s="407"/>
      <c r="X74" s="407"/>
      <c r="Y74" s="407"/>
      <c r="Z74" s="407"/>
      <c r="AA74" s="407"/>
      <c r="AB74" s="407"/>
    </row>
    <row r="75" spans="1:28" ht="12" customHeight="1">
      <c r="A75" s="401" t="s">
        <v>83</v>
      </c>
      <c r="B75" s="626">
        <v>2258394400</v>
      </c>
      <c r="C75" s="626">
        <v>1727143900</v>
      </c>
      <c r="D75" s="626">
        <v>3322061100</v>
      </c>
      <c r="E75" s="409">
        <v>5580455500</v>
      </c>
      <c r="F75" s="409">
        <v>5049205000</v>
      </c>
      <c r="G75" s="626">
        <v>36354276</v>
      </c>
      <c r="H75" s="621">
        <v>2019</v>
      </c>
      <c r="I75" s="404"/>
      <c r="J75" s="404"/>
      <c r="M75" s="410"/>
      <c r="N75" s="410"/>
      <c r="O75" s="410"/>
      <c r="P75" s="410"/>
      <c r="Q75" s="410"/>
      <c r="R75" s="410"/>
      <c r="S75" s="406"/>
      <c r="V75" s="407"/>
      <c r="W75" s="407"/>
      <c r="X75" s="407"/>
      <c r="Y75" s="407"/>
      <c r="Z75" s="407"/>
      <c r="AA75" s="407"/>
      <c r="AB75" s="407"/>
    </row>
    <row r="76" spans="1:28" ht="12" customHeight="1">
      <c r="A76" s="401" t="s">
        <v>85</v>
      </c>
      <c r="B76" s="626">
        <v>470154700</v>
      </c>
      <c r="C76" s="626">
        <v>470154700</v>
      </c>
      <c r="D76" s="626">
        <v>456347700</v>
      </c>
      <c r="E76" s="409">
        <v>926502400</v>
      </c>
      <c r="F76" s="409">
        <v>926502400</v>
      </c>
      <c r="G76" s="626">
        <v>3520709.12</v>
      </c>
      <c r="H76" s="621">
        <v>2019</v>
      </c>
      <c r="I76" s="404"/>
      <c r="J76" s="404"/>
      <c r="M76" s="410"/>
      <c r="N76" s="410"/>
      <c r="O76" s="410"/>
      <c r="P76" s="410"/>
      <c r="Q76" s="410"/>
      <c r="R76" s="410"/>
      <c r="S76" s="406"/>
      <c r="V76" s="407"/>
      <c r="W76" s="407"/>
      <c r="X76" s="407"/>
      <c r="Y76" s="407"/>
      <c r="Z76" s="407"/>
      <c r="AA76" s="407"/>
      <c r="AB76" s="407"/>
    </row>
    <row r="77" spans="1:28" ht="9" customHeight="1">
      <c r="B77" s="626"/>
      <c r="C77" s="626"/>
      <c r="D77" s="626"/>
      <c r="E77" s="409"/>
      <c r="F77" s="409"/>
      <c r="G77" s="626"/>
      <c r="H77" s="621"/>
      <c r="M77" s="1658"/>
      <c r="N77" s="1658"/>
      <c r="O77" s="1658"/>
      <c r="P77" s="1658"/>
      <c r="Q77" s="1658"/>
      <c r="R77" s="1658"/>
      <c r="S77" s="406"/>
      <c r="V77" s="407"/>
      <c r="W77" s="407"/>
      <c r="X77" s="407"/>
      <c r="Y77" s="407"/>
      <c r="Z77" s="407"/>
      <c r="AA77" s="407"/>
      <c r="AB77" s="407"/>
    </row>
    <row r="78" spans="1:28" ht="12" customHeight="1">
      <c r="A78" s="401" t="s">
        <v>87</v>
      </c>
      <c r="B78" s="626">
        <v>1193714400</v>
      </c>
      <c r="C78" s="626">
        <v>678128700</v>
      </c>
      <c r="D78" s="626">
        <v>1072192500</v>
      </c>
      <c r="E78" s="409">
        <v>2265906900</v>
      </c>
      <c r="F78" s="409">
        <v>1750321200</v>
      </c>
      <c r="G78" s="626">
        <v>12252248.399999999</v>
      </c>
      <c r="H78" s="621">
        <v>2019</v>
      </c>
      <c r="I78" s="404"/>
      <c r="J78" s="404"/>
      <c r="M78" s="410"/>
      <c r="N78" s="410"/>
      <c r="O78" s="410"/>
      <c r="P78" s="410"/>
      <c r="Q78" s="410"/>
      <c r="R78" s="410"/>
      <c r="S78" s="406"/>
      <c r="V78" s="407"/>
      <c r="W78" s="407"/>
      <c r="X78" s="407"/>
      <c r="Y78" s="407"/>
      <c r="Z78" s="407"/>
      <c r="AA78" s="407"/>
      <c r="AB78" s="407"/>
    </row>
    <row r="79" spans="1:28" ht="12" customHeight="1">
      <c r="A79" s="401" t="s">
        <v>89</v>
      </c>
      <c r="B79" s="626">
        <v>718001300</v>
      </c>
      <c r="C79" s="626">
        <v>718001300</v>
      </c>
      <c r="D79" s="626">
        <v>911385200</v>
      </c>
      <c r="E79" s="409">
        <v>1629386500</v>
      </c>
      <c r="F79" s="409">
        <v>1629386500</v>
      </c>
      <c r="G79" s="626">
        <v>10509542.925000001</v>
      </c>
      <c r="H79" s="621">
        <v>2019</v>
      </c>
      <c r="I79" s="404"/>
      <c r="J79" s="404"/>
      <c r="M79" s="410"/>
      <c r="N79" s="410"/>
      <c r="O79" s="410"/>
      <c r="P79" s="410"/>
      <c r="Q79" s="410"/>
      <c r="R79" s="410"/>
      <c r="S79" s="406"/>
      <c r="V79" s="407"/>
      <c r="W79" s="407"/>
      <c r="X79" s="407"/>
      <c r="Y79" s="407"/>
      <c r="Z79" s="407"/>
      <c r="AA79" s="407"/>
      <c r="AB79" s="407"/>
    </row>
    <row r="80" spans="1:28" ht="12" customHeight="1">
      <c r="A80" s="401" t="s">
        <v>91</v>
      </c>
      <c r="B80" s="626">
        <v>1555222600</v>
      </c>
      <c r="C80" s="626">
        <v>1555222600</v>
      </c>
      <c r="D80" s="626">
        <v>2978212000</v>
      </c>
      <c r="E80" s="409">
        <v>4533434600</v>
      </c>
      <c r="F80" s="409">
        <v>4533434600</v>
      </c>
      <c r="G80" s="626">
        <v>19040425.32</v>
      </c>
      <c r="H80" s="621" t="s">
        <v>858</v>
      </c>
      <c r="I80" s="404"/>
      <c r="J80" s="404"/>
      <c r="M80" s="410"/>
      <c r="N80" s="410"/>
      <c r="O80" s="410"/>
      <c r="P80" s="410"/>
      <c r="Q80" s="410"/>
      <c r="R80" s="410"/>
      <c r="S80" s="406"/>
      <c r="V80" s="407"/>
      <c r="W80" s="407"/>
      <c r="X80" s="407"/>
      <c r="Y80" s="407"/>
      <c r="Z80" s="407"/>
      <c r="AA80" s="407"/>
      <c r="AB80" s="407"/>
    </row>
    <row r="81" spans="1:28" ht="12" customHeight="1">
      <c r="A81" s="401" t="s">
        <v>93</v>
      </c>
      <c r="B81" s="626">
        <v>1124997700</v>
      </c>
      <c r="C81" s="626">
        <v>1048431900</v>
      </c>
      <c r="D81" s="626">
        <v>1148923100</v>
      </c>
      <c r="E81" s="409">
        <v>2273920800</v>
      </c>
      <c r="F81" s="409">
        <v>2197355000</v>
      </c>
      <c r="G81" s="626">
        <v>13623601</v>
      </c>
      <c r="H81" s="621">
        <v>2019</v>
      </c>
      <c r="I81" s="404"/>
      <c r="J81" s="404"/>
      <c r="M81" s="411"/>
      <c r="S81" s="406"/>
      <c r="V81" s="407"/>
      <c r="W81" s="407"/>
      <c r="X81" s="407"/>
      <c r="Y81" s="407"/>
      <c r="Z81" s="407"/>
      <c r="AA81" s="407"/>
      <c r="AB81" s="407"/>
    </row>
    <row r="82" spans="1:28" ht="12" customHeight="1">
      <c r="A82" s="401" t="s">
        <v>95</v>
      </c>
      <c r="B82" s="626">
        <v>2288786000</v>
      </c>
      <c r="C82" s="626">
        <v>2094075100</v>
      </c>
      <c r="D82" s="626">
        <v>6369346300</v>
      </c>
      <c r="E82" s="409">
        <v>8658132300</v>
      </c>
      <c r="F82" s="409">
        <v>8463421400</v>
      </c>
      <c r="G82" s="626">
        <v>75324450.460000008</v>
      </c>
      <c r="H82" s="621">
        <v>2019</v>
      </c>
      <c r="I82" s="404"/>
      <c r="J82" s="404"/>
      <c r="M82" s="410"/>
      <c r="N82" s="410"/>
      <c r="O82" s="410"/>
      <c r="P82" s="410"/>
      <c r="Q82" s="410"/>
      <c r="R82" s="410"/>
      <c r="S82" s="406"/>
      <c r="V82" s="407"/>
      <c r="W82" s="407"/>
      <c r="X82" s="407"/>
      <c r="Y82" s="407"/>
      <c r="Z82" s="407"/>
      <c r="AA82" s="407"/>
      <c r="AB82" s="407"/>
    </row>
    <row r="83" spans="1:28" ht="14">
      <c r="A83" s="400" t="s">
        <v>786</v>
      </c>
      <c r="M83" s="410"/>
      <c r="N83" s="410"/>
      <c r="O83" s="410"/>
      <c r="P83" s="410"/>
      <c r="Q83" s="410"/>
      <c r="R83" s="410"/>
      <c r="S83" s="406"/>
      <c r="V83" s="407"/>
      <c r="W83" s="407"/>
      <c r="X83" s="407"/>
      <c r="Y83" s="407"/>
      <c r="Z83" s="407"/>
      <c r="AA83" s="407"/>
      <c r="AB83" s="407"/>
    </row>
    <row r="84" spans="1:28" ht="13">
      <c r="A84" s="1655" t="str">
        <f>A43</f>
        <v>Real Estate Fair Market Value (FMV), Fair Market Value (Taxable), and Local Levy by Locality - Tax Year 2019</v>
      </c>
      <c r="B84" s="1655"/>
      <c r="C84" s="1655"/>
      <c r="D84" s="1655"/>
      <c r="E84" s="1655"/>
      <c r="F84" s="1655"/>
      <c r="G84" s="1655"/>
      <c r="H84" s="1655"/>
      <c r="M84" s="410"/>
      <c r="N84" s="410"/>
      <c r="O84" s="410"/>
      <c r="P84" s="410"/>
      <c r="Q84" s="410"/>
      <c r="R84" s="410"/>
      <c r="S84" s="406"/>
      <c r="V84" s="407"/>
      <c r="W84" s="407"/>
      <c r="X84" s="407"/>
      <c r="Y84" s="407"/>
      <c r="Z84" s="407"/>
      <c r="AA84" s="407"/>
      <c r="AB84" s="407"/>
    </row>
    <row r="85" spans="1:28" ht="11.25" customHeight="1" thickBot="1">
      <c r="A85" s="416"/>
      <c r="B85" s="416"/>
      <c r="C85" s="416"/>
      <c r="D85" s="416"/>
      <c r="E85" s="416"/>
      <c r="F85" s="416"/>
      <c r="G85" s="416"/>
      <c r="H85" s="416"/>
      <c r="M85" s="410"/>
      <c r="N85" s="410"/>
      <c r="O85" s="410"/>
      <c r="P85" s="410"/>
      <c r="Q85" s="410"/>
      <c r="R85" s="410"/>
      <c r="S85" s="406"/>
      <c r="V85" s="407"/>
      <c r="W85" s="407"/>
      <c r="X85" s="407"/>
      <c r="Y85" s="407"/>
      <c r="Z85" s="407"/>
      <c r="AA85" s="407"/>
      <c r="AB85" s="407"/>
    </row>
    <row r="86" spans="1:28" ht="11.25" customHeight="1">
      <c r="M86" s="410"/>
      <c r="N86" s="410"/>
      <c r="O86" s="410"/>
      <c r="P86" s="410"/>
      <c r="Q86" s="410"/>
      <c r="R86" s="410"/>
      <c r="S86" s="406"/>
      <c r="V86" s="407"/>
      <c r="W86" s="407"/>
      <c r="X86" s="407"/>
      <c r="Y86" s="407"/>
      <c r="Z86" s="407"/>
      <c r="AA86" s="407"/>
      <c r="AB86" s="407"/>
    </row>
    <row r="87" spans="1:28" ht="11.25" customHeight="1">
      <c r="A87" s="421" t="s">
        <v>18</v>
      </c>
      <c r="B87" s="421" t="s">
        <v>778</v>
      </c>
      <c r="C87" s="421" t="s">
        <v>779</v>
      </c>
      <c r="D87" s="421" t="s">
        <v>780</v>
      </c>
      <c r="E87" s="421" t="s">
        <v>781</v>
      </c>
      <c r="F87" s="421" t="s">
        <v>782</v>
      </c>
      <c r="G87" s="421" t="s">
        <v>783</v>
      </c>
      <c r="H87" s="421" t="s">
        <v>784</v>
      </c>
      <c r="M87" s="410"/>
      <c r="N87" s="410"/>
      <c r="O87" s="410"/>
      <c r="P87" s="410"/>
      <c r="Q87" s="410"/>
      <c r="R87" s="410"/>
      <c r="S87" s="406"/>
      <c r="V87" s="407"/>
      <c r="W87" s="407"/>
      <c r="X87" s="407"/>
      <c r="Y87" s="407"/>
      <c r="Z87" s="407"/>
      <c r="AA87" s="407"/>
      <c r="AB87" s="407"/>
    </row>
    <row r="88" spans="1:28" ht="8.25" customHeight="1">
      <c r="B88" s="422"/>
      <c r="C88" s="422"/>
      <c r="D88" s="422"/>
      <c r="E88" s="408"/>
      <c r="F88" s="408"/>
      <c r="G88" s="422"/>
      <c r="H88" s="464"/>
      <c r="M88" s="410"/>
      <c r="N88" s="410"/>
      <c r="O88" s="410"/>
      <c r="P88" s="410"/>
      <c r="Q88" s="410"/>
      <c r="R88" s="410"/>
      <c r="S88" s="406"/>
      <c r="V88" s="407"/>
      <c r="W88" s="407"/>
      <c r="X88" s="407"/>
      <c r="Y88" s="407"/>
      <c r="Z88" s="407"/>
      <c r="AA88" s="407"/>
      <c r="AB88" s="407"/>
    </row>
    <row r="89" spans="1:28" ht="12" customHeight="1">
      <c r="A89" s="401" t="s">
        <v>97</v>
      </c>
      <c r="B89" s="625">
        <v>1287136800</v>
      </c>
      <c r="C89" s="625">
        <v>773154483</v>
      </c>
      <c r="D89" s="625">
        <v>1698606450</v>
      </c>
      <c r="E89" s="724">
        <v>2985743250</v>
      </c>
      <c r="F89" s="724">
        <v>2471760933</v>
      </c>
      <c r="G89" s="625">
        <v>17796678.717599999</v>
      </c>
      <c r="H89" s="621">
        <v>2019</v>
      </c>
      <c r="I89" s="404"/>
      <c r="J89" s="404"/>
      <c r="M89" s="410"/>
      <c r="N89" s="410"/>
      <c r="O89" s="410"/>
      <c r="P89" s="410"/>
      <c r="Q89" s="410"/>
      <c r="R89" s="410"/>
      <c r="S89" s="406"/>
      <c r="V89" s="407"/>
      <c r="W89" s="407"/>
      <c r="X89" s="407"/>
      <c r="Y89" s="407"/>
      <c r="Z89" s="407"/>
      <c r="AA89" s="407"/>
      <c r="AB89" s="407"/>
    </row>
    <row r="90" spans="1:28" ht="12" customHeight="1">
      <c r="A90" s="401" t="s">
        <v>99</v>
      </c>
      <c r="B90" s="626">
        <v>1106566102</v>
      </c>
      <c r="C90" s="626">
        <v>1016622139</v>
      </c>
      <c r="D90" s="626">
        <v>1993552601</v>
      </c>
      <c r="E90" s="628">
        <v>3100118703</v>
      </c>
      <c r="F90" s="628">
        <v>3010174740</v>
      </c>
      <c r="G90" s="626">
        <v>24683432.867999997</v>
      </c>
      <c r="H90" s="621">
        <v>2019</v>
      </c>
      <c r="I90" s="404"/>
      <c r="J90" s="404"/>
      <c r="M90" s="410"/>
      <c r="N90" s="410"/>
      <c r="O90" s="410"/>
      <c r="P90" s="410"/>
      <c r="Q90" s="410"/>
      <c r="R90" s="410"/>
      <c r="S90" s="406"/>
      <c r="V90" s="407"/>
      <c r="W90" s="407"/>
      <c r="X90" s="407"/>
      <c r="Y90" s="407"/>
      <c r="Z90" s="407"/>
      <c r="AA90" s="407"/>
      <c r="AB90" s="407"/>
    </row>
    <row r="91" spans="1:28" ht="12" customHeight="1">
      <c r="A91" s="401" t="s">
        <v>101</v>
      </c>
      <c r="B91" s="626">
        <v>976355000</v>
      </c>
      <c r="C91" s="626">
        <v>863987100</v>
      </c>
      <c r="D91" s="626">
        <v>1022746400</v>
      </c>
      <c r="E91" s="628">
        <v>1999101400</v>
      </c>
      <c r="F91" s="628">
        <v>1886733500</v>
      </c>
      <c r="G91" s="626">
        <v>15659888.049999999</v>
      </c>
      <c r="H91" s="621">
        <v>2019</v>
      </c>
      <c r="I91" s="404"/>
      <c r="J91" s="404"/>
      <c r="M91" s="410"/>
      <c r="N91" s="410"/>
      <c r="O91" s="410"/>
      <c r="P91" s="410"/>
      <c r="Q91" s="410"/>
      <c r="R91" s="410"/>
      <c r="S91" s="406"/>
      <c r="V91" s="407"/>
      <c r="W91" s="407"/>
      <c r="X91" s="407"/>
      <c r="Y91" s="407"/>
      <c r="Z91" s="407"/>
      <c r="AA91" s="407"/>
      <c r="AB91" s="407"/>
    </row>
    <row r="92" spans="1:28" ht="12" customHeight="1">
      <c r="A92" s="401" t="s">
        <v>103</v>
      </c>
      <c r="B92" s="626">
        <v>1397325600</v>
      </c>
      <c r="C92" s="626">
        <v>1234156053</v>
      </c>
      <c r="D92" s="626">
        <v>1650283600</v>
      </c>
      <c r="E92" s="628">
        <v>3047609200</v>
      </c>
      <c r="F92" s="628">
        <v>2884439653</v>
      </c>
      <c r="G92" s="626">
        <v>17018193.9527</v>
      </c>
      <c r="H92" s="621">
        <v>2019</v>
      </c>
      <c r="I92" s="404"/>
      <c r="J92" s="404"/>
      <c r="M92" s="410"/>
      <c r="N92" s="410"/>
      <c r="O92" s="410"/>
      <c r="P92" s="410"/>
      <c r="Q92" s="410"/>
      <c r="R92" s="410"/>
      <c r="S92" s="406"/>
      <c r="V92" s="407"/>
      <c r="W92" s="407"/>
      <c r="X92" s="407"/>
      <c r="Y92" s="407"/>
      <c r="Z92" s="407"/>
      <c r="AA92" s="407"/>
      <c r="AB92" s="407"/>
    </row>
    <row r="93" spans="1:28" ht="12" customHeight="1">
      <c r="A93" s="401" t="s">
        <v>105</v>
      </c>
      <c r="B93" s="626">
        <v>368518400</v>
      </c>
      <c r="C93" s="626">
        <v>337183800</v>
      </c>
      <c r="D93" s="626">
        <v>608595791</v>
      </c>
      <c r="E93" s="628">
        <v>977114191</v>
      </c>
      <c r="F93" s="628">
        <v>945779591</v>
      </c>
      <c r="G93" s="626">
        <v>4539742.0367999999</v>
      </c>
      <c r="H93" s="621">
        <v>2019</v>
      </c>
      <c r="I93" s="404"/>
      <c r="J93" s="404"/>
      <c r="M93" s="410"/>
      <c r="N93" s="410"/>
      <c r="O93" s="410"/>
      <c r="P93" s="410"/>
      <c r="Q93" s="410"/>
      <c r="R93" s="410"/>
      <c r="S93" s="406"/>
      <c r="V93" s="407"/>
      <c r="W93" s="407"/>
      <c r="X93" s="407"/>
      <c r="Y93" s="407"/>
      <c r="Z93" s="407"/>
      <c r="AA93" s="407"/>
      <c r="AB93" s="407"/>
    </row>
    <row r="94" spans="1:28" ht="9" customHeight="1">
      <c r="B94" s="626"/>
      <c r="C94" s="626"/>
      <c r="D94" s="626"/>
      <c r="E94" s="628"/>
      <c r="F94" s="628"/>
      <c r="G94" s="626"/>
      <c r="H94" s="621"/>
      <c r="M94" s="410"/>
      <c r="N94" s="410"/>
      <c r="O94" s="410"/>
      <c r="P94" s="410"/>
      <c r="Q94" s="410"/>
      <c r="R94" s="410"/>
      <c r="S94" s="406"/>
      <c r="V94" s="407"/>
      <c r="W94" s="407"/>
      <c r="X94" s="407"/>
      <c r="Y94" s="407"/>
      <c r="Z94" s="407"/>
      <c r="AA94" s="407"/>
      <c r="AB94" s="407"/>
    </row>
    <row r="95" spans="1:28" ht="12" customHeight="1">
      <c r="A95" s="401" t="s">
        <v>107</v>
      </c>
      <c r="B95" s="626">
        <v>1601980900</v>
      </c>
      <c r="C95" s="626">
        <v>1275292500</v>
      </c>
      <c r="D95" s="626">
        <v>2571555300</v>
      </c>
      <c r="E95" s="628">
        <v>4173536200</v>
      </c>
      <c r="F95" s="628">
        <v>3846847800</v>
      </c>
      <c r="G95" s="626">
        <v>30928656.312000003</v>
      </c>
      <c r="H95" s="621">
        <v>2019</v>
      </c>
      <c r="I95" s="404"/>
      <c r="J95" s="404"/>
      <c r="M95" s="410"/>
      <c r="N95" s="410"/>
      <c r="O95" s="410"/>
      <c r="P95" s="410"/>
      <c r="Q95" s="410"/>
      <c r="R95" s="410"/>
      <c r="S95" s="406"/>
      <c r="V95" s="407"/>
      <c r="W95" s="407"/>
      <c r="X95" s="407"/>
      <c r="Y95" s="407"/>
      <c r="Z95" s="407"/>
      <c r="AA95" s="407"/>
      <c r="AB95" s="407"/>
    </row>
    <row r="96" spans="1:28" ht="12" customHeight="1">
      <c r="A96" s="401" t="s">
        <v>109</v>
      </c>
      <c r="B96" s="626">
        <v>1087203400</v>
      </c>
      <c r="C96" s="626">
        <v>610583400</v>
      </c>
      <c r="D96" s="626">
        <v>1433786700</v>
      </c>
      <c r="E96" s="628">
        <v>2520990100</v>
      </c>
      <c r="F96" s="628">
        <v>2044370100</v>
      </c>
      <c r="G96" s="626">
        <v>14923901.73</v>
      </c>
      <c r="H96" s="621">
        <v>2019</v>
      </c>
      <c r="I96" s="404"/>
      <c r="J96" s="404"/>
      <c r="M96" s="410"/>
      <c r="N96" s="410"/>
      <c r="O96" s="410"/>
      <c r="P96" s="410"/>
      <c r="Q96" s="410"/>
      <c r="R96" s="410"/>
      <c r="S96" s="406"/>
      <c r="V96" s="407"/>
      <c r="W96" s="407"/>
      <c r="X96" s="407"/>
      <c r="Y96" s="407"/>
      <c r="Z96" s="407"/>
      <c r="AA96" s="407"/>
      <c r="AB96" s="407"/>
    </row>
    <row r="97" spans="1:28" ht="12" customHeight="1">
      <c r="A97" s="401" t="s">
        <v>110</v>
      </c>
      <c r="B97" s="626">
        <v>743282500</v>
      </c>
      <c r="C97" s="626">
        <v>743282500</v>
      </c>
      <c r="D97" s="626">
        <v>839230000</v>
      </c>
      <c r="E97" s="628">
        <v>1582512500</v>
      </c>
      <c r="F97" s="628">
        <v>1582512500</v>
      </c>
      <c r="G97" s="626">
        <v>10761085</v>
      </c>
      <c r="H97" s="621">
        <v>2019</v>
      </c>
      <c r="I97" s="404"/>
      <c r="J97" s="404"/>
      <c r="S97" s="406"/>
      <c r="V97" s="407"/>
      <c r="W97" s="407"/>
      <c r="X97" s="407"/>
      <c r="Y97" s="407"/>
      <c r="Z97" s="407"/>
      <c r="AA97" s="407"/>
      <c r="AB97" s="407"/>
    </row>
    <row r="98" spans="1:28" ht="12" customHeight="1">
      <c r="A98" s="401" t="s">
        <v>112</v>
      </c>
      <c r="B98" s="626">
        <v>1923152500</v>
      </c>
      <c r="C98" s="626">
        <v>1354045200</v>
      </c>
      <c r="D98" s="626">
        <v>2906102900</v>
      </c>
      <c r="E98" s="628">
        <v>4829255400</v>
      </c>
      <c r="F98" s="628">
        <v>4260148100</v>
      </c>
      <c r="G98" s="626">
        <v>26412918.219999999</v>
      </c>
      <c r="H98" s="621">
        <v>2019</v>
      </c>
      <c r="I98" s="404"/>
      <c r="J98" s="404"/>
      <c r="M98" s="410"/>
      <c r="N98" s="410"/>
      <c r="O98" s="410"/>
      <c r="P98" s="410"/>
      <c r="Q98" s="410"/>
      <c r="R98" s="410"/>
      <c r="S98" s="406"/>
      <c r="V98" s="407"/>
      <c r="W98" s="407"/>
      <c r="X98" s="407"/>
      <c r="Y98" s="407"/>
      <c r="Z98" s="407"/>
      <c r="AA98" s="407"/>
      <c r="AB98" s="407"/>
    </row>
    <row r="99" spans="1:28" ht="12" customHeight="1">
      <c r="A99" s="401" t="s">
        <v>114</v>
      </c>
      <c r="B99" s="626">
        <v>1643945400</v>
      </c>
      <c r="C99" s="626">
        <v>1309437025</v>
      </c>
      <c r="D99" s="626">
        <v>2211038000</v>
      </c>
      <c r="E99" s="628">
        <v>3854983400</v>
      </c>
      <c r="F99" s="628">
        <v>3520475025</v>
      </c>
      <c r="G99" s="626">
        <v>30980180.219999999</v>
      </c>
      <c r="H99" s="621" t="s">
        <v>858</v>
      </c>
      <c r="I99" s="404"/>
      <c r="J99" s="404"/>
      <c r="M99" s="410"/>
      <c r="N99" s="410"/>
      <c r="O99" s="410"/>
      <c r="P99" s="410"/>
      <c r="Q99" s="410"/>
      <c r="R99" s="410"/>
      <c r="S99" s="406"/>
      <c r="V99" s="407"/>
      <c r="W99" s="407"/>
      <c r="X99" s="407"/>
      <c r="Y99" s="407"/>
      <c r="Z99" s="407"/>
      <c r="AA99" s="407"/>
      <c r="AB99" s="407"/>
    </row>
    <row r="100" spans="1:28" ht="12" customHeight="1">
      <c r="B100" s="629"/>
      <c r="C100" s="629"/>
      <c r="D100" s="629"/>
      <c r="E100" s="626"/>
      <c r="F100" s="626"/>
      <c r="G100" s="629"/>
      <c r="H100" s="630"/>
      <c r="M100" s="410"/>
      <c r="N100" s="410"/>
      <c r="O100" s="410"/>
      <c r="P100" s="410"/>
      <c r="Q100" s="410"/>
      <c r="R100" s="410"/>
      <c r="S100" s="406"/>
      <c r="V100" s="407"/>
      <c r="W100" s="407"/>
      <c r="X100" s="407"/>
      <c r="Y100" s="407"/>
      <c r="Z100" s="407"/>
      <c r="AA100" s="407"/>
      <c r="AB100" s="407"/>
    </row>
    <row r="101" spans="1:28" ht="12" customHeight="1">
      <c r="A101" s="401" t="s">
        <v>115</v>
      </c>
      <c r="B101" s="626">
        <v>553919000</v>
      </c>
      <c r="C101" s="626">
        <v>539535700</v>
      </c>
      <c r="D101" s="626">
        <v>1005418150</v>
      </c>
      <c r="E101" s="628">
        <v>1559337150</v>
      </c>
      <c r="F101" s="628">
        <v>1544953850</v>
      </c>
      <c r="G101" s="626">
        <v>7879264.6349999998</v>
      </c>
      <c r="H101" s="621">
        <v>2019</v>
      </c>
      <c r="I101" s="404"/>
      <c r="J101" s="404"/>
      <c r="M101" s="410"/>
      <c r="N101" s="410"/>
      <c r="O101" s="410"/>
      <c r="P101" s="410"/>
      <c r="Q101" s="410"/>
      <c r="R101" s="410"/>
      <c r="S101" s="406"/>
      <c r="V101" s="407"/>
      <c r="W101" s="407"/>
      <c r="X101" s="407"/>
      <c r="Y101" s="407"/>
      <c r="Z101" s="407"/>
      <c r="AA101" s="407"/>
      <c r="AB101" s="407"/>
    </row>
    <row r="102" spans="1:28" ht="12" customHeight="1">
      <c r="A102" s="401" t="s">
        <v>117</v>
      </c>
      <c r="B102" s="626">
        <v>928906500</v>
      </c>
      <c r="C102" s="626">
        <v>793432900</v>
      </c>
      <c r="D102" s="626">
        <v>2073035106</v>
      </c>
      <c r="E102" s="628">
        <v>3001941606</v>
      </c>
      <c r="F102" s="628">
        <v>2866468006</v>
      </c>
      <c r="G102" s="626">
        <v>24651624.851599999</v>
      </c>
      <c r="H102" s="621" t="s">
        <v>858</v>
      </c>
      <c r="I102" s="404"/>
      <c r="J102" s="404"/>
      <c r="M102" s="410"/>
      <c r="N102" s="410"/>
      <c r="O102" s="410"/>
      <c r="P102" s="410"/>
      <c r="Q102" s="410"/>
      <c r="R102" s="410"/>
      <c r="S102" s="406"/>
      <c r="V102" s="407"/>
      <c r="W102" s="407"/>
      <c r="X102" s="407"/>
      <c r="Y102" s="407"/>
      <c r="Z102" s="407"/>
      <c r="AA102" s="407"/>
      <c r="AB102" s="407"/>
    </row>
    <row r="103" spans="1:28" ht="12.75" customHeight="1">
      <c r="A103" s="401" t="s">
        <v>119</v>
      </c>
      <c r="B103" s="626">
        <v>20478669700</v>
      </c>
      <c r="C103" s="626">
        <v>20103261800</v>
      </c>
      <c r="D103" s="626">
        <v>41948949700</v>
      </c>
      <c r="E103" s="628">
        <v>62427619400</v>
      </c>
      <c r="F103" s="628">
        <v>62052211500</v>
      </c>
      <c r="G103" s="626">
        <v>698087379.375</v>
      </c>
      <c r="H103" s="621">
        <v>2019</v>
      </c>
      <c r="I103" s="404"/>
      <c r="J103" s="404"/>
      <c r="M103" s="410"/>
      <c r="N103" s="410"/>
      <c r="O103" s="410"/>
      <c r="P103" s="410"/>
      <c r="Q103" s="410"/>
      <c r="R103" s="410"/>
      <c r="S103" s="406"/>
      <c r="V103" s="407"/>
      <c r="W103" s="407"/>
      <c r="X103" s="407"/>
      <c r="Y103" s="407"/>
      <c r="Z103" s="407"/>
      <c r="AA103" s="407"/>
      <c r="AB103" s="407"/>
    </row>
    <row r="104" spans="1:28" ht="12" customHeight="1">
      <c r="A104" s="401" t="s">
        <v>121</v>
      </c>
      <c r="B104" s="626">
        <v>902039900</v>
      </c>
      <c r="C104" s="626">
        <v>749473500</v>
      </c>
      <c r="D104" s="626">
        <v>1843807255</v>
      </c>
      <c r="E104" s="628">
        <v>2745847155</v>
      </c>
      <c r="F104" s="628">
        <v>2593280755</v>
      </c>
      <c r="G104" s="626">
        <v>19968261.813500002</v>
      </c>
      <c r="H104" s="621">
        <v>2019</v>
      </c>
      <c r="I104" s="404"/>
      <c r="J104" s="404"/>
      <c r="M104" s="410"/>
      <c r="N104" s="410"/>
      <c r="O104" s="410"/>
      <c r="P104" s="410"/>
      <c r="Q104" s="410"/>
      <c r="R104" s="410"/>
      <c r="S104" s="406"/>
      <c r="V104" s="407"/>
      <c r="W104" s="407"/>
      <c r="X104" s="407"/>
      <c r="Y104" s="407"/>
      <c r="Z104" s="407"/>
      <c r="AA104" s="407"/>
      <c r="AB104" s="407"/>
    </row>
    <row r="105" spans="1:28" ht="12" customHeight="1">
      <c r="A105" s="401" t="s">
        <v>123</v>
      </c>
      <c r="B105" s="626">
        <v>1208203500</v>
      </c>
      <c r="C105" s="626">
        <v>630708400</v>
      </c>
      <c r="D105" s="626">
        <v>960745800</v>
      </c>
      <c r="E105" s="628">
        <v>2168949300</v>
      </c>
      <c r="F105" s="628">
        <v>1591454200</v>
      </c>
      <c r="G105" s="626">
        <v>10662743.140000001</v>
      </c>
      <c r="H105" s="621">
        <v>2019</v>
      </c>
      <c r="I105" s="404"/>
      <c r="J105" s="404"/>
      <c r="M105" s="410"/>
      <c r="N105" s="410"/>
      <c r="O105" s="410"/>
      <c r="P105" s="410"/>
      <c r="Q105" s="410"/>
      <c r="R105" s="410"/>
      <c r="S105" s="406"/>
      <c r="V105" s="407"/>
      <c r="W105" s="407"/>
      <c r="X105" s="407"/>
      <c r="Y105" s="407"/>
      <c r="Z105" s="407"/>
      <c r="AA105" s="407"/>
      <c r="AB105" s="407"/>
    </row>
    <row r="106" spans="1:28" ht="9" customHeight="1">
      <c r="B106" s="626"/>
      <c r="C106" s="626"/>
      <c r="D106" s="626"/>
      <c r="E106" s="628"/>
      <c r="F106" s="628"/>
      <c r="G106" s="626"/>
      <c r="H106" s="621"/>
      <c r="M106" s="410"/>
      <c r="N106" s="410"/>
      <c r="O106" s="410"/>
      <c r="P106" s="410"/>
      <c r="Q106" s="410"/>
      <c r="R106" s="410"/>
      <c r="S106" s="406"/>
      <c r="V106" s="407"/>
      <c r="W106" s="407"/>
      <c r="X106" s="407"/>
      <c r="Y106" s="407"/>
      <c r="Z106" s="407"/>
      <c r="AA106" s="407"/>
      <c r="AB106" s="407"/>
    </row>
    <row r="107" spans="1:28" ht="12" customHeight="1">
      <c r="A107" s="401" t="s">
        <v>125</v>
      </c>
      <c r="B107" s="626">
        <v>421242684</v>
      </c>
      <c r="C107" s="626">
        <v>347745825</v>
      </c>
      <c r="D107" s="626">
        <v>460067310</v>
      </c>
      <c r="E107" s="628">
        <v>881309994</v>
      </c>
      <c r="F107" s="628">
        <v>807813135</v>
      </c>
      <c r="G107" s="626">
        <v>5654691.9449999994</v>
      </c>
      <c r="H107" s="621">
        <v>2019</v>
      </c>
      <c r="I107" s="404"/>
      <c r="J107" s="404"/>
      <c r="M107" s="410"/>
      <c r="N107" s="410"/>
      <c r="O107" s="410"/>
      <c r="P107" s="410"/>
      <c r="Q107" s="410"/>
      <c r="R107" s="410"/>
      <c r="S107" s="406"/>
      <c r="V107" s="407"/>
      <c r="W107" s="407"/>
      <c r="X107" s="407"/>
      <c r="Y107" s="407"/>
      <c r="Z107" s="407"/>
      <c r="AA107" s="407"/>
      <c r="AB107" s="407"/>
    </row>
    <row r="108" spans="1:28" ht="12" customHeight="1">
      <c r="A108" s="401" t="s">
        <v>22</v>
      </c>
      <c r="B108" s="626">
        <v>2177489300</v>
      </c>
      <c r="C108" s="626">
        <v>2012778000</v>
      </c>
      <c r="D108" s="626">
        <v>6706237700</v>
      </c>
      <c r="E108" s="628">
        <v>8883727000</v>
      </c>
      <c r="F108" s="628">
        <v>8719015700</v>
      </c>
      <c r="G108" s="626">
        <v>95037271.13000001</v>
      </c>
      <c r="H108" s="621">
        <v>2019</v>
      </c>
      <c r="I108" s="404"/>
      <c r="J108" s="404"/>
      <c r="L108" s="1657"/>
      <c r="M108" s="1657"/>
      <c r="N108" s="1657"/>
      <c r="O108" s="1657"/>
      <c r="P108" s="1657"/>
      <c r="Q108" s="1657"/>
      <c r="R108" s="1657"/>
      <c r="S108" s="1657"/>
      <c r="V108" s="407"/>
      <c r="W108" s="407"/>
      <c r="X108" s="407"/>
      <c r="Y108" s="407"/>
      <c r="Z108" s="407"/>
      <c r="AA108" s="407"/>
      <c r="AB108" s="407"/>
    </row>
    <row r="109" spans="1:28" ht="12" customHeight="1">
      <c r="A109" s="401" t="s">
        <v>127</v>
      </c>
      <c r="B109" s="626">
        <v>1355003140</v>
      </c>
      <c r="C109" s="626">
        <v>612742300</v>
      </c>
      <c r="D109" s="626">
        <v>1738713000</v>
      </c>
      <c r="E109" s="628">
        <v>3093716140</v>
      </c>
      <c r="F109" s="628">
        <v>2351455300</v>
      </c>
      <c r="G109" s="626">
        <v>17165623.690000001</v>
      </c>
      <c r="H109" s="621">
        <v>2019</v>
      </c>
      <c r="I109" s="404"/>
      <c r="J109" s="404"/>
      <c r="L109" s="413"/>
      <c r="V109" s="407"/>
      <c r="W109" s="407"/>
      <c r="X109" s="407"/>
      <c r="Y109" s="407"/>
      <c r="Z109" s="407"/>
      <c r="AA109" s="407"/>
      <c r="AB109" s="407"/>
    </row>
    <row r="110" spans="1:28" ht="12" customHeight="1">
      <c r="A110" s="401" t="s">
        <v>128</v>
      </c>
      <c r="B110" s="626">
        <v>3286885600</v>
      </c>
      <c r="C110" s="626">
        <v>2257668770</v>
      </c>
      <c r="D110" s="626">
        <v>5836690800</v>
      </c>
      <c r="E110" s="628">
        <v>9123576400</v>
      </c>
      <c r="F110" s="628">
        <v>8094359570</v>
      </c>
      <c r="G110" s="626">
        <v>59898260.818000004</v>
      </c>
      <c r="H110" s="621">
        <v>2019</v>
      </c>
      <c r="I110" s="404"/>
      <c r="J110" s="404"/>
      <c r="L110" s="1656"/>
      <c r="M110" s="1656"/>
      <c r="N110" s="1656"/>
      <c r="O110" s="1656"/>
      <c r="P110" s="1656"/>
      <c r="Q110" s="1656"/>
      <c r="R110" s="1656"/>
      <c r="S110" s="1656"/>
      <c r="V110" s="407"/>
      <c r="W110" s="407"/>
      <c r="X110" s="407"/>
      <c r="Y110" s="407"/>
      <c r="Z110" s="407"/>
      <c r="AA110" s="407"/>
      <c r="AB110" s="407"/>
    </row>
    <row r="111" spans="1:28" ht="12" customHeight="1">
      <c r="A111" s="401" t="s">
        <v>130</v>
      </c>
      <c r="B111" s="626">
        <v>594296364</v>
      </c>
      <c r="C111" s="626">
        <v>430232680</v>
      </c>
      <c r="D111" s="626">
        <v>1014697319</v>
      </c>
      <c r="E111" s="725">
        <v>1608993683</v>
      </c>
      <c r="F111" s="725">
        <v>1444929999</v>
      </c>
      <c r="G111" s="626">
        <v>9103058.9936999995</v>
      </c>
      <c r="H111" s="621">
        <v>2019</v>
      </c>
      <c r="I111" s="404"/>
      <c r="J111" s="404"/>
      <c r="V111" s="407"/>
      <c r="W111" s="407"/>
      <c r="X111" s="407"/>
      <c r="Y111" s="407"/>
      <c r="Z111" s="407"/>
      <c r="AA111" s="407"/>
      <c r="AB111" s="407"/>
    </row>
    <row r="112" spans="1:28" ht="9" customHeight="1">
      <c r="B112" s="620"/>
      <c r="C112" s="620"/>
      <c r="D112" s="620"/>
      <c r="E112" s="620"/>
      <c r="F112" s="620"/>
      <c r="G112" s="620"/>
      <c r="H112" s="621"/>
      <c r="V112" s="407"/>
      <c r="W112" s="407"/>
      <c r="X112" s="407"/>
      <c r="Y112" s="407"/>
      <c r="Z112" s="407"/>
      <c r="AA112" s="407"/>
      <c r="AB112" s="407"/>
    </row>
    <row r="113" spans="1:28" ht="12" customHeight="1">
      <c r="A113" s="401" t="s">
        <v>132</v>
      </c>
      <c r="B113" s="626">
        <v>447138300</v>
      </c>
      <c r="C113" s="626">
        <v>447138300</v>
      </c>
      <c r="D113" s="626">
        <v>786771800</v>
      </c>
      <c r="E113" s="628">
        <v>1233910100</v>
      </c>
      <c r="F113" s="628">
        <v>1233910100</v>
      </c>
      <c r="G113" s="626">
        <v>9871280.8000000007</v>
      </c>
      <c r="H113" s="621">
        <v>2019</v>
      </c>
      <c r="I113" s="404"/>
      <c r="J113" s="404"/>
      <c r="M113" s="405"/>
      <c r="N113" s="405"/>
      <c r="O113" s="405"/>
      <c r="P113" s="405"/>
      <c r="Q113" s="405"/>
      <c r="R113" s="405"/>
      <c r="S113" s="406"/>
      <c r="V113" s="407"/>
      <c r="W113" s="407"/>
      <c r="X113" s="407"/>
      <c r="Y113" s="407"/>
      <c r="Z113" s="407"/>
      <c r="AA113" s="407"/>
      <c r="AB113" s="407"/>
    </row>
    <row r="114" spans="1:28" ht="12" customHeight="1">
      <c r="A114" s="401" t="s">
        <v>134</v>
      </c>
      <c r="B114" s="626">
        <v>2149612446</v>
      </c>
      <c r="C114" s="626">
        <v>1559030146</v>
      </c>
      <c r="D114" s="626">
        <v>2868745734</v>
      </c>
      <c r="E114" s="628">
        <v>5018358180</v>
      </c>
      <c r="F114" s="628">
        <v>4427775880</v>
      </c>
      <c r="G114" s="626">
        <v>28337765.631999999</v>
      </c>
      <c r="H114" s="621">
        <v>2019</v>
      </c>
      <c r="I114" s="404"/>
      <c r="J114" s="404"/>
      <c r="M114" s="410"/>
      <c r="N114" s="410"/>
      <c r="O114" s="410"/>
      <c r="P114" s="410"/>
      <c r="Q114" s="410"/>
      <c r="R114" s="410"/>
      <c r="S114" s="406"/>
      <c r="V114" s="407"/>
      <c r="W114" s="407"/>
      <c r="X114" s="407"/>
      <c r="Y114" s="407"/>
      <c r="Z114" s="407"/>
      <c r="AA114" s="407"/>
      <c r="AB114" s="407"/>
    </row>
    <row r="115" spans="1:28" ht="12" customHeight="1">
      <c r="A115" s="401" t="s">
        <v>136</v>
      </c>
      <c r="B115" s="626">
        <v>579419700</v>
      </c>
      <c r="C115" s="626">
        <v>401067460</v>
      </c>
      <c r="D115" s="626">
        <v>1020803500</v>
      </c>
      <c r="E115" s="628">
        <v>1600223200</v>
      </c>
      <c r="F115" s="628">
        <v>1421870960</v>
      </c>
      <c r="G115" s="626">
        <v>10521845.104</v>
      </c>
      <c r="H115" s="621">
        <v>2019</v>
      </c>
      <c r="I115" s="404"/>
      <c r="J115" s="404"/>
      <c r="M115" s="410"/>
      <c r="N115" s="410"/>
      <c r="O115" s="410"/>
      <c r="P115" s="410"/>
      <c r="Q115" s="410"/>
      <c r="R115" s="410"/>
      <c r="S115" s="406"/>
      <c r="V115" s="407"/>
      <c r="W115" s="407"/>
      <c r="X115" s="407"/>
      <c r="Y115" s="407"/>
      <c r="Z115" s="407"/>
      <c r="AA115" s="407"/>
      <c r="AB115" s="407"/>
    </row>
    <row r="116" spans="1:28" ht="12" customHeight="1">
      <c r="A116" s="401" t="s">
        <v>138</v>
      </c>
      <c r="B116" s="626">
        <v>907706800</v>
      </c>
      <c r="C116" s="626">
        <v>523063200</v>
      </c>
      <c r="D116" s="626">
        <v>914596400</v>
      </c>
      <c r="E116" s="628">
        <v>1822303200</v>
      </c>
      <c r="F116" s="628">
        <v>1437659600</v>
      </c>
      <c r="G116" s="626">
        <v>12867053.42</v>
      </c>
      <c r="H116" s="621">
        <v>2019</v>
      </c>
      <c r="I116" s="404"/>
      <c r="J116" s="404"/>
      <c r="M116" s="410"/>
      <c r="N116" s="410"/>
      <c r="O116" s="410"/>
      <c r="P116" s="410"/>
      <c r="Q116" s="410"/>
      <c r="R116" s="410"/>
      <c r="S116" s="406"/>
      <c r="V116" s="407"/>
      <c r="W116" s="407"/>
      <c r="X116" s="407"/>
      <c r="Y116" s="407"/>
      <c r="Z116" s="407"/>
      <c r="AA116" s="407"/>
      <c r="AB116" s="407"/>
    </row>
    <row r="117" spans="1:28" ht="12" customHeight="1">
      <c r="A117" s="401" t="s">
        <v>140</v>
      </c>
      <c r="B117" s="626">
        <v>5575739100</v>
      </c>
      <c r="C117" s="626">
        <v>5217543368</v>
      </c>
      <c r="D117" s="626">
        <v>10076852300</v>
      </c>
      <c r="E117" s="628">
        <v>15652591400</v>
      </c>
      <c r="F117" s="628">
        <v>15294395668</v>
      </c>
      <c r="G117" s="626">
        <v>129604708.89063202</v>
      </c>
      <c r="H117" s="621">
        <v>2019</v>
      </c>
      <c r="I117" s="404"/>
      <c r="J117" s="404"/>
      <c r="M117" s="410"/>
      <c r="N117" s="410"/>
      <c r="O117" s="410"/>
      <c r="P117" s="410"/>
      <c r="Q117" s="410"/>
      <c r="R117" s="410"/>
      <c r="S117" s="406"/>
      <c r="V117" s="407"/>
      <c r="W117" s="407"/>
      <c r="X117" s="407"/>
      <c r="Y117" s="407"/>
      <c r="Z117" s="407"/>
      <c r="AA117" s="407"/>
      <c r="AB117" s="407"/>
    </row>
    <row r="118" spans="1:28" ht="9" customHeight="1">
      <c r="B118" s="626"/>
      <c r="C118" s="626"/>
      <c r="D118" s="626"/>
      <c r="E118" s="628"/>
      <c r="F118" s="628"/>
      <c r="G118" s="626"/>
      <c r="H118" s="621"/>
      <c r="M118" s="410"/>
      <c r="N118" s="410"/>
      <c r="O118" s="410"/>
      <c r="P118" s="410"/>
      <c r="Q118" s="410"/>
      <c r="R118" s="410"/>
      <c r="S118" s="406"/>
      <c r="V118" s="407"/>
      <c r="W118" s="407"/>
      <c r="X118" s="407"/>
      <c r="Y118" s="407"/>
      <c r="Z118" s="407"/>
      <c r="AA118" s="407"/>
      <c r="AB118" s="407"/>
    </row>
    <row r="119" spans="1:28" ht="12" customHeight="1">
      <c r="A119" s="401" t="s">
        <v>142</v>
      </c>
      <c r="B119" s="626">
        <v>6094971398</v>
      </c>
      <c r="C119" s="626">
        <v>5789578257</v>
      </c>
      <c r="D119" s="626">
        <v>11763599803</v>
      </c>
      <c r="E119" s="628">
        <v>17858571201</v>
      </c>
      <c r="F119" s="628">
        <v>17553178060</v>
      </c>
      <c r="G119" s="626">
        <v>177287098.40599999</v>
      </c>
      <c r="H119" s="621">
        <v>2019</v>
      </c>
      <c r="I119" s="404"/>
      <c r="J119" s="404"/>
      <c r="M119" s="410"/>
      <c r="N119" s="410"/>
      <c r="O119" s="410"/>
      <c r="P119" s="410"/>
      <c r="Q119" s="410"/>
      <c r="R119" s="410"/>
      <c r="S119" s="406"/>
      <c r="V119" s="407"/>
      <c r="W119" s="407"/>
      <c r="X119" s="407"/>
      <c r="Y119" s="407"/>
      <c r="Z119" s="407"/>
      <c r="AA119" s="407"/>
      <c r="AB119" s="407"/>
    </row>
    <row r="120" spans="1:28" ht="12" customHeight="1">
      <c r="A120" s="401" t="s">
        <v>144</v>
      </c>
      <c r="B120" s="626">
        <v>472512400</v>
      </c>
      <c r="C120" s="626">
        <v>472512400</v>
      </c>
      <c r="D120" s="626">
        <v>477442200</v>
      </c>
      <c r="E120" s="628">
        <v>949954600</v>
      </c>
      <c r="F120" s="628">
        <v>949954600</v>
      </c>
      <c r="G120" s="626">
        <v>6744677.6599999992</v>
      </c>
      <c r="H120" s="621">
        <v>2019</v>
      </c>
      <c r="I120" s="404"/>
      <c r="J120" s="404"/>
      <c r="M120" s="410"/>
      <c r="N120" s="410"/>
      <c r="O120" s="410"/>
      <c r="P120" s="410"/>
      <c r="Q120" s="410"/>
      <c r="R120" s="410"/>
      <c r="S120" s="406"/>
      <c r="V120" s="407"/>
      <c r="W120" s="407"/>
      <c r="X120" s="407"/>
      <c r="Y120" s="407"/>
      <c r="Z120" s="407"/>
      <c r="AA120" s="407"/>
      <c r="AB120" s="407"/>
    </row>
    <row r="121" spans="1:28" ht="12" customHeight="1">
      <c r="A121" s="401" t="s">
        <v>146</v>
      </c>
      <c r="B121" s="626">
        <v>505362300</v>
      </c>
      <c r="C121" s="626">
        <v>505362300</v>
      </c>
      <c r="D121" s="626">
        <v>393440522</v>
      </c>
      <c r="E121" s="628">
        <v>898802822</v>
      </c>
      <c r="F121" s="628">
        <v>898802822</v>
      </c>
      <c r="G121" s="626">
        <v>5213056.3676000005</v>
      </c>
      <c r="H121" s="621">
        <v>2019</v>
      </c>
      <c r="I121" s="404"/>
      <c r="J121" s="404"/>
      <c r="M121" s="410"/>
      <c r="N121" s="410"/>
      <c r="O121" s="410"/>
      <c r="P121" s="410"/>
      <c r="Q121" s="410"/>
      <c r="R121" s="410"/>
      <c r="S121" s="406"/>
      <c r="V121" s="407"/>
      <c r="W121" s="407"/>
      <c r="X121" s="407"/>
      <c r="Y121" s="407"/>
      <c r="Z121" s="407"/>
      <c r="AA121" s="407"/>
      <c r="AB121" s="407"/>
    </row>
    <row r="122" spans="1:28" ht="12" customHeight="1">
      <c r="A122" s="401" t="s">
        <v>148</v>
      </c>
      <c r="B122" s="626">
        <v>742356200</v>
      </c>
      <c r="C122" s="626">
        <v>616159400</v>
      </c>
      <c r="D122" s="626">
        <v>1991980375</v>
      </c>
      <c r="E122" s="628">
        <v>2734336575</v>
      </c>
      <c r="F122" s="628">
        <v>2608139775</v>
      </c>
      <c r="G122" s="626">
        <v>15127210.694999998</v>
      </c>
      <c r="H122" s="621">
        <v>2019</v>
      </c>
      <c r="I122" s="404"/>
      <c r="J122" s="404"/>
      <c r="M122" s="410"/>
      <c r="N122" s="410"/>
      <c r="O122" s="410"/>
      <c r="P122" s="410"/>
      <c r="Q122" s="410"/>
      <c r="R122" s="410"/>
      <c r="S122" s="406"/>
      <c r="V122" s="407"/>
      <c r="W122" s="407"/>
      <c r="X122" s="407"/>
      <c r="Y122" s="407"/>
      <c r="Z122" s="407"/>
      <c r="AA122" s="407"/>
      <c r="AB122" s="407"/>
    </row>
    <row r="123" spans="1:28" ht="12" customHeight="1">
      <c r="A123" s="401" t="s">
        <v>150</v>
      </c>
      <c r="B123" s="626">
        <v>1705910100</v>
      </c>
      <c r="C123" s="626">
        <v>1380263000</v>
      </c>
      <c r="D123" s="626">
        <v>3273999700</v>
      </c>
      <c r="E123" s="628">
        <v>4979909800</v>
      </c>
      <c r="F123" s="628">
        <v>4654262700</v>
      </c>
      <c r="G123" s="626">
        <v>30485420.685000002</v>
      </c>
      <c r="H123" s="621">
        <v>2019</v>
      </c>
      <c r="I123" s="404"/>
      <c r="J123" s="404"/>
      <c r="M123" s="411"/>
      <c r="N123" s="411"/>
      <c r="O123" s="411"/>
      <c r="R123" s="411"/>
      <c r="S123" s="406"/>
      <c r="V123" s="407"/>
      <c r="W123" s="407"/>
      <c r="X123" s="407"/>
      <c r="Y123" s="407"/>
      <c r="Z123" s="407"/>
      <c r="AA123" s="407"/>
      <c r="AB123" s="407"/>
    </row>
    <row r="124" spans="1:28" ht="14">
      <c r="A124" s="400" t="s">
        <v>786</v>
      </c>
      <c r="M124" s="410"/>
      <c r="N124" s="410"/>
      <c r="O124" s="410"/>
      <c r="P124" s="410"/>
      <c r="Q124" s="410"/>
      <c r="R124" s="410"/>
      <c r="S124" s="406"/>
      <c r="V124" s="407"/>
      <c r="W124" s="407"/>
      <c r="X124" s="407"/>
      <c r="Y124" s="407"/>
      <c r="Z124" s="407"/>
      <c r="AA124" s="407"/>
      <c r="AB124" s="407"/>
    </row>
    <row r="125" spans="1:28" ht="13">
      <c r="A125" s="1655" t="str">
        <f>A84</f>
        <v>Real Estate Fair Market Value (FMV), Fair Market Value (Taxable), and Local Levy by Locality - Tax Year 2019</v>
      </c>
      <c r="B125" s="1655"/>
      <c r="C125" s="1655"/>
      <c r="D125" s="1655"/>
      <c r="E125" s="1655"/>
      <c r="F125" s="1655"/>
      <c r="G125" s="1655"/>
      <c r="H125" s="1655"/>
      <c r="M125" s="410"/>
      <c r="N125" s="410"/>
      <c r="O125" s="410"/>
      <c r="P125" s="410"/>
      <c r="Q125" s="410"/>
      <c r="R125" s="410"/>
      <c r="S125" s="406"/>
      <c r="V125" s="407"/>
      <c r="W125" s="407"/>
      <c r="X125" s="407"/>
      <c r="Y125" s="407"/>
      <c r="Z125" s="407"/>
      <c r="AA125" s="407"/>
      <c r="AB125" s="407"/>
    </row>
    <row r="126" spans="1:28" ht="11.25" customHeight="1" thickBot="1">
      <c r="A126" s="416"/>
      <c r="B126" s="416"/>
      <c r="C126" s="416"/>
      <c r="D126" s="416"/>
      <c r="E126" s="416"/>
      <c r="F126" s="416"/>
      <c r="G126" s="416"/>
      <c r="H126" s="416"/>
      <c r="M126" s="410"/>
      <c r="N126" s="410"/>
      <c r="O126" s="410"/>
      <c r="P126" s="410"/>
      <c r="Q126" s="410"/>
      <c r="R126" s="410"/>
      <c r="S126" s="406"/>
      <c r="V126" s="407"/>
      <c r="W126" s="407"/>
      <c r="X126" s="407"/>
      <c r="Y126" s="407"/>
      <c r="Z126" s="407"/>
      <c r="AA126" s="407"/>
      <c r="AB126" s="407"/>
    </row>
    <row r="127" spans="1:28" ht="11.25" customHeight="1">
      <c r="M127" s="410"/>
      <c r="N127" s="410"/>
      <c r="O127" s="410"/>
      <c r="P127" s="410"/>
      <c r="Q127" s="410"/>
      <c r="R127" s="410"/>
      <c r="S127" s="406"/>
      <c r="V127" s="407"/>
      <c r="W127" s="407"/>
      <c r="X127" s="407"/>
      <c r="Y127" s="407"/>
      <c r="Z127" s="407"/>
      <c r="AA127" s="407"/>
      <c r="AB127" s="407"/>
    </row>
    <row r="128" spans="1:28" ht="11.25" customHeight="1">
      <c r="A128" s="421" t="s">
        <v>18</v>
      </c>
      <c r="B128" s="421" t="s">
        <v>778</v>
      </c>
      <c r="C128" s="421" t="s">
        <v>779</v>
      </c>
      <c r="D128" s="421" t="s">
        <v>780</v>
      </c>
      <c r="E128" s="421" t="s">
        <v>781</v>
      </c>
      <c r="F128" s="421" t="s">
        <v>782</v>
      </c>
      <c r="G128" s="421" t="s">
        <v>783</v>
      </c>
      <c r="H128" s="421" t="s">
        <v>784</v>
      </c>
      <c r="M128" s="410"/>
      <c r="N128" s="410"/>
      <c r="O128" s="410"/>
      <c r="P128" s="410"/>
      <c r="Q128" s="410"/>
      <c r="R128" s="410"/>
      <c r="S128" s="406"/>
      <c r="V128" s="407"/>
      <c r="W128" s="407"/>
      <c r="X128" s="407"/>
      <c r="Y128" s="407"/>
      <c r="Z128" s="407"/>
      <c r="AA128" s="407"/>
      <c r="AB128" s="407"/>
    </row>
    <row r="129" spans="1:28" ht="8.25" customHeight="1">
      <c r="B129" s="408"/>
      <c r="C129" s="408"/>
      <c r="D129" s="408"/>
      <c r="E129" s="412"/>
      <c r="F129" s="412"/>
      <c r="G129" s="408"/>
      <c r="M129" s="410"/>
      <c r="N129" s="410"/>
      <c r="O129" s="410"/>
      <c r="P129" s="410"/>
      <c r="Q129" s="410"/>
      <c r="R129" s="410"/>
      <c r="S129" s="406"/>
      <c r="V129" s="407"/>
      <c r="W129" s="407"/>
      <c r="X129" s="407"/>
      <c r="Y129" s="407"/>
      <c r="Z129" s="407"/>
      <c r="AA129" s="407"/>
      <c r="AB129" s="407"/>
    </row>
    <row r="130" spans="1:28">
      <c r="A130" s="401" t="s">
        <v>152</v>
      </c>
      <c r="B130" s="402">
        <v>1954705001</v>
      </c>
      <c r="C130" s="402">
        <v>1241990901</v>
      </c>
      <c r="D130" s="402">
        <v>2881222500</v>
      </c>
      <c r="E130" s="414">
        <v>4835927501</v>
      </c>
      <c r="F130" s="414">
        <v>4123213401</v>
      </c>
      <c r="G130" s="402">
        <v>25976244.4263</v>
      </c>
      <c r="H130" s="406">
        <v>2019</v>
      </c>
      <c r="I130" s="404"/>
      <c r="J130" s="404"/>
      <c r="M130" s="410"/>
      <c r="N130" s="410"/>
      <c r="O130" s="410"/>
      <c r="P130" s="410"/>
      <c r="Q130" s="410"/>
      <c r="R130" s="410"/>
      <c r="S130" s="406"/>
      <c r="V130" s="407"/>
      <c r="W130" s="407"/>
      <c r="X130" s="407"/>
      <c r="Y130" s="407"/>
      <c r="Z130" s="407"/>
      <c r="AA130" s="407"/>
      <c r="AB130" s="407"/>
    </row>
    <row r="131" spans="1:28">
      <c r="A131" s="401" t="s">
        <v>154</v>
      </c>
      <c r="B131" s="408">
        <v>1197242500</v>
      </c>
      <c r="C131" s="408">
        <v>1062096260</v>
      </c>
      <c r="D131" s="408">
        <v>1449842900</v>
      </c>
      <c r="E131" s="412">
        <v>2647085400</v>
      </c>
      <c r="F131" s="412">
        <v>2511939160</v>
      </c>
      <c r="G131" s="408">
        <v>16327604.540000001</v>
      </c>
      <c r="H131" s="406">
        <v>2019</v>
      </c>
      <c r="I131" s="404"/>
      <c r="J131" s="404"/>
      <c r="M131" s="410"/>
      <c r="N131" s="410"/>
      <c r="O131" s="410"/>
      <c r="P131" s="410"/>
      <c r="Q131" s="410"/>
      <c r="R131" s="410"/>
      <c r="S131" s="406"/>
      <c r="V131" s="407"/>
      <c r="W131" s="407"/>
      <c r="X131" s="407"/>
      <c r="Y131" s="407"/>
      <c r="Z131" s="407"/>
      <c r="AA131" s="407"/>
      <c r="AB131" s="407"/>
    </row>
    <row r="132" spans="1:28">
      <c r="A132" s="401" t="s">
        <v>156</v>
      </c>
      <c r="B132" s="408">
        <v>489021521</v>
      </c>
      <c r="C132" s="408">
        <v>485541215</v>
      </c>
      <c r="D132" s="408">
        <v>1405317400</v>
      </c>
      <c r="E132" s="412">
        <v>1894338921</v>
      </c>
      <c r="F132" s="412">
        <v>1890858615</v>
      </c>
      <c r="G132" s="408">
        <v>13046924.443499997</v>
      </c>
      <c r="H132" s="406">
        <v>2019</v>
      </c>
      <c r="I132" s="404"/>
      <c r="J132" s="404"/>
      <c r="M132" s="410"/>
      <c r="N132" s="410"/>
      <c r="O132" s="410"/>
      <c r="P132" s="410"/>
      <c r="Q132" s="410"/>
      <c r="R132" s="410"/>
      <c r="S132" s="406"/>
      <c r="V132" s="407"/>
      <c r="W132" s="407"/>
      <c r="X132" s="407"/>
      <c r="Y132" s="407"/>
      <c r="Z132" s="407"/>
      <c r="AA132" s="407"/>
      <c r="AB132" s="407"/>
    </row>
    <row r="133" spans="1:28">
      <c r="A133" s="401" t="s">
        <v>158</v>
      </c>
      <c r="B133" s="408">
        <v>1057886000</v>
      </c>
      <c r="C133" s="408">
        <v>800000397</v>
      </c>
      <c r="D133" s="408">
        <v>1541665500</v>
      </c>
      <c r="E133" s="412">
        <v>2599551500</v>
      </c>
      <c r="F133" s="412">
        <v>2341665897</v>
      </c>
      <c r="G133" s="408">
        <v>12644995.843800001</v>
      </c>
      <c r="H133" s="406">
        <v>2019</v>
      </c>
      <c r="I133" s="404"/>
      <c r="J133" s="404"/>
      <c r="M133" s="410"/>
      <c r="N133" s="410"/>
      <c r="O133" s="410"/>
      <c r="P133" s="410"/>
      <c r="Q133" s="410"/>
      <c r="R133" s="410"/>
      <c r="S133" s="406"/>
      <c r="V133" s="407"/>
      <c r="W133" s="407"/>
      <c r="X133" s="407"/>
      <c r="Y133" s="407"/>
      <c r="Z133" s="407"/>
      <c r="AA133" s="407"/>
      <c r="AB133" s="407"/>
    </row>
    <row r="134" spans="1:28">
      <c r="A134" s="401" t="s">
        <v>160</v>
      </c>
      <c r="B134" s="408">
        <v>3542816969</v>
      </c>
      <c r="C134" s="408">
        <v>3533434369</v>
      </c>
      <c r="D134" s="408">
        <v>5714002600</v>
      </c>
      <c r="E134" s="412">
        <v>9256819569</v>
      </c>
      <c r="F134" s="412">
        <v>9247436969</v>
      </c>
      <c r="G134" s="408">
        <v>73517123.903549999</v>
      </c>
      <c r="H134" s="406">
        <v>2019</v>
      </c>
      <c r="I134" s="404"/>
      <c r="J134" s="404"/>
      <c r="N134" s="411"/>
      <c r="O134" s="411"/>
      <c r="S134" s="406"/>
      <c r="V134" s="407"/>
      <c r="W134" s="407"/>
      <c r="X134" s="407"/>
      <c r="Y134" s="407"/>
      <c r="Z134" s="407"/>
      <c r="AA134" s="407"/>
      <c r="AB134" s="407"/>
    </row>
    <row r="135" spans="1:28">
      <c r="C135" s="470"/>
      <c r="D135" s="470"/>
      <c r="N135" s="411"/>
      <c r="O135" s="411"/>
      <c r="S135" s="406"/>
      <c r="V135" s="407"/>
      <c r="W135" s="407"/>
      <c r="X135" s="407"/>
      <c r="Y135" s="407"/>
      <c r="Z135" s="407"/>
      <c r="AA135" s="407"/>
      <c r="AB135" s="407"/>
    </row>
    <row r="136" spans="1:28" s="415" customFormat="1" ht="12.75" customHeight="1">
      <c r="A136" s="471" t="s">
        <v>19</v>
      </c>
      <c r="B136" s="423">
        <f t="shared" ref="B136:G136" si="0">SUM(B7:B134)</f>
        <v>323259486973</v>
      </c>
      <c r="C136" s="423">
        <f t="shared" si="0"/>
        <v>298221486450</v>
      </c>
      <c r="D136" s="423">
        <f t="shared" si="0"/>
        <v>587016530456</v>
      </c>
      <c r="E136" s="423">
        <f t="shared" si="0"/>
        <v>910276017429</v>
      </c>
      <c r="F136" s="423">
        <f t="shared" si="0"/>
        <v>885238016906</v>
      </c>
      <c r="G136" s="423">
        <f t="shared" si="0"/>
        <v>8451984600.3172655</v>
      </c>
      <c r="H136" s="465"/>
      <c r="L136" s="472"/>
      <c r="M136" s="417"/>
      <c r="N136" s="417"/>
      <c r="O136" s="417"/>
      <c r="P136" s="417"/>
      <c r="Q136" s="417"/>
      <c r="R136" s="417"/>
      <c r="S136" s="472"/>
      <c r="U136" s="401"/>
      <c r="V136" s="407"/>
      <c r="W136" s="407"/>
      <c r="X136" s="407"/>
      <c r="Y136" s="407"/>
      <c r="Z136" s="407"/>
      <c r="AA136" s="407"/>
      <c r="AB136" s="407"/>
    </row>
    <row r="137" spans="1:28">
      <c r="S137" s="406"/>
      <c r="V137" s="407"/>
      <c r="W137" s="407"/>
      <c r="X137" s="407"/>
      <c r="Y137" s="407"/>
      <c r="Z137" s="407"/>
      <c r="AA137" s="407"/>
      <c r="AB137" s="407"/>
    </row>
    <row r="138" spans="1:28" ht="12" thickBot="1">
      <c r="B138" s="402"/>
      <c r="C138" s="402"/>
      <c r="D138" s="402"/>
      <c r="E138" s="402"/>
      <c r="F138" s="402"/>
      <c r="G138" s="402"/>
      <c r="M138" s="402"/>
      <c r="N138" s="402"/>
      <c r="O138" s="402"/>
      <c r="P138" s="402"/>
      <c r="Q138" s="402"/>
      <c r="R138" s="402"/>
      <c r="S138" s="406"/>
      <c r="V138" s="407"/>
      <c r="W138" s="407"/>
      <c r="X138" s="407"/>
      <c r="Y138" s="407"/>
      <c r="Z138" s="407"/>
      <c r="AA138" s="407"/>
      <c r="AB138" s="407"/>
    </row>
    <row r="139" spans="1:28">
      <c r="A139" s="473"/>
      <c r="B139" s="473"/>
      <c r="C139" s="473"/>
      <c r="D139" s="473"/>
      <c r="E139" s="473"/>
      <c r="F139" s="473"/>
      <c r="G139" s="473"/>
      <c r="H139" s="466"/>
      <c r="V139" s="407"/>
      <c r="W139" s="407"/>
      <c r="X139" s="407"/>
      <c r="Y139" s="407"/>
      <c r="Z139" s="407"/>
      <c r="AA139" s="407"/>
      <c r="AB139" s="407"/>
    </row>
    <row r="140" spans="1:28" s="413" customFormat="1">
      <c r="A140" s="421" t="s">
        <v>20</v>
      </c>
      <c r="B140" s="421" t="s">
        <v>778</v>
      </c>
      <c r="C140" s="421" t="s">
        <v>779</v>
      </c>
      <c r="D140" s="421" t="s">
        <v>780</v>
      </c>
      <c r="E140" s="421" t="s">
        <v>781</v>
      </c>
      <c r="F140" s="421" t="s">
        <v>782</v>
      </c>
      <c r="G140" s="421" t="s">
        <v>783</v>
      </c>
      <c r="H140" s="421" t="s">
        <v>784</v>
      </c>
      <c r="L140" s="420"/>
      <c r="M140" s="420"/>
      <c r="N140" s="420"/>
      <c r="O140" s="420"/>
      <c r="P140" s="420"/>
      <c r="Q140" s="420"/>
      <c r="R140" s="420"/>
      <c r="S140" s="420"/>
      <c r="U140" s="401"/>
      <c r="V140" s="407"/>
      <c r="W140" s="407"/>
      <c r="X140" s="407"/>
      <c r="Y140" s="407"/>
      <c r="Z140" s="407"/>
      <c r="AA140" s="407"/>
      <c r="AB140" s="407"/>
    </row>
    <row r="141" spans="1:28" s="413" customFormat="1" ht="8.25" customHeight="1">
      <c r="A141" s="420"/>
      <c r="B141" s="420"/>
      <c r="C141" s="420"/>
      <c r="D141" s="420"/>
      <c r="E141" s="420"/>
      <c r="F141" s="420"/>
      <c r="G141" s="420"/>
      <c r="H141" s="420"/>
      <c r="L141" s="420"/>
      <c r="M141" s="420"/>
      <c r="N141" s="420"/>
      <c r="O141" s="420"/>
      <c r="P141" s="420"/>
      <c r="Q141" s="420"/>
      <c r="R141" s="420"/>
      <c r="S141" s="420"/>
      <c r="U141" s="401"/>
      <c r="V141" s="407"/>
      <c r="W141" s="407"/>
      <c r="X141" s="407"/>
      <c r="Y141" s="407"/>
      <c r="Z141" s="407"/>
      <c r="AA141" s="407"/>
      <c r="AB141" s="407"/>
    </row>
    <row r="142" spans="1:28" ht="12" customHeight="1">
      <c r="A142" s="401" t="s">
        <v>864</v>
      </c>
      <c r="B142" s="726">
        <v>16295587326</v>
      </c>
      <c r="C142" s="726">
        <v>16295587326</v>
      </c>
      <c r="D142" s="726">
        <v>23205540995</v>
      </c>
      <c r="E142" s="727">
        <v>39501128321</v>
      </c>
      <c r="F142" s="727">
        <v>39501128321</v>
      </c>
      <c r="G142" s="726">
        <v>446362750.02729994</v>
      </c>
      <c r="H142" s="635">
        <v>2019</v>
      </c>
      <c r="I142" s="404"/>
      <c r="J142" s="404"/>
      <c r="M142" s="405"/>
      <c r="N142" s="405"/>
      <c r="O142" s="405"/>
      <c r="P142" s="405"/>
      <c r="Q142" s="405"/>
      <c r="R142" s="405"/>
      <c r="S142" s="406"/>
      <c r="V142" s="407"/>
      <c r="W142" s="407"/>
      <c r="X142" s="407"/>
      <c r="Y142" s="407"/>
      <c r="Z142" s="407"/>
      <c r="AA142" s="407"/>
      <c r="AB142" s="407"/>
    </row>
    <row r="143" spans="1:28" ht="11.25" customHeight="1">
      <c r="A143" s="401" t="s">
        <v>167</v>
      </c>
      <c r="B143" s="626">
        <v>301570870</v>
      </c>
      <c r="C143" s="626">
        <v>301570870</v>
      </c>
      <c r="D143" s="626">
        <v>885276800</v>
      </c>
      <c r="E143" s="628">
        <v>1186847670</v>
      </c>
      <c r="F143" s="628">
        <v>1186847670</v>
      </c>
      <c r="G143" s="627">
        <v>13886117.738999998</v>
      </c>
      <c r="H143" s="621">
        <v>2019</v>
      </c>
      <c r="I143" s="404"/>
      <c r="J143" s="404"/>
      <c r="M143" s="410"/>
      <c r="N143" s="410"/>
      <c r="O143" s="410"/>
      <c r="P143" s="410"/>
      <c r="Q143" s="410"/>
      <c r="R143" s="410"/>
      <c r="S143" s="406"/>
      <c r="V143" s="407"/>
      <c r="W143" s="407"/>
      <c r="X143" s="407"/>
      <c r="Y143" s="407"/>
      <c r="Z143" s="407"/>
      <c r="AA143" s="407"/>
      <c r="AB143" s="407"/>
    </row>
    <row r="144" spans="1:28" ht="12" customHeight="1">
      <c r="A144" s="401" t="s">
        <v>169</v>
      </c>
      <c r="B144" s="626">
        <v>71021960</v>
      </c>
      <c r="C144" s="626">
        <v>70845060</v>
      </c>
      <c r="D144" s="626">
        <v>257593490</v>
      </c>
      <c r="E144" s="628">
        <v>328615450</v>
      </c>
      <c r="F144" s="628">
        <v>328438550</v>
      </c>
      <c r="G144" s="626">
        <v>3974106.4550000001</v>
      </c>
      <c r="H144" s="621" t="s">
        <v>858</v>
      </c>
      <c r="I144" s="404"/>
      <c r="J144" s="404"/>
      <c r="M144" s="410"/>
      <c r="N144" s="410"/>
      <c r="O144" s="410"/>
      <c r="P144" s="410"/>
      <c r="Q144" s="410"/>
      <c r="R144" s="410"/>
      <c r="S144" s="406"/>
      <c r="V144" s="407"/>
      <c r="W144" s="407"/>
      <c r="X144" s="407"/>
      <c r="Y144" s="407"/>
      <c r="Z144" s="407"/>
      <c r="AA144" s="407"/>
      <c r="AB144" s="407"/>
    </row>
    <row r="145" spans="1:28" ht="12" customHeight="1">
      <c r="A145" s="401" t="s">
        <v>171</v>
      </c>
      <c r="B145" s="626">
        <v>2303510100</v>
      </c>
      <c r="C145" s="626">
        <v>2303510100</v>
      </c>
      <c r="D145" s="626">
        <v>5344382900</v>
      </c>
      <c r="E145" s="628">
        <v>7647893000</v>
      </c>
      <c r="F145" s="628">
        <v>7647893000</v>
      </c>
      <c r="G145" s="626">
        <v>72654983.5</v>
      </c>
      <c r="H145" s="621">
        <v>2019</v>
      </c>
      <c r="I145" s="404"/>
      <c r="J145" s="404"/>
      <c r="M145" s="410"/>
      <c r="N145" s="410"/>
      <c r="O145" s="410"/>
      <c r="P145" s="410"/>
      <c r="Q145" s="410"/>
      <c r="R145" s="410"/>
      <c r="S145" s="406"/>
      <c r="V145" s="407"/>
      <c r="W145" s="407"/>
      <c r="X145" s="407"/>
      <c r="Y145" s="407"/>
      <c r="Z145" s="407"/>
      <c r="AA145" s="407"/>
      <c r="AB145" s="407"/>
    </row>
    <row r="146" spans="1:28" ht="12" customHeight="1">
      <c r="A146" s="401" t="s">
        <v>116</v>
      </c>
      <c r="B146" s="626">
        <v>9766422100</v>
      </c>
      <c r="C146" s="626">
        <v>9580798600</v>
      </c>
      <c r="D146" s="626">
        <v>18295634300</v>
      </c>
      <c r="E146" s="628">
        <v>28062056400</v>
      </c>
      <c r="F146" s="628">
        <v>27876432900</v>
      </c>
      <c r="G146" s="626">
        <v>292702545.44999999</v>
      </c>
      <c r="H146" s="621" t="s">
        <v>858</v>
      </c>
      <c r="I146" s="404"/>
      <c r="J146" s="404"/>
      <c r="M146" s="410"/>
      <c r="N146" s="410"/>
      <c r="O146" s="410"/>
      <c r="P146" s="410"/>
      <c r="Q146" s="410"/>
      <c r="R146" s="410"/>
      <c r="S146" s="406"/>
      <c r="V146" s="407"/>
      <c r="W146" s="407"/>
      <c r="X146" s="407"/>
      <c r="Y146" s="407"/>
      <c r="Z146" s="407"/>
      <c r="AA146" s="407"/>
      <c r="AB146" s="407"/>
    </row>
    <row r="147" spans="1:28" ht="9" customHeight="1">
      <c r="B147" s="626"/>
      <c r="C147" s="626"/>
      <c r="D147" s="626"/>
      <c r="E147" s="628"/>
      <c r="F147" s="628"/>
      <c r="G147" s="626"/>
      <c r="H147" s="621"/>
      <c r="M147" s="410"/>
      <c r="N147" s="410"/>
      <c r="O147" s="410"/>
      <c r="P147" s="410"/>
      <c r="Q147" s="410"/>
      <c r="R147" s="410"/>
      <c r="S147" s="406"/>
      <c r="V147" s="407"/>
      <c r="W147" s="407"/>
      <c r="X147" s="407"/>
      <c r="Y147" s="407"/>
      <c r="Z147" s="407"/>
      <c r="AA147" s="407"/>
      <c r="AB147" s="407"/>
    </row>
    <row r="148" spans="1:28" ht="12" customHeight="1">
      <c r="A148" s="401" t="s">
        <v>118</v>
      </c>
      <c r="B148" s="626">
        <v>566338400</v>
      </c>
      <c r="C148" s="626">
        <v>566338400</v>
      </c>
      <c r="D148" s="626">
        <v>1128123470</v>
      </c>
      <c r="E148" s="628">
        <v>1694461870</v>
      </c>
      <c r="F148" s="628">
        <v>1694461870</v>
      </c>
      <c r="G148" s="626">
        <v>20333542.439999998</v>
      </c>
      <c r="H148" s="621">
        <v>2019</v>
      </c>
      <c r="I148" s="404"/>
      <c r="J148" s="404"/>
      <c r="M148" s="410"/>
      <c r="N148" s="410"/>
      <c r="O148" s="410"/>
      <c r="P148" s="410"/>
      <c r="Q148" s="410"/>
      <c r="R148" s="410"/>
      <c r="S148" s="406"/>
      <c r="V148" s="407"/>
      <c r="W148" s="407"/>
      <c r="X148" s="407"/>
      <c r="Y148" s="407"/>
      <c r="Z148" s="407"/>
      <c r="AA148" s="407"/>
      <c r="AB148" s="407"/>
    </row>
    <row r="149" spans="1:28" ht="12" customHeight="1">
      <c r="A149" s="401" t="s">
        <v>120</v>
      </c>
      <c r="B149" s="626">
        <v>57225924</v>
      </c>
      <c r="C149" s="626">
        <v>57225924</v>
      </c>
      <c r="D149" s="626">
        <v>241889044</v>
      </c>
      <c r="E149" s="628">
        <v>299114968</v>
      </c>
      <c r="F149" s="628">
        <v>299114968</v>
      </c>
      <c r="G149" s="626">
        <v>2392919.7440000004</v>
      </c>
      <c r="H149" s="621" t="s">
        <v>858</v>
      </c>
      <c r="I149" s="404"/>
      <c r="J149" s="404"/>
      <c r="M149" s="410"/>
      <c r="N149" s="410"/>
      <c r="O149" s="410"/>
      <c r="P149" s="410"/>
      <c r="Q149" s="410"/>
      <c r="R149" s="410"/>
      <c r="S149" s="406"/>
      <c r="V149" s="407"/>
      <c r="W149" s="407"/>
      <c r="X149" s="407"/>
      <c r="Y149" s="407"/>
      <c r="Z149" s="407"/>
      <c r="AA149" s="407"/>
      <c r="AB149" s="407"/>
    </row>
    <row r="150" spans="1:28" ht="12" customHeight="1">
      <c r="A150" s="401" t="s">
        <v>122</v>
      </c>
      <c r="B150" s="626">
        <v>313563500</v>
      </c>
      <c r="C150" s="626">
        <v>312348900</v>
      </c>
      <c r="D150" s="626">
        <v>1950610400</v>
      </c>
      <c r="E150" s="628">
        <v>2264173900</v>
      </c>
      <c r="F150" s="628">
        <v>2262959300</v>
      </c>
      <c r="G150" s="626">
        <v>19008858.120000001</v>
      </c>
      <c r="H150" s="621" t="s">
        <v>858</v>
      </c>
      <c r="I150" s="404"/>
      <c r="J150" s="404"/>
      <c r="M150" s="410"/>
      <c r="N150" s="410"/>
      <c r="O150" s="410"/>
      <c r="P150" s="410"/>
      <c r="Q150" s="410"/>
      <c r="R150" s="410"/>
      <c r="S150" s="406"/>
      <c r="V150" s="407"/>
      <c r="W150" s="407"/>
      <c r="X150" s="407"/>
      <c r="Y150" s="407"/>
      <c r="Z150" s="407"/>
      <c r="AA150" s="407"/>
      <c r="AB150" s="407"/>
    </row>
    <row r="151" spans="1:28" ht="12" customHeight="1">
      <c r="A151" s="401" t="s">
        <v>124</v>
      </c>
      <c r="B151" s="626">
        <v>64209000</v>
      </c>
      <c r="C151" s="626">
        <v>64209000</v>
      </c>
      <c r="D151" s="626">
        <v>283294600</v>
      </c>
      <c r="E151" s="628">
        <v>347503600</v>
      </c>
      <c r="F151" s="628">
        <v>347503600</v>
      </c>
      <c r="G151" s="626">
        <v>3301284.1999999997</v>
      </c>
      <c r="H151" s="621">
        <v>2019</v>
      </c>
      <c r="I151" s="404"/>
      <c r="J151" s="404"/>
      <c r="M151" s="410"/>
      <c r="N151" s="410"/>
      <c r="O151" s="410"/>
      <c r="P151" s="410"/>
      <c r="Q151" s="410"/>
      <c r="R151" s="410"/>
      <c r="S151" s="406"/>
      <c r="V151" s="407"/>
      <c r="W151" s="407"/>
      <c r="X151" s="407"/>
      <c r="Y151" s="407"/>
      <c r="Z151" s="407"/>
      <c r="AA151" s="407"/>
      <c r="AB151" s="407"/>
    </row>
    <row r="152" spans="1:28" ht="12" customHeight="1">
      <c r="A152" s="401" t="s">
        <v>859</v>
      </c>
      <c r="B152" s="626">
        <v>2431393300</v>
      </c>
      <c r="C152" s="626">
        <v>2431393300</v>
      </c>
      <c r="D152" s="626">
        <v>3807791400</v>
      </c>
      <c r="E152" s="628">
        <v>6239184700</v>
      </c>
      <c r="F152" s="628">
        <v>6239184700</v>
      </c>
      <c r="G152" s="626">
        <v>67071235.524999999</v>
      </c>
      <c r="H152" s="621">
        <v>2019</v>
      </c>
      <c r="I152" s="404"/>
      <c r="J152" s="404"/>
      <c r="M152" s="410"/>
      <c r="N152" s="410"/>
      <c r="O152" s="410"/>
      <c r="P152" s="410"/>
      <c r="Q152" s="410"/>
      <c r="R152" s="410"/>
      <c r="S152" s="406"/>
      <c r="V152" s="407"/>
      <c r="W152" s="407"/>
      <c r="X152" s="407"/>
      <c r="Y152" s="407"/>
      <c r="Z152" s="407"/>
      <c r="AA152" s="407"/>
      <c r="AB152" s="407"/>
    </row>
    <row r="153" spans="1:28" ht="9" customHeight="1">
      <c r="B153" s="626"/>
      <c r="C153" s="626"/>
      <c r="D153" s="626"/>
      <c r="E153" s="628"/>
      <c r="F153" s="628"/>
      <c r="G153" s="626"/>
      <c r="H153" s="621"/>
      <c r="M153" s="410"/>
      <c r="N153" s="410"/>
      <c r="O153" s="410"/>
      <c r="P153" s="410"/>
      <c r="Q153" s="410"/>
      <c r="R153" s="410"/>
      <c r="S153" s="406"/>
      <c r="V153" s="407"/>
      <c r="W153" s="407"/>
      <c r="X153" s="407"/>
      <c r="Y153" s="407"/>
      <c r="Z153" s="407"/>
      <c r="AA153" s="407"/>
      <c r="AB153" s="407"/>
    </row>
    <row r="154" spans="1:28" ht="12" customHeight="1">
      <c r="A154" s="401" t="s">
        <v>846</v>
      </c>
      <c r="B154" s="626">
        <v>1985851500</v>
      </c>
      <c r="C154" s="626">
        <v>1985851500</v>
      </c>
      <c r="D154" s="626">
        <v>2158668300</v>
      </c>
      <c r="E154" s="628">
        <v>4144519800</v>
      </c>
      <c r="F154" s="628">
        <v>4144519800</v>
      </c>
      <c r="G154" s="626">
        <v>55329339.329999998</v>
      </c>
      <c r="H154" s="621">
        <v>2018</v>
      </c>
      <c r="I154" s="404"/>
      <c r="J154" s="404"/>
      <c r="M154" s="410"/>
      <c r="N154" s="410"/>
      <c r="O154" s="410"/>
      <c r="P154" s="410"/>
      <c r="Q154" s="410"/>
      <c r="R154" s="410"/>
      <c r="S154" s="406"/>
      <c r="V154" s="407"/>
      <c r="W154" s="407"/>
      <c r="X154" s="407"/>
      <c r="Y154" s="407"/>
      <c r="Z154" s="407"/>
      <c r="AA154" s="407"/>
      <c r="AB154" s="407"/>
    </row>
    <row r="155" spans="1:28" ht="12" customHeight="1">
      <c r="A155" s="401" t="s">
        <v>21</v>
      </c>
      <c r="B155" s="626">
        <v>152853600</v>
      </c>
      <c r="C155" s="626">
        <v>147961305</v>
      </c>
      <c r="D155" s="626">
        <v>418339390</v>
      </c>
      <c r="E155" s="628">
        <v>571192990</v>
      </c>
      <c r="F155" s="628">
        <v>566300695</v>
      </c>
      <c r="G155" s="626">
        <v>5832897.1584999999</v>
      </c>
      <c r="H155" s="621" t="s">
        <v>858</v>
      </c>
      <c r="I155" s="404"/>
      <c r="J155" s="404"/>
      <c r="M155" s="410"/>
      <c r="N155" s="410"/>
      <c r="O155" s="410"/>
      <c r="P155" s="410"/>
      <c r="Q155" s="410"/>
      <c r="R155" s="410"/>
      <c r="S155" s="406"/>
      <c r="V155" s="407"/>
      <c r="W155" s="407"/>
      <c r="X155" s="407"/>
      <c r="Y155" s="407"/>
      <c r="Z155" s="407"/>
      <c r="AA155" s="407"/>
      <c r="AB155" s="407"/>
    </row>
    <row r="156" spans="1:28" ht="12" customHeight="1">
      <c r="A156" s="401" t="s">
        <v>129</v>
      </c>
      <c r="B156" s="626">
        <v>1507284100</v>
      </c>
      <c r="C156" s="626">
        <v>1477195000</v>
      </c>
      <c r="D156" s="626">
        <v>2591953600</v>
      </c>
      <c r="E156" s="628">
        <v>4099237700</v>
      </c>
      <c r="F156" s="628">
        <v>4069148600</v>
      </c>
      <c r="G156" s="626">
        <v>34587763.100000001</v>
      </c>
      <c r="H156" s="621" t="s">
        <v>858</v>
      </c>
      <c r="I156" s="404"/>
      <c r="J156" s="404"/>
      <c r="M156" s="410"/>
      <c r="N156" s="410"/>
      <c r="O156" s="410"/>
      <c r="P156" s="410"/>
      <c r="Q156" s="410"/>
      <c r="R156" s="410"/>
      <c r="S156" s="406"/>
      <c r="V156" s="407"/>
      <c r="W156" s="407"/>
      <c r="X156" s="407"/>
      <c r="Y156" s="407"/>
      <c r="Z156" s="407"/>
      <c r="AA156" s="407"/>
      <c r="AB156" s="407"/>
    </row>
    <row r="157" spans="1:28" ht="12" customHeight="1">
      <c r="A157" s="401" t="s">
        <v>131</v>
      </c>
      <c r="B157" s="626">
        <v>87493600</v>
      </c>
      <c r="C157" s="626">
        <v>87493600</v>
      </c>
      <c r="D157" s="626">
        <v>357398750</v>
      </c>
      <c r="E157" s="628">
        <v>444892350</v>
      </c>
      <c r="F157" s="628">
        <v>444892350</v>
      </c>
      <c r="G157" s="626">
        <v>3759340.3574999999</v>
      </c>
      <c r="H157" s="621">
        <v>2019</v>
      </c>
      <c r="I157" s="404"/>
      <c r="J157" s="404"/>
      <c r="M157" s="410"/>
      <c r="N157" s="410"/>
      <c r="O157" s="410"/>
      <c r="P157" s="410"/>
      <c r="Q157" s="410"/>
      <c r="R157" s="410"/>
      <c r="S157" s="406"/>
      <c r="V157" s="407"/>
      <c r="W157" s="407"/>
      <c r="X157" s="407"/>
      <c r="Y157" s="407"/>
      <c r="Z157" s="407"/>
      <c r="AA157" s="407"/>
      <c r="AB157" s="407"/>
    </row>
    <row r="158" spans="1:28" ht="12" customHeight="1">
      <c r="A158" s="401" t="s">
        <v>863</v>
      </c>
      <c r="B158" s="626">
        <v>3343234000</v>
      </c>
      <c r="C158" s="626">
        <v>3327904300</v>
      </c>
      <c r="D158" s="626">
        <v>7527322100</v>
      </c>
      <c r="E158" s="628">
        <v>10870556100</v>
      </c>
      <c r="F158" s="628">
        <v>10855226400</v>
      </c>
      <c r="G158" s="626">
        <v>134604807.35999998</v>
      </c>
      <c r="H158" s="621" t="s">
        <v>844</v>
      </c>
      <c r="I158" s="404"/>
      <c r="J158" s="404"/>
      <c r="M158" s="410"/>
      <c r="N158" s="410"/>
      <c r="O158" s="410"/>
      <c r="P158" s="410"/>
      <c r="Q158" s="410"/>
      <c r="R158" s="410"/>
      <c r="S158" s="406"/>
      <c r="V158" s="407"/>
      <c r="W158" s="407"/>
      <c r="X158" s="407"/>
      <c r="Y158" s="407"/>
      <c r="Z158" s="407"/>
      <c r="AA158" s="407"/>
      <c r="AB158" s="407"/>
    </row>
    <row r="159" spans="1:28" ht="9" customHeight="1">
      <c r="B159" s="626"/>
      <c r="C159" s="626"/>
      <c r="D159" s="626"/>
      <c r="E159" s="628"/>
      <c r="F159" s="628"/>
      <c r="G159" s="626"/>
      <c r="H159" s="621"/>
      <c r="M159" s="410"/>
      <c r="N159" s="410"/>
      <c r="O159" s="410"/>
      <c r="P159" s="410"/>
      <c r="Q159" s="410"/>
      <c r="R159" s="410"/>
      <c r="S159" s="406"/>
      <c r="V159" s="407"/>
      <c r="W159" s="407"/>
      <c r="X159" s="407"/>
      <c r="Y159" s="407"/>
      <c r="Z159" s="407"/>
      <c r="AA159" s="407"/>
      <c r="AB159" s="407"/>
    </row>
    <row r="160" spans="1:28" ht="12" customHeight="1">
      <c r="A160" s="401" t="s">
        <v>787</v>
      </c>
      <c r="B160" s="626">
        <v>1384993100</v>
      </c>
      <c r="C160" s="626">
        <v>1329558500</v>
      </c>
      <c r="D160" s="626">
        <v>2987285353</v>
      </c>
      <c r="E160" s="628">
        <v>4372278453</v>
      </c>
      <c r="F160" s="628">
        <v>4316843853</v>
      </c>
      <c r="G160" s="626">
        <v>37124857.135800004</v>
      </c>
      <c r="H160" s="621" t="s">
        <v>858</v>
      </c>
      <c r="I160" s="404"/>
      <c r="J160" s="404"/>
      <c r="M160" s="410"/>
      <c r="N160" s="410"/>
      <c r="O160" s="410"/>
      <c r="P160" s="410"/>
      <c r="Q160" s="410"/>
      <c r="R160" s="410"/>
      <c r="S160" s="406"/>
      <c r="V160" s="407"/>
      <c r="W160" s="407"/>
      <c r="X160" s="407"/>
      <c r="Y160" s="407"/>
      <c r="Z160" s="407"/>
      <c r="AA160" s="407"/>
      <c r="AB160" s="407"/>
    </row>
    <row r="161" spans="1:28" ht="12" customHeight="1">
      <c r="A161" s="401" t="s">
        <v>137</v>
      </c>
      <c r="B161" s="626">
        <v>340836000</v>
      </c>
      <c r="C161" s="626">
        <v>340836000</v>
      </c>
      <c r="D161" s="626">
        <v>1023662700</v>
      </c>
      <c r="E161" s="628">
        <v>1364498700</v>
      </c>
      <c r="F161" s="628">
        <v>1364498700</v>
      </c>
      <c r="G161" s="626">
        <v>15418835.309999999</v>
      </c>
      <c r="H161" s="621">
        <v>2019</v>
      </c>
      <c r="I161" s="404"/>
      <c r="J161" s="404"/>
      <c r="M161" s="410"/>
      <c r="N161" s="410"/>
      <c r="O161" s="410"/>
      <c r="P161" s="410"/>
      <c r="Q161" s="410"/>
      <c r="R161" s="410"/>
      <c r="S161" s="406"/>
      <c r="V161" s="407"/>
      <c r="W161" s="407"/>
      <c r="X161" s="407"/>
      <c r="Y161" s="407"/>
      <c r="Z161" s="407"/>
      <c r="AA161" s="407"/>
      <c r="AB161" s="407"/>
    </row>
    <row r="162" spans="1:28" ht="12" customHeight="1">
      <c r="A162" s="401" t="s">
        <v>788</v>
      </c>
      <c r="B162" s="626">
        <v>171720700</v>
      </c>
      <c r="C162" s="626">
        <v>171720700</v>
      </c>
      <c r="D162" s="626">
        <v>403559700</v>
      </c>
      <c r="E162" s="628">
        <v>575280400</v>
      </c>
      <c r="F162" s="628">
        <v>575280400</v>
      </c>
      <c r="G162" s="626">
        <v>6097972.2400000002</v>
      </c>
      <c r="H162" s="621" t="s">
        <v>858</v>
      </c>
      <c r="I162" s="404"/>
      <c r="J162" s="404"/>
      <c r="M162" s="410"/>
      <c r="N162" s="410"/>
      <c r="O162" s="410"/>
      <c r="P162" s="410"/>
      <c r="Q162" s="410"/>
      <c r="R162" s="410"/>
      <c r="S162" s="406"/>
      <c r="V162" s="407"/>
      <c r="W162" s="407"/>
      <c r="X162" s="407"/>
      <c r="Y162" s="407"/>
      <c r="Z162" s="407"/>
      <c r="AA162" s="407"/>
      <c r="AB162" s="407"/>
    </row>
    <row r="163" spans="1:28" ht="12" customHeight="1">
      <c r="A163" s="401" t="s">
        <v>141</v>
      </c>
      <c r="B163" s="626">
        <v>1289705000</v>
      </c>
      <c r="C163" s="626">
        <v>1275799600</v>
      </c>
      <c r="D163" s="626">
        <v>4336870300</v>
      </c>
      <c r="E163" s="725">
        <v>5626575300</v>
      </c>
      <c r="F163" s="725">
        <v>5612669900</v>
      </c>
      <c r="G163" s="626">
        <v>62300635.890000008</v>
      </c>
      <c r="H163" s="621" t="s">
        <v>858</v>
      </c>
      <c r="I163" s="404"/>
      <c r="J163" s="404"/>
      <c r="M163" s="410"/>
      <c r="N163" s="410"/>
      <c r="O163" s="410"/>
      <c r="P163" s="410"/>
      <c r="Q163" s="410"/>
      <c r="R163" s="410"/>
      <c r="S163" s="406"/>
      <c r="V163" s="407"/>
      <c r="W163" s="407"/>
      <c r="X163" s="407"/>
      <c r="Y163" s="407"/>
      <c r="Z163" s="407"/>
      <c r="AA163" s="407"/>
      <c r="AB163" s="407"/>
    </row>
    <row r="164" spans="1:28" ht="12" customHeight="1">
      <c r="A164" s="401" t="s">
        <v>789</v>
      </c>
      <c r="B164" s="626">
        <v>1761136900</v>
      </c>
      <c r="C164" s="626">
        <v>1761136900</v>
      </c>
      <c r="D164" s="626">
        <v>3302609100</v>
      </c>
      <c r="E164" s="628">
        <v>5063746000</v>
      </c>
      <c r="F164" s="628">
        <v>5063746000</v>
      </c>
      <c r="G164" s="626">
        <v>74943440.799999997</v>
      </c>
      <c r="H164" s="621" t="s">
        <v>858</v>
      </c>
      <c r="I164" s="404"/>
      <c r="J164" s="404"/>
      <c r="M164" s="405"/>
      <c r="N164" s="405"/>
      <c r="O164" s="405"/>
      <c r="P164" s="405"/>
      <c r="Q164" s="405"/>
      <c r="R164" s="405"/>
      <c r="S164" s="406"/>
      <c r="V164" s="407"/>
      <c r="W164" s="407"/>
      <c r="X164" s="407"/>
      <c r="Y164" s="407"/>
      <c r="Z164" s="407"/>
      <c r="AA164" s="407"/>
      <c r="AB164" s="407"/>
    </row>
    <row r="165" spans="1:28" ht="14">
      <c r="A165" s="400" t="s">
        <v>786</v>
      </c>
      <c r="L165" s="413"/>
      <c r="V165" s="407"/>
      <c r="W165" s="407"/>
      <c r="X165" s="407"/>
      <c r="Y165" s="407"/>
      <c r="Z165" s="407"/>
      <c r="AA165" s="407"/>
      <c r="AB165" s="407"/>
    </row>
    <row r="166" spans="1:28" ht="13">
      <c r="A166" s="1655" t="str">
        <f>A125</f>
        <v>Real Estate Fair Market Value (FMV), Fair Market Value (Taxable), and Local Levy by Locality - Tax Year 2019</v>
      </c>
      <c r="B166" s="1655"/>
      <c r="C166" s="1655"/>
      <c r="D166" s="1655"/>
      <c r="E166" s="1655"/>
      <c r="F166" s="1655"/>
      <c r="G166" s="1655"/>
      <c r="H166" s="1655"/>
      <c r="L166" s="417"/>
      <c r="M166" s="417"/>
      <c r="N166" s="417"/>
      <c r="O166" s="417"/>
      <c r="P166" s="417"/>
      <c r="Q166" s="417"/>
      <c r="R166" s="417"/>
      <c r="S166" s="417"/>
      <c r="V166" s="407"/>
      <c r="W166" s="407"/>
      <c r="X166" s="407"/>
      <c r="Y166" s="407"/>
      <c r="Z166" s="407"/>
      <c r="AA166" s="407"/>
      <c r="AB166" s="407"/>
    </row>
    <row r="167" spans="1:28" ht="12" thickBot="1">
      <c r="A167" s="416"/>
      <c r="B167" s="416"/>
      <c r="C167" s="416"/>
      <c r="D167" s="416"/>
      <c r="E167" s="416"/>
      <c r="F167" s="416"/>
      <c r="G167" s="416"/>
      <c r="H167" s="416"/>
      <c r="L167" s="417"/>
      <c r="M167" s="417"/>
      <c r="N167" s="417"/>
      <c r="O167" s="417"/>
      <c r="P167" s="417"/>
      <c r="Q167" s="417"/>
      <c r="R167" s="417"/>
      <c r="S167" s="417"/>
      <c r="V167" s="407"/>
      <c r="W167" s="407"/>
      <c r="X167" s="407"/>
      <c r="Y167" s="407"/>
      <c r="Z167" s="407"/>
      <c r="AA167" s="407"/>
      <c r="AB167" s="407"/>
    </row>
    <row r="168" spans="1:28">
      <c r="V168" s="407"/>
      <c r="W168" s="407"/>
      <c r="X168" s="407"/>
      <c r="Y168" s="407"/>
      <c r="Z168" s="407"/>
      <c r="AA168" s="407"/>
      <c r="AB168" s="407"/>
    </row>
    <row r="169" spans="1:28" s="413" customFormat="1">
      <c r="A169" s="421" t="s">
        <v>20</v>
      </c>
      <c r="B169" s="421" t="s">
        <v>778</v>
      </c>
      <c r="C169" s="421" t="s">
        <v>779</v>
      </c>
      <c r="D169" s="421" t="s">
        <v>780</v>
      </c>
      <c r="E169" s="421" t="s">
        <v>781</v>
      </c>
      <c r="F169" s="421" t="s">
        <v>782</v>
      </c>
      <c r="G169" s="421" t="s">
        <v>783</v>
      </c>
      <c r="H169" s="421" t="s">
        <v>784</v>
      </c>
      <c r="L169" s="420"/>
      <c r="M169" s="420"/>
      <c r="N169" s="420"/>
      <c r="O169" s="420"/>
      <c r="P169" s="420"/>
      <c r="Q169" s="420"/>
      <c r="R169" s="420"/>
      <c r="S169" s="420"/>
      <c r="U169" s="401"/>
      <c r="V169" s="407"/>
      <c r="W169" s="407"/>
      <c r="X169" s="407"/>
      <c r="Y169" s="407"/>
      <c r="Z169" s="407"/>
      <c r="AA169" s="407"/>
      <c r="AB169" s="407"/>
    </row>
    <row r="170" spans="1:28" ht="8.25" customHeight="1">
      <c r="V170" s="407"/>
      <c r="W170" s="407"/>
      <c r="X170" s="407"/>
      <c r="Y170" s="407"/>
      <c r="Z170" s="407"/>
      <c r="AA170" s="407"/>
      <c r="AB170" s="407"/>
    </row>
    <row r="171" spans="1:28" ht="12" customHeight="1">
      <c r="A171" s="401" t="s">
        <v>862</v>
      </c>
      <c r="B171" s="402">
        <v>489772400</v>
      </c>
      <c r="C171" s="402">
        <v>489772400</v>
      </c>
      <c r="D171" s="402">
        <v>1135913300</v>
      </c>
      <c r="E171" s="414">
        <v>1625685700</v>
      </c>
      <c r="F171" s="414">
        <v>1625685700</v>
      </c>
      <c r="G171" s="402">
        <v>25198128.350000001</v>
      </c>
      <c r="H171" s="406" t="s">
        <v>844</v>
      </c>
      <c r="I171" s="404"/>
      <c r="J171" s="404"/>
      <c r="M171" s="410"/>
      <c r="N171" s="410"/>
      <c r="O171" s="410"/>
      <c r="P171" s="410"/>
      <c r="Q171" s="410"/>
      <c r="R171" s="410"/>
      <c r="S171" s="406"/>
      <c r="V171" s="407"/>
      <c r="W171" s="407"/>
      <c r="X171" s="407"/>
      <c r="Y171" s="407"/>
      <c r="Z171" s="407"/>
      <c r="AA171" s="407"/>
      <c r="AB171" s="407"/>
    </row>
    <row r="172" spans="1:28" ht="12" customHeight="1">
      <c r="A172" s="401" t="s">
        <v>147</v>
      </c>
      <c r="B172" s="408">
        <v>126506800</v>
      </c>
      <c r="C172" s="408">
        <v>126506800</v>
      </c>
      <c r="D172" s="408">
        <v>511989200</v>
      </c>
      <c r="E172" s="412">
        <v>638496000</v>
      </c>
      <c r="F172" s="412">
        <v>638496000</v>
      </c>
      <c r="G172" s="408">
        <v>6781466.0159999998</v>
      </c>
      <c r="H172" s="406" t="s">
        <v>858</v>
      </c>
      <c r="I172" s="404"/>
      <c r="J172" s="404"/>
      <c r="M172" s="410"/>
      <c r="N172" s="410"/>
      <c r="O172" s="410"/>
      <c r="P172" s="410"/>
      <c r="Q172" s="410"/>
      <c r="R172" s="410"/>
      <c r="S172" s="406"/>
      <c r="V172" s="407"/>
      <c r="W172" s="407"/>
      <c r="X172" s="407"/>
      <c r="Y172" s="407"/>
      <c r="Z172" s="407"/>
      <c r="AA172" s="407"/>
      <c r="AB172" s="407"/>
    </row>
    <row r="173" spans="1:28" ht="12" customHeight="1">
      <c r="A173" s="401" t="s">
        <v>149</v>
      </c>
      <c r="B173" s="408">
        <v>4658073700</v>
      </c>
      <c r="C173" s="408">
        <v>4658073700</v>
      </c>
      <c r="D173" s="408">
        <v>11348126000</v>
      </c>
      <c r="E173" s="412">
        <v>16006199700</v>
      </c>
      <c r="F173" s="412">
        <v>16006199700</v>
      </c>
      <c r="G173" s="408">
        <v>195275636.34</v>
      </c>
      <c r="H173" s="406" t="s">
        <v>858</v>
      </c>
      <c r="I173" s="404"/>
      <c r="J173" s="404"/>
      <c r="M173" s="410"/>
      <c r="N173" s="410"/>
      <c r="O173" s="410"/>
      <c r="P173" s="410"/>
      <c r="Q173" s="410"/>
      <c r="R173" s="410"/>
      <c r="S173" s="406"/>
      <c r="V173" s="407"/>
      <c r="W173" s="407"/>
      <c r="X173" s="407"/>
      <c r="Y173" s="407"/>
      <c r="Z173" s="407"/>
      <c r="AA173" s="407"/>
      <c r="AB173" s="407"/>
    </row>
    <row r="174" spans="1:28" ht="12" customHeight="1">
      <c r="A174" s="401" t="s">
        <v>151</v>
      </c>
      <c r="B174" s="408">
        <v>6193789400</v>
      </c>
      <c r="C174" s="408">
        <v>6193789400</v>
      </c>
      <c r="D174" s="408">
        <v>14882994300</v>
      </c>
      <c r="E174" s="412">
        <v>21076783700</v>
      </c>
      <c r="F174" s="412">
        <v>21076783700</v>
      </c>
      <c r="G174" s="408">
        <v>263459796.25</v>
      </c>
      <c r="H174" s="406" t="s">
        <v>858</v>
      </c>
      <c r="I174" s="404"/>
      <c r="J174" s="404"/>
      <c r="M174" s="410"/>
      <c r="N174" s="410"/>
      <c r="O174" s="410"/>
      <c r="P174" s="410"/>
      <c r="Q174" s="410"/>
      <c r="R174" s="410"/>
      <c r="S174" s="406"/>
      <c r="V174" s="407"/>
      <c r="W174" s="407"/>
      <c r="X174" s="407"/>
      <c r="Y174" s="407"/>
      <c r="Z174" s="407"/>
      <c r="AA174" s="407"/>
      <c r="AB174" s="407"/>
    </row>
    <row r="175" spans="1:28" ht="12" customHeight="1">
      <c r="A175" s="401" t="s">
        <v>790</v>
      </c>
      <c r="B175" s="408">
        <v>59988700</v>
      </c>
      <c r="C175" s="408">
        <v>59988700</v>
      </c>
      <c r="D175" s="408">
        <v>173548500</v>
      </c>
      <c r="E175" s="412">
        <v>233537200</v>
      </c>
      <c r="F175" s="412">
        <v>233537200</v>
      </c>
      <c r="G175" s="408">
        <v>2101834.8000000003</v>
      </c>
      <c r="H175" s="406">
        <v>2019</v>
      </c>
      <c r="I175" s="404"/>
      <c r="J175" s="404"/>
      <c r="M175" s="410"/>
      <c r="N175" s="410"/>
      <c r="O175" s="410"/>
      <c r="P175" s="410"/>
      <c r="Q175" s="410"/>
      <c r="R175" s="410"/>
      <c r="S175" s="406"/>
      <c r="V175" s="407"/>
      <c r="W175" s="407"/>
      <c r="X175" s="407"/>
      <c r="Y175" s="407"/>
      <c r="Z175" s="407"/>
      <c r="AA175" s="407"/>
      <c r="AB175" s="407"/>
    </row>
    <row r="176" spans="1:28" ht="9" customHeight="1">
      <c r="B176" s="408"/>
      <c r="C176" s="408"/>
      <c r="D176" s="408"/>
      <c r="E176" s="412"/>
      <c r="F176" s="412"/>
      <c r="G176" s="408"/>
      <c r="M176" s="410"/>
      <c r="N176" s="410"/>
      <c r="O176" s="410"/>
      <c r="P176" s="410"/>
      <c r="Q176" s="410"/>
      <c r="R176" s="410"/>
      <c r="S176" s="406"/>
      <c r="V176" s="407"/>
      <c r="W176" s="407"/>
      <c r="X176" s="407"/>
      <c r="Y176" s="407"/>
      <c r="Z176" s="407"/>
      <c r="AA176" s="407"/>
      <c r="AB176" s="407"/>
    </row>
    <row r="177" spans="1:28" ht="12" customHeight="1">
      <c r="A177" s="418" t="s">
        <v>861</v>
      </c>
      <c r="B177" s="408">
        <v>417381397</v>
      </c>
      <c r="C177" s="408">
        <v>410790697</v>
      </c>
      <c r="D177" s="408">
        <v>1504699352</v>
      </c>
      <c r="E177" s="412">
        <v>1922080749</v>
      </c>
      <c r="F177" s="412">
        <v>1915490049</v>
      </c>
      <c r="G177" s="408">
        <v>25859115.661499999</v>
      </c>
      <c r="H177" s="406" t="s">
        <v>844</v>
      </c>
      <c r="I177" s="404"/>
      <c r="J177" s="404"/>
      <c r="M177" s="410"/>
      <c r="N177" s="410"/>
      <c r="O177" s="410"/>
      <c r="P177" s="410"/>
      <c r="Q177" s="410"/>
      <c r="R177" s="410"/>
      <c r="S177" s="406"/>
      <c r="V177" s="407"/>
      <c r="W177" s="407"/>
      <c r="X177" s="407"/>
      <c r="Y177" s="407"/>
      <c r="Z177" s="407"/>
      <c r="AA177" s="407"/>
      <c r="AB177" s="407"/>
    </row>
    <row r="178" spans="1:28" ht="12" customHeight="1">
      <c r="A178" s="401" t="s">
        <v>860</v>
      </c>
      <c r="B178" s="408">
        <v>665040100</v>
      </c>
      <c r="C178" s="408">
        <v>665040100</v>
      </c>
      <c r="D178" s="408">
        <v>937009225</v>
      </c>
      <c r="E178" s="412">
        <v>1602049325</v>
      </c>
      <c r="F178" s="412">
        <v>1602049325</v>
      </c>
      <c r="G178" s="408">
        <v>18263362.305</v>
      </c>
      <c r="H178" s="406" t="s">
        <v>844</v>
      </c>
      <c r="I178" s="404"/>
      <c r="J178" s="404"/>
      <c r="M178" s="410"/>
      <c r="N178" s="410"/>
      <c r="O178" s="410"/>
      <c r="P178" s="410"/>
      <c r="Q178" s="410"/>
      <c r="R178" s="410"/>
      <c r="S178" s="406"/>
      <c r="V178" s="407"/>
      <c r="W178" s="407"/>
      <c r="X178" s="407"/>
      <c r="Y178" s="407"/>
      <c r="Z178" s="407"/>
      <c r="AA178" s="407"/>
      <c r="AB178" s="407"/>
    </row>
    <row r="179" spans="1:28" ht="12" customHeight="1">
      <c r="A179" s="401" t="s">
        <v>847</v>
      </c>
      <c r="B179" s="408">
        <v>2117952670</v>
      </c>
      <c r="C179" s="408">
        <v>2117952670</v>
      </c>
      <c r="D179" s="408">
        <v>5376818732</v>
      </c>
      <c r="E179" s="412">
        <v>7494771402</v>
      </c>
      <c r="F179" s="412">
        <v>7494771402</v>
      </c>
      <c r="G179" s="408">
        <v>97432028.225999996</v>
      </c>
      <c r="H179" s="406" t="s">
        <v>844</v>
      </c>
      <c r="I179" s="404"/>
      <c r="J179" s="404"/>
      <c r="M179" s="410"/>
      <c r="N179" s="410"/>
      <c r="O179" s="410"/>
      <c r="P179" s="410"/>
      <c r="Q179" s="410"/>
      <c r="R179" s="410"/>
      <c r="S179" s="406"/>
      <c r="V179" s="407"/>
      <c r="W179" s="407"/>
      <c r="X179" s="407"/>
      <c r="Y179" s="407"/>
      <c r="Z179" s="407"/>
      <c r="AA179" s="407"/>
      <c r="AB179" s="407"/>
    </row>
    <row r="180" spans="1:28" ht="12" customHeight="1">
      <c r="A180" s="401" t="s">
        <v>161</v>
      </c>
      <c r="B180" s="408">
        <v>170166200</v>
      </c>
      <c r="C180" s="408">
        <v>167885450</v>
      </c>
      <c r="D180" s="408">
        <v>652781400</v>
      </c>
      <c r="E180" s="412">
        <v>822947600</v>
      </c>
      <c r="F180" s="412">
        <v>820666850</v>
      </c>
      <c r="G180" s="408">
        <v>6729468.1699999999</v>
      </c>
      <c r="H180" s="406">
        <v>2019</v>
      </c>
      <c r="I180" s="404"/>
      <c r="J180" s="404"/>
      <c r="M180" s="410"/>
      <c r="N180" s="410"/>
      <c r="O180" s="410"/>
      <c r="P180" s="410"/>
      <c r="Q180" s="410"/>
      <c r="R180" s="410"/>
      <c r="S180" s="406"/>
      <c r="V180" s="407"/>
      <c r="W180" s="407"/>
      <c r="X180" s="407"/>
      <c r="Y180" s="407"/>
      <c r="Z180" s="407"/>
      <c r="AA180" s="407"/>
      <c r="AB180" s="407"/>
    </row>
    <row r="181" spans="1:28" ht="12" customHeight="1">
      <c r="A181" s="401" t="s">
        <v>867</v>
      </c>
      <c r="B181" s="408">
        <v>6033262000</v>
      </c>
      <c r="C181" s="408">
        <v>6033262000</v>
      </c>
      <c r="D181" s="408">
        <v>16677621000</v>
      </c>
      <c r="E181" s="412">
        <v>22710883000</v>
      </c>
      <c r="F181" s="412">
        <v>22710883000</v>
      </c>
      <c r="G181" s="408">
        <v>272530596</v>
      </c>
      <c r="H181" s="406">
        <v>2018</v>
      </c>
      <c r="I181" s="404"/>
      <c r="J181" s="404"/>
      <c r="M181" s="410"/>
      <c r="N181" s="410"/>
      <c r="O181" s="410"/>
      <c r="P181" s="410"/>
      <c r="Q181" s="410"/>
      <c r="R181" s="410"/>
      <c r="S181" s="406"/>
      <c r="V181" s="407"/>
      <c r="W181" s="407"/>
      <c r="X181" s="407"/>
      <c r="Y181" s="407"/>
      <c r="Z181" s="407"/>
      <c r="AA181" s="407"/>
      <c r="AB181" s="407"/>
    </row>
    <row r="182" spans="1:28" ht="9" customHeight="1">
      <c r="B182" s="408"/>
      <c r="C182" s="408"/>
      <c r="D182" s="408"/>
      <c r="E182" s="412"/>
      <c r="F182" s="412"/>
      <c r="G182" s="408"/>
      <c r="M182" s="410"/>
      <c r="N182" s="410"/>
      <c r="O182" s="410"/>
      <c r="P182" s="410"/>
      <c r="Q182" s="410"/>
      <c r="R182" s="410"/>
      <c r="S182" s="406"/>
      <c r="V182" s="407"/>
      <c r="W182" s="407"/>
      <c r="X182" s="407"/>
      <c r="Y182" s="407"/>
      <c r="Z182" s="407"/>
      <c r="AA182" s="407"/>
      <c r="AB182" s="407"/>
    </row>
    <row r="183" spans="1:28" ht="12" customHeight="1">
      <c r="A183" s="401" t="s">
        <v>22</v>
      </c>
      <c r="B183" s="408">
        <v>1633867600</v>
      </c>
      <c r="C183" s="408">
        <v>1633867600</v>
      </c>
      <c r="D183" s="408">
        <v>6328248000</v>
      </c>
      <c r="E183" s="412">
        <v>7962115600</v>
      </c>
      <c r="F183" s="412">
        <v>7962115600</v>
      </c>
      <c r="G183" s="408">
        <v>97137810.319999993</v>
      </c>
      <c r="H183" s="406" t="s">
        <v>858</v>
      </c>
      <c r="I183" s="404"/>
      <c r="J183" s="404"/>
      <c r="M183" s="410"/>
      <c r="N183" s="410"/>
      <c r="O183" s="410"/>
      <c r="P183" s="410"/>
      <c r="Q183" s="410"/>
      <c r="R183" s="410"/>
      <c r="S183" s="406"/>
      <c r="V183" s="407"/>
      <c r="W183" s="407"/>
      <c r="X183" s="407"/>
      <c r="Y183" s="407"/>
      <c r="Z183" s="407"/>
      <c r="AA183" s="407"/>
      <c r="AB183" s="407"/>
    </row>
    <row r="184" spans="1:28" ht="12" customHeight="1">
      <c r="A184" s="401" t="s">
        <v>162</v>
      </c>
      <c r="B184" s="408">
        <v>533194900</v>
      </c>
      <c r="C184" s="408">
        <v>533194900</v>
      </c>
      <c r="D184" s="408">
        <v>1744471200</v>
      </c>
      <c r="E184" s="412">
        <v>2277666100</v>
      </c>
      <c r="F184" s="412">
        <v>2277666100</v>
      </c>
      <c r="G184" s="408">
        <v>27331993.199999999</v>
      </c>
      <c r="H184" s="406" t="s">
        <v>858</v>
      </c>
      <c r="I184" s="404"/>
      <c r="J184" s="404"/>
      <c r="M184" s="410"/>
      <c r="N184" s="410"/>
      <c r="O184" s="410"/>
      <c r="P184" s="410"/>
      <c r="Q184" s="410"/>
      <c r="R184" s="410"/>
      <c r="S184" s="406"/>
      <c r="V184" s="407"/>
      <c r="W184" s="407"/>
      <c r="X184" s="407"/>
      <c r="Y184" s="407"/>
      <c r="Z184" s="407"/>
      <c r="AA184" s="407"/>
      <c r="AB184" s="407"/>
    </row>
    <row r="185" spans="1:28" ht="12" customHeight="1">
      <c r="A185" s="401" t="s">
        <v>163</v>
      </c>
      <c r="B185" s="408">
        <v>445096449</v>
      </c>
      <c r="C185" s="408">
        <v>427001165</v>
      </c>
      <c r="D185" s="408">
        <v>1597967620</v>
      </c>
      <c r="E185" s="412">
        <v>2043064069</v>
      </c>
      <c r="F185" s="412">
        <v>2024968785</v>
      </c>
      <c r="G185" s="408">
        <v>19237203.4575</v>
      </c>
      <c r="H185" s="406">
        <v>2019</v>
      </c>
      <c r="I185" s="404"/>
      <c r="J185" s="404"/>
      <c r="M185" s="410"/>
      <c r="N185" s="410"/>
      <c r="O185" s="410"/>
      <c r="P185" s="410"/>
      <c r="Q185" s="410"/>
      <c r="R185" s="410"/>
      <c r="S185" s="406"/>
      <c r="V185" s="407"/>
      <c r="W185" s="407"/>
      <c r="X185" s="407"/>
      <c r="Y185" s="407"/>
      <c r="Z185" s="407"/>
      <c r="AA185" s="407"/>
      <c r="AB185" s="407"/>
    </row>
    <row r="186" spans="1:28" ht="12" customHeight="1">
      <c r="A186" s="401" t="s">
        <v>164</v>
      </c>
      <c r="B186" s="408">
        <v>3533055200</v>
      </c>
      <c r="C186" s="408">
        <v>3074878700</v>
      </c>
      <c r="D186" s="408">
        <v>6980072200</v>
      </c>
      <c r="E186" s="412">
        <v>10513127400</v>
      </c>
      <c r="F186" s="412">
        <v>10054950900</v>
      </c>
      <c r="G186" s="408">
        <v>111609954.99000001</v>
      </c>
      <c r="H186" s="406" t="s">
        <v>858</v>
      </c>
      <c r="I186" s="404"/>
      <c r="J186" s="404"/>
      <c r="M186" s="410"/>
      <c r="N186" s="410"/>
      <c r="O186" s="410"/>
      <c r="P186" s="410"/>
      <c r="Q186" s="410"/>
      <c r="R186" s="410"/>
      <c r="S186" s="406"/>
      <c r="V186" s="407"/>
      <c r="W186" s="407"/>
      <c r="X186" s="407"/>
      <c r="Y186" s="407"/>
      <c r="Z186" s="407"/>
      <c r="AA186" s="407"/>
      <c r="AB186" s="407"/>
    </row>
    <row r="187" spans="1:28" ht="12" customHeight="1">
      <c r="A187" s="401" t="s">
        <v>586</v>
      </c>
      <c r="B187" s="408">
        <v>24684935400</v>
      </c>
      <c r="C187" s="408">
        <v>24413593800</v>
      </c>
      <c r="D187" s="408">
        <v>34873616300</v>
      </c>
      <c r="E187" s="412">
        <v>59558551700</v>
      </c>
      <c r="F187" s="412">
        <v>59287210100</v>
      </c>
      <c r="G187" s="408">
        <v>603247362.76750004</v>
      </c>
      <c r="H187" s="406" t="s">
        <v>858</v>
      </c>
      <c r="I187" s="404"/>
      <c r="J187" s="404"/>
      <c r="M187" s="410"/>
      <c r="N187" s="410"/>
      <c r="O187" s="410"/>
      <c r="P187" s="410"/>
      <c r="Q187" s="410"/>
      <c r="R187" s="410"/>
      <c r="S187" s="406"/>
      <c r="V187" s="407"/>
      <c r="W187" s="407"/>
      <c r="X187" s="407"/>
      <c r="Y187" s="407"/>
      <c r="Z187" s="407"/>
      <c r="AA187" s="407"/>
      <c r="AB187" s="407"/>
    </row>
    <row r="188" spans="1:28" ht="9" customHeight="1">
      <c r="B188" s="408"/>
      <c r="C188" s="408"/>
      <c r="D188" s="408"/>
      <c r="E188" s="412"/>
      <c r="F188" s="412"/>
      <c r="G188" s="408"/>
      <c r="M188" s="410"/>
      <c r="N188" s="410"/>
      <c r="O188" s="410"/>
      <c r="P188" s="410"/>
      <c r="Q188" s="410"/>
      <c r="R188" s="410"/>
      <c r="S188" s="406"/>
      <c r="V188" s="407"/>
      <c r="W188" s="407"/>
      <c r="X188" s="407"/>
      <c r="Y188" s="407"/>
      <c r="Z188" s="407"/>
      <c r="AA188" s="407"/>
      <c r="AB188" s="407"/>
    </row>
    <row r="189" spans="1:28" ht="12" customHeight="1">
      <c r="A189" s="401" t="s">
        <v>166</v>
      </c>
      <c r="B189" s="408">
        <v>606496100</v>
      </c>
      <c r="C189" s="408">
        <v>594592100</v>
      </c>
      <c r="D189" s="408">
        <v>1301983600</v>
      </c>
      <c r="E189" s="412">
        <v>1908479700</v>
      </c>
      <c r="F189" s="412">
        <v>1896575700</v>
      </c>
      <c r="G189" s="408">
        <v>17069181.300000001</v>
      </c>
      <c r="H189" s="406">
        <v>2019</v>
      </c>
      <c r="I189" s="404"/>
      <c r="J189" s="404"/>
      <c r="M189" s="410"/>
      <c r="N189" s="410"/>
      <c r="O189" s="410"/>
      <c r="P189" s="410"/>
      <c r="Q189" s="410"/>
      <c r="R189" s="410"/>
      <c r="S189" s="406"/>
      <c r="V189" s="407"/>
      <c r="W189" s="407"/>
      <c r="X189" s="407"/>
      <c r="Y189" s="407"/>
      <c r="Z189" s="407"/>
      <c r="AA189" s="407"/>
      <c r="AB189" s="407"/>
    </row>
    <row r="190" spans="1:28" ht="12" customHeight="1">
      <c r="A190" s="401" t="s">
        <v>791</v>
      </c>
      <c r="B190" s="408">
        <v>678557200</v>
      </c>
      <c r="C190" s="408">
        <v>678557200</v>
      </c>
      <c r="D190" s="408">
        <v>1318127100</v>
      </c>
      <c r="E190" s="412">
        <v>1996684300</v>
      </c>
      <c r="F190" s="412">
        <v>1996684300</v>
      </c>
      <c r="G190" s="408">
        <v>11980105.799999999</v>
      </c>
      <c r="H190" s="406" t="s">
        <v>858</v>
      </c>
      <c r="I190" s="404"/>
      <c r="J190" s="404"/>
      <c r="M190" s="410"/>
      <c r="N190" s="410"/>
      <c r="O190" s="410"/>
      <c r="P190" s="410"/>
      <c r="Q190" s="410"/>
      <c r="R190" s="410"/>
      <c r="S190" s="406"/>
      <c r="V190" s="407"/>
      <c r="W190" s="407"/>
      <c r="X190" s="407"/>
      <c r="Y190" s="407"/>
      <c r="Z190" s="407"/>
      <c r="AA190" s="407"/>
      <c r="AB190" s="407"/>
    </row>
    <row r="191" spans="1:28" ht="12" customHeight="1">
      <c r="A191" s="401" t="s">
        <v>170</v>
      </c>
      <c r="B191" s="408">
        <v>1047251364</v>
      </c>
      <c r="C191" s="408">
        <v>1045551536</v>
      </c>
      <c r="D191" s="408">
        <v>2144397125</v>
      </c>
      <c r="E191" s="412">
        <v>3191648489</v>
      </c>
      <c r="F191" s="412">
        <v>3189948661</v>
      </c>
      <c r="G191" s="408">
        <v>29666522.5473</v>
      </c>
      <c r="H191" s="406">
        <v>2019</v>
      </c>
      <c r="I191" s="404"/>
      <c r="J191" s="404"/>
      <c r="M191" s="410"/>
      <c r="N191" s="410"/>
      <c r="O191" s="410"/>
      <c r="P191" s="410"/>
      <c r="Q191" s="410"/>
      <c r="R191" s="410"/>
      <c r="S191" s="406"/>
      <c r="V191" s="407"/>
      <c r="W191" s="407"/>
      <c r="X191" s="407"/>
      <c r="Y191" s="407"/>
      <c r="Z191" s="407"/>
      <c r="AA191" s="407"/>
      <c r="AB191" s="407"/>
    </row>
    <row r="192" spans="1:28">
      <c r="I192" s="404"/>
      <c r="J192" s="404"/>
    </row>
    <row r="193" spans="1:19" s="415" customFormat="1" ht="12.75" customHeight="1">
      <c r="A193" s="474" t="s">
        <v>24</v>
      </c>
      <c r="B193" s="423">
        <f t="shared" ref="B193:G193" si="1">SUM(B142:B164,B171:B191)</f>
        <v>98290338560</v>
      </c>
      <c r="C193" s="423">
        <f t="shared" si="1"/>
        <v>97213583803</v>
      </c>
      <c r="D193" s="423">
        <f t="shared" si="1"/>
        <v>189998190846</v>
      </c>
      <c r="E193" s="423">
        <f t="shared" si="1"/>
        <v>288288529406</v>
      </c>
      <c r="F193" s="423">
        <f t="shared" si="1"/>
        <v>287211774649</v>
      </c>
      <c r="G193" s="423">
        <f t="shared" si="1"/>
        <v>3202599798.3828998</v>
      </c>
      <c r="H193" s="465"/>
      <c r="M193" s="417"/>
      <c r="N193" s="417"/>
      <c r="O193" s="417"/>
      <c r="P193" s="417"/>
      <c r="Q193" s="417"/>
      <c r="R193" s="417"/>
    </row>
    <row r="194" spans="1:19" s="415" customFormat="1" ht="12.75" customHeight="1">
      <c r="A194" s="474" t="s">
        <v>19</v>
      </c>
      <c r="B194" s="423">
        <f t="shared" ref="B194:G194" si="2">B136</f>
        <v>323259486973</v>
      </c>
      <c r="C194" s="423">
        <f t="shared" si="2"/>
        <v>298221486450</v>
      </c>
      <c r="D194" s="423">
        <f t="shared" si="2"/>
        <v>587016530456</v>
      </c>
      <c r="E194" s="423">
        <f t="shared" si="2"/>
        <v>910276017429</v>
      </c>
      <c r="F194" s="423">
        <f t="shared" si="2"/>
        <v>885238016906</v>
      </c>
      <c r="G194" s="423">
        <f t="shared" si="2"/>
        <v>8451984600.3172655</v>
      </c>
      <c r="H194" s="465"/>
      <c r="M194" s="417"/>
      <c r="N194" s="417"/>
      <c r="O194" s="417"/>
      <c r="P194" s="417"/>
      <c r="Q194" s="417"/>
      <c r="R194" s="417"/>
    </row>
    <row r="195" spans="1:19">
      <c r="A195" s="475"/>
      <c r="B195" s="476"/>
      <c r="C195" s="476"/>
      <c r="D195" s="476"/>
      <c r="E195" s="476"/>
      <c r="F195" s="476"/>
      <c r="G195" s="476"/>
      <c r="H195" s="467"/>
      <c r="M195" s="402"/>
      <c r="N195" s="402"/>
      <c r="O195" s="402"/>
      <c r="P195" s="402"/>
      <c r="Q195" s="402"/>
      <c r="R195" s="402"/>
    </row>
    <row r="196" spans="1:19" s="415" customFormat="1" ht="12.75" customHeight="1">
      <c r="A196" s="474" t="s">
        <v>25</v>
      </c>
      <c r="B196" s="423">
        <f t="shared" ref="B196:G196" si="3">B193+B194</f>
        <v>421549825533</v>
      </c>
      <c r="C196" s="423">
        <f t="shared" si="3"/>
        <v>395435070253</v>
      </c>
      <c r="D196" s="423">
        <f>D193+D194</f>
        <v>777014721302</v>
      </c>
      <c r="E196" s="423">
        <f t="shared" si="3"/>
        <v>1198564546835</v>
      </c>
      <c r="F196" s="423">
        <f t="shared" si="3"/>
        <v>1172449791555</v>
      </c>
      <c r="G196" s="423">
        <f t="shared" si="3"/>
        <v>11654584398.700165</v>
      </c>
      <c r="H196" s="465"/>
      <c r="M196" s="417"/>
      <c r="N196" s="417"/>
      <c r="O196" s="417"/>
      <c r="P196" s="417"/>
      <c r="Q196" s="417"/>
      <c r="R196" s="417"/>
    </row>
    <row r="197" spans="1:19">
      <c r="A197" s="418"/>
      <c r="B197" s="477"/>
      <c r="C197" s="477"/>
      <c r="D197" s="477"/>
      <c r="E197" s="477"/>
      <c r="F197" s="477"/>
      <c r="G197" s="477"/>
      <c r="H197" s="468"/>
    </row>
    <row r="198" spans="1:19">
      <c r="A198" s="401" t="s">
        <v>1</v>
      </c>
      <c r="B198" s="478"/>
      <c r="C198" s="478"/>
      <c r="D198" s="478"/>
      <c r="E198" s="478"/>
      <c r="F198" s="478"/>
      <c r="G198" s="478"/>
      <c r="H198" s="468"/>
      <c r="L198" s="1654"/>
      <c r="M198" s="1654"/>
      <c r="N198" s="1654"/>
      <c r="O198" s="1654"/>
      <c r="P198" s="1654"/>
      <c r="Q198" s="1654"/>
      <c r="R198" s="1654"/>
      <c r="S198" s="1654"/>
    </row>
    <row r="199" spans="1:19">
      <c r="A199" s="1654" t="s">
        <v>792</v>
      </c>
      <c r="B199" s="1654"/>
      <c r="C199" s="1654"/>
      <c r="D199" s="1654"/>
      <c r="E199" s="1654"/>
      <c r="F199" s="1654"/>
      <c r="G199" s="1654"/>
      <c r="H199" s="1654"/>
      <c r="L199" s="1654"/>
      <c r="M199" s="1654"/>
      <c r="N199" s="1654"/>
      <c r="O199" s="1654"/>
      <c r="P199" s="1654"/>
      <c r="Q199" s="1654"/>
      <c r="R199" s="1654"/>
      <c r="S199" s="1654"/>
    </row>
    <row r="200" spans="1:19">
      <c r="A200" s="1654" t="s">
        <v>793</v>
      </c>
      <c r="B200" s="1654"/>
      <c r="C200" s="1654"/>
      <c r="D200" s="1654"/>
      <c r="E200" s="1654"/>
      <c r="F200" s="1654"/>
      <c r="G200" s="1654"/>
      <c r="H200" s="1654"/>
      <c r="L200" s="1654"/>
      <c r="M200" s="1654"/>
      <c r="N200" s="1654"/>
      <c r="O200" s="1654"/>
      <c r="P200" s="1654"/>
      <c r="Q200" s="1654"/>
      <c r="R200" s="1654"/>
      <c r="S200" s="1654"/>
    </row>
    <row r="201" spans="1:19" ht="12">
      <c r="A201" s="1654" t="s">
        <v>794</v>
      </c>
      <c r="B201" s="1654"/>
      <c r="C201" s="1654"/>
      <c r="D201" s="1654"/>
      <c r="E201" s="1654"/>
      <c r="F201" s="1654"/>
      <c r="G201" s="1654"/>
      <c r="H201" s="1654"/>
      <c r="L201" s="1654"/>
      <c r="M201" s="1654"/>
      <c r="N201" s="1654"/>
      <c r="O201" s="1654"/>
      <c r="P201" s="1654"/>
      <c r="Q201" s="1654"/>
      <c r="R201" s="1654"/>
      <c r="S201" s="1654"/>
    </row>
    <row r="202" spans="1:19">
      <c r="A202" s="1654" t="s">
        <v>795</v>
      </c>
      <c r="B202" s="1654"/>
      <c r="C202" s="1654"/>
      <c r="D202" s="1654"/>
      <c r="E202" s="1654"/>
      <c r="F202" s="1654"/>
      <c r="G202" s="1654"/>
      <c r="H202" s="1654"/>
    </row>
    <row r="203" spans="1:19">
      <c r="A203" s="418" t="s">
        <v>796</v>
      </c>
    </row>
    <row r="204" spans="1:19">
      <c r="A204" s="418" t="s">
        <v>797</v>
      </c>
    </row>
    <row r="205" spans="1:19">
      <c r="A205" s="480" t="s">
        <v>857</v>
      </c>
      <c r="B205" s="424"/>
      <c r="C205" s="424"/>
      <c r="D205" s="424"/>
      <c r="E205" s="424"/>
      <c r="F205" s="424"/>
      <c r="G205" s="424"/>
      <c r="L205" s="413"/>
    </row>
    <row r="206" spans="1:19">
      <c r="A206" s="424"/>
      <c r="B206" s="424"/>
      <c r="C206" s="424"/>
      <c r="D206" s="424"/>
      <c r="E206" s="424"/>
      <c r="F206" s="424"/>
      <c r="G206" s="424"/>
    </row>
    <row r="207" spans="1:19">
      <c r="A207" s="424"/>
      <c r="B207" s="455">
        <v>421298038880</v>
      </c>
      <c r="C207" s="455">
        <v>394845999139</v>
      </c>
      <c r="D207" s="455">
        <v>776184648449</v>
      </c>
      <c r="E207" s="455">
        <v>1197482687329</v>
      </c>
      <c r="F207" s="455">
        <v>1171030647588</v>
      </c>
      <c r="G207" s="455">
        <v>11259611998.497469</v>
      </c>
    </row>
    <row r="208" spans="1:19">
      <c r="B208" s="479">
        <f>B196-B207</f>
        <v>251786653</v>
      </c>
      <c r="C208" s="479">
        <f t="shared" ref="C208:G208" si="4">C196-C207</f>
        <v>589071114</v>
      </c>
      <c r="D208" s="479">
        <f t="shared" si="4"/>
        <v>830072853</v>
      </c>
      <c r="E208" s="479">
        <f t="shared" si="4"/>
        <v>1081859506</v>
      </c>
      <c r="F208" s="479">
        <f t="shared" si="4"/>
        <v>1419143967</v>
      </c>
      <c r="G208" s="479">
        <f t="shared" si="4"/>
        <v>394972400.20269585</v>
      </c>
    </row>
    <row r="209" spans="2:7">
      <c r="B209" s="425"/>
      <c r="C209" s="425"/>
      <c r="D209" s="425"/>
      <c r="E209" s="425"/>
      <c r="F209" s="425"/>
      <c r="G209" s="425"/>
    </row>
    <row r="210" spans="2:7">
      <c r="B210" s="425"/>
      <c r="C210" s="425"/>
      <c r="D210" s="425"/>
      <c r="E210" s="425"/>
      <c r="F210" s="425"/>
      <c r="G210" s="425"/>
    </row>
    <row r="211" spans="2:7">
      <c r="B211" s="402"/>
      <c r="C211" s="402"/>
      <c r="D211" s="402"/>
      <c r="E211" s="402"/>
      <c r="F211" s="402"/>
      <c r="G211" s="402"/>
    </row>
    <row r="212" spans="2:7">
      <c r="B212" s="402"/>
      <c r="C212" s="402"/>
      <c r="D212" s="402"/>
      <c r="E212" s="402"/>
      <c r="F212" s="402"/>
      <c r="G212" s="402"/>
    </row>
    <row r="214" spans="2:7">
      <c r="B214" s="402"/>
      <c r="C214" s="402"/>
      <c r="D214" s="402"/>
      <c r="E214" s="402"/>
      <c r="F214" s="402"/>
      <c r="G214" s="402"/>
    </row>
  </sheetData>
  <mergeCells count="19">
    <mergeCell ref="L198:S198"/>
    <mergeCell ref="A2:H2"/>
    <mergeCell ref="L2:S2"/>
    <mergeCell ref="A43:H43"/>
    <mergeCell ref="L55:S55"/>
    <mergeCell ref="L57:S57"/>
    <mergeCell ref="M77:R77"/>
    <mergeCell ref="A84:H84"/>
    <mergeCell ref="L108:S108"/>
    <mergeCell ref="L110:S110"/>
    <mergeCell ref="A125:H125"/>
    <mergeCell ref="A166:H166"/>
    <mergeCell ref="A202:H202"/>
    <mergeCell ref="A199:H199"/>
    <mergeCell ref="L199:S199"/>
    <mergeCell ref="A200:H200"/>
    <mergeCell ref="L200:S200"/>
    <mergeCell ref="A201:H201"/>
    <mergeCell ref="L201:S201"/>
  </mergeCells>
  <printOptions horizontalCentered="1"/>
  <pageMargins left="0.25" right="0.25" top="0.7" bottom="1.18" header="0.25" footer="0.4"/>
  <pageSetup fitToHeight="5"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175"/>
  <sheetViews>
    <sheetView zoomScaleNormal="100" workbookViewId="0"/>
  </sheetViews>
  <sheetFormatPr defaultColWidth="8.7265625" defaultRowHeight="11.5"/>
  <cols>
    <col min="1" max="1" width="14.7265625" style="620" customWidth="1"/>
    <col min="2" max="2" width="17.7265625" style="620" customWidth="1"/>
    <col min="3" max="3" width="16.7265625" style="620" customWidth="1"/>
    <col min="4" max="4" width="15.7265625" style="620" customWidth="1"/>
    <col min="5" max="5" width="16.7265625" style="620" customWidth="1"/>
    <col min="6" max="6" width="21.54296875" style="620" bestFit="1" customWidth="1"/>
    <col min="7" max="7" width="11.7265625" style="620" customWidth="1"/>
    <col min="8" max="8" width="15.453125" style="620" bestFit="1" customWidth="1"/>
    <col min="9" max="9" width="7" style="706" bestFit="1" customWidth="1"/>
    <col min="10" max="16384" width="8.7265625" style="620"/>
  </cols>
  <sheetData>
    <row r="1" spans="1:9" s="634" customFormat="1" ht="15.5">
      <c r="A1" s="781" t="s">
        <v>798</v>
      </c>
      <c r="I1" s="811" t="s">
        <v>954</v>
      </c>
    </row>
    <row r="2" spans="1:9" s="641" customFormat="1" ht="13">
      <c r="A2" s="810" t="s">
        <v>1320</v>
      </c>
      <c r="B2" s="810"/>
      <c r="C2" s="810"/>
      <c r="D2" s="810"/>
      <c r="E2" s="810"/>
      <c r="F2" s="810"/>
      <c r="G2" s="810"/>
      <c r="H2" s="810"/>
      <c r="I2" s="729"/>
    </row>
    <row r="3" spans="1:9" s="634" customFormat="1" ht="6" customHeight="1" thickBot="1">
      <c r="A3" s="623"/>
      <c r="B3" s="622"/>
      <c r="C3" s="622"/>
      <c r="D3" s="622"/>
      <c r="E3" s="622"/>
      <c r="F3" s="622"/>
      <c r="G3" s="622"/>
      <c r="H3" s="622"/>
      <c r="I3" s="728"/>
    </row>
    <row r="4" spans="1:9" ht="12" customHeight="1">
      <c r="A4" s="734"/>
      <c r="B4" s="735"/>
      <c r="C4" s="879" t="s">
        <v>801</v>
      </c>
      <c r="D4" s="873"/>
      <c r="E4" s="873"/>
      <c r="F4" s="735"/>
      <c r="G4" s="735"/>
      <c r="H4" s="735"/>
    </row>
    <row r="5" spans="1:9" ht="24" customHeight="1">
      <c r="A5" s="1223" t="s">
        <v>18</v>
      </c>
      <c r="B5" s="1224" t="s">
        <v>987</v>
      </c>
      <c r="C5" s="733" t="s">
        <v>806</v>
      </c>
      <c r="D5" s="733" t="s">
        <v>807</v>
      </c>
      <c r="E5" s="733" t="s">
        <v>808</v>
      </c>
      <c r="F5" s="1224" t="s">
        <v>988</v>
      </c>
      <c r="G5" s="1224" t="s">
        <v>986</v>
      </c>
      <c r="H5" s="1224" t="s">
        <v>989</v>
      </c>
    </row>
    <row r="6" spans="1:9" ht="18" customHeight="1">
      <c r="A6" s="620" t="s">
        <v>47</v>
      </c>
      <c r="B6" s="1563">
        <f>IF('6.2'!E6=0,"",'6.2'!E6)</f>
        <v>4313648800</v>
      </c>
      <c r="C6" s="625">
        <v>534287300</v>
      </c>
      <c r="D6" s="625">
        <v>229122599</v>
      </c>
      <c r="E6" s="1563">
        <f>IF(SUM(C6:D6)=0,"",SUM(C6:D6))</f>
        <v>763409899</v>
      </c>
      <c r="F6" s="1564">
        <f>IFERROR(B6+E6,"")</f>
        <v>5077058699</v>
      </c>
      <c r="G6" s="1565">
        <f>IFERROR(E6/F6,"")</f>
        <v>0.15036459971407551</v>
      </c>
      <c r="H6" s="625">
        <v>4542288.8991</v>
      </c>
      <c r="I6" s="730"/>
    </row>
    <row r="7" spans="1:9" ht="11.25" customHeight="1">
      <c r="A7" s="620" t="s">
        <v>49</v>
      </c>
      <c r="B7" s="629">
        <f>IF('6.2'!E7=0,"",'6.2'!E7)</f>
        <v>28126977429</v>
      </c>
      <c r="C7" s="626">
        <v>3177282900</v>
      </c>
      <c r="D7" s="626">
        <v>1173295000</v>
      </c>
      <c r="E7" s="629">
        <f>IF(SUM(C7:D7)=0,"",SUM(C7:D7))</f>
        <v>4350577900</v>
      </c>
      <c r="F7" s="1566">
        <f>IFERROR(B7+E7,"")</f>
        <v>32477555329</v>
      </c>
      <c r="G7" s="1565">
        <f t="shared" ref="G7:G35" si="0">IFERROR(E7/F7,"")</f>
        <v>0.13395644641132404</v>
      </c>
      <c r="H7" s="626">
        <v>37153935.266000003</v>
      </c>
      <c r="I7" s="730"/>
    </row>
    <row r="8" spans="1:9" ht="11.25" customHeight="1">
      <c r="A8" s="620" t="s">
        <v>51</v>
      </c>
      <c r="B8" s="629">
        <f>IF('6.2'!E8=0,"",'6.2'!E8)</f>
        <v>1144839500</v>
      </c>
      <c r="C8" s="626">
        <v>221552400</v>
      </c>
      <c r="D8" s="626">
        <v>71707900</v>
      </c>
      <c r="E8" s="629">
        <f t="shared" ref="E8:E35" si="1">IF(SUM(C8:D8)=0,"",SUM(C8:D8))</f>
        <v>293260300</v>
      </c>
      <c r="F8" s="1566">
        <f t="shared" ref="F8:F35" si="2">IFERROR(B8+E8,"")</f>
        <v>1438099800</v>
      </c>
      <c r="G8" s="1565">
        <f t="shared" si="0"/>
        <v>0.20392207828691722</v>
      </c>
      <c r="H8" s="626">
        <v>2140800.19</v>
      </c>
      <c r="I8" s="730"/>
    </row>
    <row r="9" spans="1:9" ht="11.25" customHeight="1">
      <c r="A9" s="620" t="s">
        <v>53</v>
      </c>
      <c r="B9" s="629">
        <f>IF('6.2'!E9=0,"",'6.2'!E9)</f>
        <v>1837627222</v>
      </c>
      <c r="C9" s="626">
        <v>34811500</v>
      </c>
      <c r="D9" s="626">
        <v>59580300</v>
      </c>
      <c r="E9" s="629">
        <f t="shared" si="1"/>
        <v>94391800</v>
      </c>
      <c r="F9" s="1566">
        <f t="shared" si="2"/>
        <v>1932019022</v>
      </c>
      <c r="G9" s="1565">
        <f t="shared" si="0"/>
        <v>4.885655830773699E-2</v>
      </c>
      <c r="H9" s="626">
        <v>358688.84</v>
      </c>
      <c r="I9" s="730"/>
    </row>
    <row r="10" spans="1:9" ht="11.25" customHeight="1">
      <c r="A10" s="620" t="s">
        <v>55</v>
      </c>
      <c r="B10" s="629">
        <f>IF('6.2'!E10=0,"",'6.2'!E10)</f>
        <v>2834588200</v>
      </c>
      <c r="C10" s="626">
        <v>245587700</v>
      </c>
      <c r="D10" s="626">
        <v>342257600</v>
      </c>
      <c r="E10" s="629">
        <f t="shared" si="1"/>
        <v>587845300</v>
      </c>
      <c r="F10" s="1566">
        <f t="shared" si="2"/>
        <v>3422433500</v>
      </c>
      <c r="G10" s="1565">
        <f t="shared" si="0"/>
        <v>0.17176237317686377</v>
      </c>
      <c r="H10" s="626">
        <v>3585856.33</v>
      </c>
      <c r="I10" s="730"/>
    </row>
    <row r="11" spans="1:9" ht="18" customHeight="1">
      <c r="A11" s="620" t="s">
        <v>57</v>
      </c>
      <c r="B11" s="629">
        <f>IF('6.2'!E11=0,"",'6.2'!E11)</f>
        <v>1509509000</v>
      </c>
      <c r="C11" s="626">
        <v>93522300</v>
      </c>
      <c r="D11" s="626">
        <v>90060700</v>
      </c>
      <c r="E11" s="629">
        <f t="shared" si="1"/>
        <v>183583000</v>
      </c>
      <c r="F11" s="1566">
        <f t="shared" si="2"/>
        <v>1693092000</v>
      </c>
      <c r="G11" s="1565">
        <f t="shared" si="0"/>
        <v>0.10843061097684001</v>
      </c>
      <c r="H11" s="626">
        <v>1156572.8999999999</v>
      </c>
      <c r="I11" s="730"/>
    </row>
    <row r="12" spans="1:9" ht="11.25" customHeight="1">
      <c r="A12" s="620" t="s">
        <v>335</v>
      </c>
      <c r="B12" s="629">
        <f>IF('6.2'!E12=0,"",'6.2'!E12)</f>
        <v>89197941100</v>
      </c>
      <c r="C12" s="626">
        <v>8380215100</v>
      </c>
      <c r="D12" s="626">
        <v>1338609600</v>
      </c>
      <c r="E12" s="629">
        <f t="shared" si="1"/>
        <v>9718824700</v>
      </c>
      <c r="F12" s="1566">
        <f t="shared" si="2"/>
        <v>98916765800</v>
      </c>
      <c r="G12" s="1565">
        <f t="shared" si="0"/>
        <v>9.8252552248326741E-2</v>
      </c>
      <c r="H12" s="626">
        <v>100395459.15099999</v>
      </c>
      <c r="I12" s="730"/>
    </row>
    <row r="13" spans="1:9" ht="11.25" customHeight="1">
      <c r="A13" s="620" t="s">
        <v>61</v>
      </c>
      <c r="B13" s="629">
        <f>IF('6.2'!E13=0,"",'6.2'!E13)</f>
        <v>9130024500</v>
      </c>
      <c r="C13" s="626">
        <v>596499200</v>
      </c>
      <c r="D13" s="626">
        <v>786787300</v>
      </c>
      <c r="E13" s="629">
        <f t="shared" si="1"/>
        <v>1383286500</v>
      </c>
      <c r="F13" s="1566">
        <f t="shared" si="2"/>
        <v>10513311000</v>
      </c>
      <c r="G13" s="1565">
        <f t="shared" si="0"/>
        <v>0.13157477221020095</v>
      </c>
      <c r="H13" s="626">
        <v>8714704.9499999993</v>
      </c>
      <c r="I13" s="730"/>
    </row>
    <row r="14" spans="1:9" ht="11.25" customHeight="1">
      <c r="A14" s="620" t="s">
        <v>63</v>
      </c>
      <c r="B14" s="629">
        <f>IF('6.2'!E14=0,"",'6.2'!E14)</f>
        <v>978953800</v>
      </c>
      <c r="C14" s="626">
        <v>257651600</v>
      </c>
      <c r="D14" s="626">
        <v>55269400</v>
      </c>
      <c r="E14" s="629">
        <f t="shared" si="1"/>
        <v>312921000</v>
      </c>
      <c r="F14" s="1566">
        <f t="shared" si="2"/>
        <v>1291874800</v>
      </c>
      <c r="G14" s="1565">
        <f t="shared" si="0"/>
        <v>0.24222238873302585</v>
      </c>
      <c r="H14" s="626">
        <v>1877526</v>
      </c>
      <c r="I14" s="730"/>
    </row>
    <row r="15" spans="1:9" ht="11.25" customHeight="1">
      <c r="A15" s="620" t="s">
        <v>785</v>
      </c>
      <c r="B15" s="629">
        <f>IF('6.2'!E15=0,"",'6.2'!E15)</f>
        <v>13817350200</v>
      </c>
      <c r="C15" s="626">
        <v>392298300</v>
      </c>
      <c r="D15" s="626">
        <v>644099800</v>
      </c>
      <c r="E15" s="629">
        <f t="shared" si="1"/>
        <v>1036398100</v>
      </c>
      <c r="F15" s="1566">
        <f t="shared" si="2"/>
        <v>14853748300</v>
      </c>
      <c r="G15" s="1565">
        <f t="shared" si="0"/>
        <v>6.9773506260369308E-2</v>
      </c>
      <c r="H15" s="626">
        <v>4249232.21</v>
      </c>
      <c r="I15" s="730"/>
    </row>
    <row r="16" spans="1:9" ht="18" customHeight="1">
      <c r="A16" s="620" t="s">
        <v>66</v>
      </c>
      <c r="B16" s="629">
        <f>IF('6.2'!E16=0,"",'6.2'!E16)</f>
        <v>626545800</v>
      </c>
      <c r="C16" s="626">
        <v>132525300</v>
      </c>
      <c r="D16" s="626">
        <v>30176900</v>
      </c>
      <c r="E16" s="629">
        <f t="shared" si="1"/>
        <v>162702200</v>
      </c>
      <c r="F16" s="1566">
        <f t="shared" si="2"/>
        <v>789248000</v>
      </c>
      <c r="G16" s="1565">
        <f t="shared" si="0"/>
        <v>0.20614838428478754</v>
      </c>
      <c r="H16" s="626">
        <v>976213.2</v>
      </c>
      <c r="I16" s="730"/>
    </row>
    <row r="17" spans="1:9" ht="11.25" customHeight="1">
      <c r="A17" s="620" t="s">
        <v>68</v>
      </c>
      <c r="B17" s="629">
        <f>IF('6.2'!E17=0,"",'6.2'!E17)</f>
        <v>4302897730</v>
      </c>
      <c r="C17" s="626">
        <v>202280200</v>
      </c>
      <c r="D17" s="626">
        <v>248522600</v>
      </c>
      <c r="E17" s="629">
        <f t="shared" si="1"/>
        <v>450802800</v>
      </c>
      <c r="F17" s="1566">
        <f t="shared" si="2"/>
        <v>4753700530</v>
      </c>
      <c r="G17" s="1565">
        <f t="shared" si="0"/>
        <v>9.4831972934567674E-2</v>
      </c>
      <c r="H17" s="626">
        <v>3561342.12</v>
      </c>
      <c r="I17" s="730"/>
    </row>
    <row r="18" spans="1:9" ht="11.25" customHeight="1">
      <c r="A18" s="620" t="s">
        <v>70</v>
      </c>
      <c r="B18" s="629">
        <f>IF('6.2'!E18=0,"",'6.2'!E18)</f>
        <v>1342025028</v>
      </c>
      <c r="C18" s="626">
        <v>193232700</v>
      </c>
      <c r="D18" s="626">
        <v>46766000</v>
      </c>
      <c r="E18" s="629">
        <f t="shared" si="1"/>
        <v>239998700</v>
      </c>
      <c r="F18" s="1566">
        <f t="shared" si="2"/>
        <v>1582023728</v>
      </c>
      <c r="G18" s="1565">
        <f t="shared" si="0"/>
        <v>0.15170360327237772</v>
      </c>
      <c r="H18" s="626">
        <v>1559991.55</v>
      </c>
      <c r="I18" s="730"/>
    </row>
    <row r="19" spans="1:9" ht="11.25" customHeight="1">
      <c r="A19" s="620" t="s">
        <v>72</v>
      </c>
      <c r="B19" s="629">
        <f>IF('6.2'!E19=0,"",'6.2'!E19)</f>
        <v>2181170698</v>
      </c>
      <c r="C19" s="626">
        <v>409216137</v>
      </c>
      <c r="D19" s="626">
        <v>104046901</v>
      </c>
      <c r="E19" s="629">
        <f t="shared" si="1"/>
        <v>513263038</v>
      </c>
      <c r="F19" s="1566">
        <f t="shared" si="2"/>
        <v>2694433736</v>
      </c>
      <c r="G19" s="1565">
        <f t="shared" si="0"/>
        <v>0.19049013198667877</v>
      </c>
      <c r="H19" s="626">
        <v>2001725.8481999999</v>
      </c>
      <c r="I19" s="730"/>
    </row>
    <row r="20" spans="1:9" ht="11.25" customHeight="1">
      <c r="A20" s="620" t="s">
        <v>74</v>
      </c>
      <c r="B20" s="629">
        <f>IF('6.2'!E20=0,"",'6.2'!E20)</f>
        <v>1627546199</v>
      </c>
      <c r="C20" s="626">
        <v>73312155</v>
      </c>
      <c r="D20" s="626">
        <v>498721100</v>
      </c>
      <c r="E20" s="629">
        <f t="shared" si="1"/>
        <v>572033255</v>
      </c>
      <c r="F20" s="1566">
        <f t="shared" si="2"/>
        <v>2199579454</v>
      </c>
      <c r="G20" s="1565">
        <f t="shared" si="0"/>
        <v>0.26006482919257162</v>
      </c>
      <c r="H20" s="626">
        <v>3146182.9024999999</v>
      </c>
      <c r="I20" s="730"/>
    </row>
    <row r="21" spans="1:9" ht="18" customHeight="1">
      <c r="A21" s="620" t="s">
        <v>76</v>
      </c>
      <c r="B21" s="629">
        <f>IF('6.2'!E21=0,"",'6.2'!E21)</f>
        <v>6218916811</v>
      </c>
      <c r="C21" s="626">
        <v>164134800</v>
      </c>
      <c r="D21" s="626">
        <v>405256600</v>
      </c>
      <c r="E21" s="629">
        <f t="shared" si="1"/>
        <v>569391400</v>
      </c>
      <c r="F21" s="1566">
        <f t="shared" si="2"/>
        <v>6788308211</v>
      </c>
      <c r="G21" s="1565">
        <f t="shared" si="0"/>
        <v>8.3878248055581694E-2</v>
      </c>
      <c r="H21" s="626">
        <v>2562261.2999999998</v>
      </c>
      <c r="I21" s="730"/>
    </row>
    <row r="22" spans="1:9" ht="11.25" customHeight="1">
      <c r="A22" s="620" t="s">
        <v>78</v>
      </c>
      <c r="B22" s="629">
        <f>IF('6.2'!E22=0,"",'6.2'!E22)</f>
        <v>3646733430</v>
      </c>
      <c r="C22" s="626">
        <v>454099500</v>
      </c>
      <c r="D22" s="626">
        <v>180927400</v>
      </c>
      <c r="E22" s="629">
        <f t="shared" si="1"/>
        <v>635026900</v>
      </c>
      <c r="F22" s="1566">
        <f t="shared" si="2"/>
        <v>4281760330</v>
      </c>
      <c r="G22" s="1565">
        <f t="shared" si="0"/>
        <v>0.14830977239681231</v>
      </c>
      <c r="H22" s="626">
        <v>4889707.13</v>
      </c>
      <c r="I22" s="730"/>
    </row>
    <row r="23" spans="1:9" ht="11.25" customHeight="1">
      <c r="A23" s="620" t="s">
        <v>80</v>
      </c>
      <c r="B23" s="629">
        <f>IF('6.2'!E23=0,"",'6.2'!E23)</f>
        <v>2622377600</v>
      </c>
      <c r="C23" s="626">
        <v>140379300</v>
      </c>
      <c r="D23" s="626">
        <v>72622100</v>
      </c>
      <c r="E23" s="629">
        <f t="shared" si="1"/>
        <v>213001400</v>
      </c>
      <c r="F23" s="1566">
        <f t="shared" si="2"/>
        <v>2835379000</v>
      </c>
      <c r="G23" s="1565">
        <f t="shared" si="0"/>
        <v>7.5122726097639855E-2</v>
      </c>
      <c r="H23" s="626">
        <v>1256708.26</v>
      </c>
      <c r="I23" s="730"/>
    </row>
    <row r="24" spans="1:9" ht="11.25" customHeight="1">
      <c r="A24" s="620" t="s">
        <v>82</v>
      </c>
      <c r="B24" s="629">
        <f>IF('6.2'!E24=0,"",'6.2'!E24)</f>
        <v>1034865700</v>
      </c>
      <c r="C24" s="626">
        <v>67570200</v>
      </c>
      <c r="D24" s="626">
        <v>15509400</v>
      </c>
      <c r="E24" s="629">
        <f t="shared" si="1"/>
        <v>83079600</v>
      </c>
      <c r="F24" s="1566">
        <f t="shared" si="2"/>
        <v>1117945300</v>
      </c>
      <c r="G24" s="1565">
        <f t="shared" si="0"/>
        <v>7.431454830571764E-2</v>
      </c>
      <c r="H24" s="626">
        <v>548325.36</v>
      </c>
      <c r="I24" s="730"/>
    </row>
    <row r="25" spans="1:9" ht="11.25" customHeight="1">
      <c r="A25" s="620" t="s">
        <v>84</v>
      </c>
      <c r="B25" s="629">
        <f>IF('6.2'!E25=0,"",'6.2'!E25)</f>
        <v>1021004229</v>
      </c>
      <c r="C25" s="626">
        <v>39118727</v>
      </c>
      <c r="D25" s="626">
        <v>65679156</v>
      </c>
      <c r="E25" s="629">
        <f t="shared" si="1"/>
        <v>104797883</v>
      </c>
      <c r="F25" s="1566">
        <f t="shared" si="2"/>
        <v>1125802112</v>
      </c>
      <c r="G25" s="1565">
        <f t="shared" si="0"/>
        <v>9.3087303605982219E-2</v>
      </c>
      <c r="H25" s="626">
        <v>649746.87459999998</v>
      </c>
      <c r="I25" s="730"/>
    </row>
    <row r="26" spans="1:9" ht="18" customHeight="1">
      <c r="A26" s="620" t="s">
        <v>86</v>
      </c>
      <c r="B26" s="629">
        <f>IF('6.2'!E26=0,"",'6.2'!E26)</f>
        <v>55780707500</v>
      </c>
      <c r="C26" s="626">
        <v>2979382500</v>
      </c>
      <c r="D26" s="626">
        <v>881249800</v>
      </c>
      <c r="E26" s="629">
        <f t="shared" si="1"/>
        <v>3860632300</v>
      </c>
      <c r="F26" s="1566">
        <f t="shared" si="2"/>
        <v>59641339800</v>
      </c>
      <c r="G26" s="1565">
        <f t="shared" si="0"/>
        <v>6.4730811094220256E-2</v>
      </c>
      <c r="H26" s="626">
        <v>35131753.93</v>
      </c>
      <c r="I26" s="730"/>
    </row>
    <row r="27" spans="1:9" ht="11.25" customHeight="1">
      <c r="A27" s="620" t="s">
        <v>88</v>
      </c>
      <c r="B27" s="629">
        <f>IF('6.2'!E27=0,"",'6.2'!E27)</f>
        <v>2578576300</v>
      </c>
      <c r="C27" s="626">
        <v>71868100</v>
      </c>
      <c r="D27" s="626">
        <v>115774500</v>
      </c>
      <c r="E27" s="629">
        <f t="shared" si="1"/>
        <v>187642600</v>
      </c>
      <c r="F27" s="1566">
        <f t="shared" si="2"/>
        <v>2766218900</v>
      </c>
      <c r="G27" s="1565">
        <f t="shared" si="0"/>
        <v>6.7833604925481489E-2</v>
      </c>
      <c r="H27" s="626">
        <v>1125855.6000000001</v>
      </c>
      <c r="I27" s="730"/>
    </row>
    <row r="28" spans="1:9" ht="11.25" customHeight="1">
      <c r="A28" s="620" t="s">
        <v>90</v>
      </c>
      <c r="B28" s="629">
        <f>IF('6.2'!E28=0,"",'6.2'!E28)</f>
        <v>532035900</v>
      </c>
      <c r="C28" s="626">
        <v>94880900</v>
      </c>
      <c r="D28" s="626">
        <v>31158600</v>
      </c>
      <c r="E28" s="629">
        <f t="shared" si="1"/>
        <v>126039500</v>
      </c>
      <c r="F28" s="1566">
        <f t="shared" si="2"/>
        <v>658075400</v>
      </c>
      <c r="G28" s="1565">
        <f t="shared" si="0"/>
        <v>0.19152744503137484</v>
      </c>
      <c r="H28" s="626">
        <v>794048.85</v>
      </c>
      <c r="I28" s="730"/>
    </row>
    <row r="29" spans="1:9" ht="11.25" customHeight="1">
      <c r="A29" s="620" t="s">
        <v>92</v>
      </c>
      <c r="B29" s="629">
        <f>IF('6.2'!E29=0,"",'6.2'!E29)</f>
        <v>8995574213</v>
      </c>
      <c r="C29" s="626">
        <v>337750900</v>
      </c>
      <c r="D29" s="626">
        <v>342128000</v>
      </c>
      <c r="E29" s="629">
        <f t="shared" si="1"/>
        <v>679878900</v>
      </c>
      <c r="F29" s="1566">
        <f t="shared" si="2"/>
        <v>9675453113</v>
      </c>
      <c r="G29" s="1565">
        <f t="shared" si="0"/>
        <v>7.02684300217951E-2</v>
      </c>
      <c r="H29" s="626">
        <v>3127442.94</v>
      </c>
      <c r="I29" s="730"/>
    </row>
    <row r="30" spans="1:9" ht="11.25" customHeight="1">
      <c r="A30" s="620" t="s">
        <v>94</v>
      </c>
      <c r="B30" s="629">
        <f>IF('6.2'!E30=0,"",'6.2'!E30)</f>
        <v>994524020</v>
      </c>
      <c r="C30" s="626">
        <v>63903540</v>
      </c>
      <c r="D30" s="626">
        <v>75143750</v>
      </c>
      <c r="E30" s="629">
        <f t="shared" si="1"/>
        <v>139047290</v>
      </c>
      <c r="F30" s="1566">
        <f t="shared" si="2"/>
        <v>1133571310</v>
      </c>
      <c r="G30" s="1565">
        <f t="shared" si="0"/>
        <v>0.1226630285835304</v>
      </c>
      <c r="H30" s="626">
        <v>1042854.675</v>
      </c>
      <c r="I30" s="730"/>
    </row>
    <row r="31" spans="1:9" ht="18" customHeight="1">
      <c r="A31" s="620" t="s">
        <v>96</v>
      </c>
      <c r="B31" s="629">
        <f>IF('6.2'!E31=0,"",'6.2'!E31)</f>
        <v>1190108287</v>
      </c>
      <c r="C31" s="626">
        <v>176977200</v>
      </c>
      <c r="D31" s="626">
        <v>46928400</v>
      </c>
      <c r="E31" s="629">
        <f t="shared" si="1"/>
        <v>223905600</v>
      </c>
      <c r="F31" s="1566">
        <f t="shared" si="2"/>
        <v>1414013887</v>
      </c>
      <c r="G31" s="1565">
        <f t="shared" si="0"/>
        <v>0.15834752547942976</v>
      </c>
      <c r="H31" s="626">
        <v>1343433.6</v>
      </c>
      <c r="I31" s="730"/>
    </row>
    <row r="32" spans="1:9" ht="11.25" customHeight="1">
      <c r="A32" s="620" t="s">
        <v>401</v>
      </c>
      <c r="B32" s="629">
        <f>IF('6.2'!E32=0,"",'6.2'!E32)</f>
        <v>2858498602.5</v>
      </c>
      <c r="C32" s="626">
        <v>219342160</v>
      </c>
      <c r="D32" s="626">
        <v>179502391</v>
      </c>
      <c r="E32" s="629">
        <f t="shared" si="1"/>
        <v>398844551</v>
      </c>
      <c r="F32" s="1566">
        <f t="shared" si="2"/>
        <v>3257343153.5</v>
      </c>
      <c r="G32" s="1565">
        <f t="shared" si="0"/>
        <v>0.12244474475200545</v>
      </c>
      <c r="H32" s="626">
        <v>3150871.9528999999</v>
      </c>
      <c r="I32" s="730"/>
    </row>
    <row r="33" spans="1:9" ht="11.25" customHeight="1">
      <c r="A33" s="620" t="s">
        <v>100</v>
      </c>
      <c r="B33" s="629">
        <f>IF('6.2'!E33=0,"",'6.2'!E33)</f>
        <v>1626278637</v>
      </c>
      <c r="C33" s="626">
        <v>35775339</v>
      </c>
      <c r="D33" s="626">
        <v>76465383</v>
      </c>
      <c r="E33" s="629">
        <f t="shared" si="1"/>
        <v>112240722</v>
      </c>
      <c r="F33" s="1566">
        <f t="shared" si="2"/>
        <v>1738519359</v>
      </c>
      <c r="G33" s="1565">
        <f t="shared" si="0"/>
        <v>6.4561099891669374E-2</v>
      </c>
      <c r="H33" s="626">
        <v>819357.27060000005</v>
      </c>
      <c r="I33" s="730"/>
    </row>
    <row r="34" spans="1:9" ht="11.25" customHeight="1">
      <c r="A34" s="620" t="s">
        <v>102</v>
      </c>
      <c r="B34" s="629">
        <f>IF('6.2'!E34=0,"",'6.2'!E34)</f>
        <v>315270060950</v>
      </c>
      <c r="C34" s="626">
        <v>16110744230</v>
      </c>
      <c r="D34" s="626">
        <v>6888248680</v>
      </c>
      <c r="E34" s="629">
        <f t="shared" si="1"/>
        <v>22998992910</v>
      </c>
      <c r="F34" s="1566">
        <f t="shared" si="2"/>
        <v>338269053860</v>
      </c>
      <c r="G34" s="1565">
        <f t="shared" si="0"/>
        <v>6.7990236315021102E-2</v>
      </c>
      <c r="H34" s="626">
        <v>251838972.36449999</v>
      </c>
      <c r="I34" s="730"/>
    </row>
    <row r="35" spans="1:9" ht="11.25" customHeight="1">
      <c r="A35" s="620" t="s">
        <v>104</v>
      </c>
      <c r="B35" s="629">
        <f>IF('6.2'!E35=0,"",'6.2'!E35)</f>
        <v>17151180500</v>
      </c>
      <c r="C35" s="626">
        <v>790523600</v>
      </c>
      <c r="D35" s="626">
        <v>265035300</v>
      </c>
      <c r="E35" s="629">
        <f t="shared" si="1"/>
        <v>1055558900</v>
      </c>
      <c r="F35" s="1566">
        <f t="shared" si="2"/>
        <v>18206739400</v>
      </c>
      <c r="G35" s="1565">
        <f t="shared" si="0"/>
        <v>5.7976273335356245E-2</v>
      </c>
      <c r="H35" s="626">
        <v>9953920.4269999992</v>
      </c>
      <c r="I35" s="730"/>
    </row>
    <row r="36" spans="1:9" ht="15.5">
      <c r="A36" s="781" t="s">
        <v>810</v>
      </c>
      <c r="B36" s="634"/>
      <c r="C36" s="634"/>
      <c r="D36" s="634"/>
      <c r="E36" s="634"/>
      <c r="F36" s="874"/>
      <c r="G36" s="634"/>
      <c r="H36" s="634"/>
    </row>
    <row r="37" spans="1:9" s="612" customFormat="1" ht="13">
      <c r="A37" s="810" t="str">
        <f>A2</f>
        <v>Comparison of Tax Exempt Value to Total Fair Market Value (FMV) of Real Estate by Locality - Tax Year 2023</v>
      </c>
      <c r="B37" s="810"/>
      <c r="C37" s="810"/>
      <c r="D37" s="810"/>
      <c r="E37" s="810"/>
      <c r="F37" s="875"/>
      <c r="G37" s="810"/>
      <c r="H37" s="810"/>
      <c r="I37" s="731"/>
    </row>
    <row r="38" spans="1:9" s="634" customFormat="1" ht="6" customHeight="1" thickBot="1">
      <c r="A38" s="623"/>
      <c r="B38" s="622"/>
      <c r="C38" s="622"/>
      <c r="D38" s="622"/>
      <c r="E38" s="622"/>
      <c r="F38" s="622"/>
      <c r="G38" s="622"/>
      <c r="H38" s="622"/>
      <c r="I38" s="728"/>
    </row>
    <row r="39" spans="1:9" ht="12" customHeight="1">
      <c r="A39" s="734"/>
      <c r="B39" s="735"/>
      <c r="C39" s="879" t="s">
        <v>801</v>
      </c>
      <c r="D39" s="873"/>
      <c r="E39" s="873"/>
      <c r="F39" s="735"/>
      <c r="G39" s="735"/>
      <c r="H39" s="735"/>
    </row>
    <row r="40" spans="1:9" ht="24" customHeight="1">
      <c r="A40" s="1223" t="s">
        <v>18</v>
      </c>
      <c r="B40" s="1224" t="s">
        <v>987</v>
      </c>
      <c r="C40" s="733" t="s">
        <v>806</v>
      </c>
      <c r="D40" s="733" t="s">
        <v>807</v>
      </c>
      <c r="E40" s="733" t="s">
        <v>808</v>
      </c>
      <c r="F40" s="1224" t="s">
        <v>988</v>
      </c>
      <c r="G40" s="1224" t="s">
        <v>986</v>
      </c>
      <c r="H40" s="1224" t="s">
        <v>989</v>
      </c>
    </row>
    <row r="41" spans="1:9" ht="18" customHeight="1">
      <c r="A41" s="620" t="s">
        <v>106</v>
      </c>
      <c r="B41" s="1563">
        <f>IF('6.2'!E41=0,"",'6.2'!E41)</f>
        <v>1946220000</v>
      </c>
      <c r="C41" s="625">
        <v>113273100</v>
      </c>
      <c r="D41" s="625">
        <v>37066600</v>
      </c>
      <c r="E41" s="1563">
        <f t="shared" ref="E41:E70" si="3">IF(SUM(C41:D41)=0,"",SUM(C41:D41))</f>
        <v>150339700</v>
      </c>
      <c r="F41" s="1564">
        <f t="shared" ref="F41:F70" si="4">IFERROR(B41+E41,"")</f>
        <v>2096559700</v>
      </c>
      <c r="G41" s="1565">
        <f t="shared" ref="G41:G70" si="5">IFERROR(E41/F41,"")</f>
        <v>7.1707807795790404E-2</v>
      </c>
      <c r="H41" s="625">
        <v>977208.05</v>
      </c>
      <c r="I41" s="730"/>
    </row>
    <row r="42" spans="1:9" ht="11.25" customHeight="1">
      <c r="A42" s="620" t="s">
        <v>108</v>
      </c>
      <c r="B42" s="629">
        <f>IF('6.2'!E42=0,"",'6.2'!E42)</f>
        <v>3733933400</v>
      </c>
      <c r="C42" s="626">
        <v>158051600</v>
      </c>
      <c r="D42" s="626">
        <v>163106500</v>
      </c>
      <c r="E42" s="629">
        <f t="shared" si="3"/>
        <v>321158100</v>
      </c>
      <c r="F42" s="1566">
        <f t="shared" si="4"/>
        <v>4055091500</v>
      </c>
      <c r="G42" s="1565">
        <f t="shared" si="5"/>
        <v>7.9198730780797422E-2</v>
      </c>
      <c r="H42" s="626">
        <v>2710574.3640000001</v>
      </c>
      <c r="I42" s="730"/>
    </row>
    <row r="43" spans="1:9" ht="11.25" customHeight="1">
      <c r="A43" s="620" t="s">
        <v>21</v>
      </c>
      <c r="B43" s="629">
        <f>IF('6.2'!E43=0,"",'6.2'!E43)</f>
        <v>7771785800</v>
      </c>
      <c r="C43" s="626">
        <v>108931400</v>
      </c>
      <c r="D43" s="626">
        <v>425493100</v>
      </c>
      <c r="E43" s="629">
        <f t="shared" si="3"/>
        <v>534424500</v>
      </c>
      <c r="F43" s="1566">
        <f t="shared" si="4"/>
        <v>8306210300</v>
      </c>
      <c r="G43" s="1565">
        <f t="shared" si="5"/>
        <v>6.4340352663596778E-2</v>
      </c>
      <c r="H43" s="626">
        <v>3259989.45</v>
      </c>
      <c r="I43" s="730"/>
    </row>
    <row r="44" spans="1:9" ht="11.25" customHeight="1">
      <c r="A44" s="620" t="s">
        <v>420</v>
      </c>
      <c r="B44" s="629">
        <f>IF('6.2'!E44=0,"",'6.2'!E44)</f>
        <v>15924061400</v>
      </c>
      <c r="C44" s="626">
        <v>392114000</v>
      </c>
      <c r="D44" s="626">
        <v>977547500</v>
      </c>
      <c r="E44" s="629">
        <f t="shared" si="3"/>
        <v>1369661500</v>
      </c>
      <c r="F44" s="1566">
        <f t="shared" si="4"/>
        <v>17293722900</v>
      </c>
      <c r="G44" s="1565">
        <f t="shared" si="5"/>
        <v>7.9199921724199707E-2</v>
      </c>
      <c r="H44" s="626">
        <v>6985273.6500000004</v>
      </c>
      <c r="I44" s="730"/>
    </row>
    <row r="45" spans="1:9" ht="11.25" customHeight="1">
      <c r="A45" s="620" t="s">
        <v>113</v>
      </c>
      <c r="B45" s="629">
        <f>IF('6.2'!E45=0,"",'6.2'!E45)</f>
        <v>1301807800</v>
      </c>
      <c r="C45" s="626">
        <v>78026800</v>
      </c>
      <c r="D45" s="626">
        <v>71527300</v>
      </c>
      <c r="E45" s="629">
        <f t="shared" si="3"/>
        <v>149554100</v>
      </c>
      <c r="F45" s="1566">
        <f t="shared" si="4"/>
        <v>1451361900</v>
      </c>
      <c r="G45" s="1565">
        <f t="shared" si="5"/>
        <v>0.10304397545505363</v>
      </c>
      <c r="H45" s="626">
        <v>1016967.88</v>
      </c>
      <c r="I45" s="730"/>
    </row>
    <row r="46" spans="1:9" ht="18" customHeight="1">
      <c r="A46" s="620" t="s">
        <v>48</v>
      </c>
      <c r="B46" s="629">
        <f>IF('6.2'!E46=0,"",'6.2'!E46)</f>
        <v>6105539756</v>
      </c>
      <c r="C46" s="626">
        <v>264707360</v>
      </c>
      <c r="D46" s="626">
        <v>191026330</v>
      </c>
      <c r="E46" s="629">
        <f t="shared" si="3"/>
        <v>455733690</v>
      </c>
      <c r="F46" s="1566">
        <f t="shared" si="4"/>
        <v>6561273446</v>
      </c>
      <c r="G46" s="1565">
        <f t="shared" si="5"/>
        <v>6.9458115676893861E-2</v>
      </c>
      <c r="H46" s="626">
        <v>2656927.4127000002</v>
      </c>
      <c r="I46" s="730"/>
    </row>
    <row r="47" spans="1:9" ht="11.25" customHeight="1">
      <c r="A47" s="620" t="s">
        <v>50</v>
      </c>
      <c r="B47" s="629">
        <f>IF('6.2'!E47=0,"",'6.2'!E47)</f>
        <v>8574183900</v>
      </c>
      <c r="C47" s="626">
        <v>210848300</v>
      </c>
      <c r="D47" s="626">
        <v>278701400</v>
      </c>
      <c r="E47" s="629">
        <f t="shared" si="3"/>
        <v>489549700</v>
      </c>
      <c r="F47" s="1566">
        <f t="shared" si="4"/>
        <v>9063733600</v>
      </c>
      <c r="G47" s="1565">
        <f t="shared" si="5"/>
        <v>5.4011925063640442E-2</v>
      </c>
      <c r="H47" s="626">
        <v>2594613.41</v>
      </c>
      <c r="I47" s="730"/>
    </row>
    <row r="48" spans="1:9" ht="11.25" customHeight="1">
      <c r="A48" s="620" t="s">
        <v>52</v>
      </c>
      <c r="B48" s="629">
        <f>IF('6.2'!E48=0,"",'6.2'!E48)</f>
        <v>1892416300</v>
      </c>
      <c r="C48" s="626">
        <v>133379000</v>
      </c>
      <c r="D48" s="626">
        <v>111768400</v>
      </c>
      <c r="E48" s="629">
        <f t="shared" si="3"/>
        <v>245147400</v>
      </c>
      <c r="F48" s="1566">
        <f t="shared" si="4"/>
        <v>2137563700</v>
      </c>
      <c r="G48" s="1565">
        <f t="shared" si="5"/>
        <v>0.11468542434548266</v>
      </c>
      <c r="H48" s="626">
        <v>1323795.96</v>
      </c>
      <c r="I48" s="730"/>
    </row>
    <row r="49" spans="1:9" ht="11.25" customHeight="1">
      <c r="A49" s="620" t="s">
        <v>54</v>
      </c>
      <c r="B49" s="629">
        <f>IF('6.2'!E49=0,"",'6.2'!E49)</f>
        <v>3134868249</v>
      </c>
      <c r="C49" s="626">
        <v>136171900</v>
      </c>
      <c r="D49" s="626">
        <v>149216496</v>
      </c>
      <c r="E49" s="629">
        <f t="shared" si="3"/>
        <v>285388396</v>
      </c>
      <c r="F49" s="1566">
        <f t="shared" si="4"/>
        <v>3420256645</v>
      </c>
      <c r="G49" s="1565">
        <f t="shared" si="5"/>
        <v>8.3440637829679587E-2</v>
      </c>
      <c r="H49" s="626">
        <v>2083335.2908000001</v>
      </c>
      <c r="I49" s="730"/>
    </row>
    <row r="50" spans="1:9" ht="11.25" customHeight="1">
      <c r="A50" s="620" t="s">
        <v>56</v>
      </c>
      <c r="B50" s="629">
        <f>IF('6.2'!E50=0,"",'6.2'!E50)</f>
        <v>662944960</v>
      </c>
      <c r="C50" s="626">
        <v>544999900</v>
      </c>
      <c r="D50" s="626">
        <v>29964700</v>
      </c>
      <c r="E50" s="629">
        <f t="shared" si="3"/>
        <v>574964600</v>
      </c>
      <c r="F50" s="1566">
        <f t="shared" si="4"/>
        <v>1237909560</v>
      </c>
      <c r="G50" s="1565">
        <f t="shared" si="5"/>
        <v>0.46446414065983949</v>
      </c>
      <c r="H50" s="626">
        <v>3852262.82</v>
      </c>
      <c r="I50" s="730"/>
    </row>
    <row r="51" spans="1:9" ht="18" customHeight="1">
      <c r="A51" s="620" t="s">
        <v>312</v>
      </c>
      <c r="B51" s="629">
        <f>IF('6.2'!E51=0,"",'6.2'!E51)</f>
        <v>3147336331</v>
      </c>
      <c r="C51" s="626">
        <v>189768670</v>
      </c>
      <c r="D51" s="626">
        <v>271202208</v>
      </c>
      <c r="E51" s="629">
        <f t="shared" si="3"/>
        <v>460970878</v>
      </c>
      <c r="F51" s="1566">
        <f t="shared" si="4"/>
        <v>3608307209</v>
      </c>
      <c r="G51" s="1565">
        <f t="shared" si="5"/>
        <v>0.12775266940969604</v>
      </c>
      <c r="H51" s="626">
        <v>2304854.39</v>
      </c>
      <c r="I51" s="730"/>
    </row>
    <row r="52" spans="1:9" ht="11.25" customHeight="1">
      <c r="A52" s="620" t="s">
        <v>60</v>
      </c>
      <c r="B52" s="629">
        <f>IF('6.2'!E52=0,"",'6.2'!E52)</f>
        <v>23059303989</v>
      </c>
      <c r="C52" s="626">
        <v>1446772301</v>
      </c>
      <c r="D52" s="626">
        <v>554330000</v>
      </c>
      <c r="E52" s="629">
        <f t="shared" si="3"/>
        <v>2001102301</v>
      </c>
      <c r="F52" s="1566">
        <f t="shared" si="4"/>
        <v>25060406290</v>
      </c>
      <c r="G52" s="1565">
        <f t="shared" si="5"/>
        <v>7.9851151567263759E-2</v>
      </c>
      <c r="H52" s="626">
        <v>16208928.6381</v>
      </c>
      <c r="I52" s="730"/>
    </row>
    <row r="53" spans="1:9" ht="11.25" customHeight="1">
      <c r="A53" s="620" t="s">
        <v>62</v>
      </c>
      <c r="B53" s="629">
        <f>IF('6.2'!E53=0,"",'6.2'!E53)</f>
        <v>56478101500</v>
      </c>
      <c r="C53" s="626">
        <v>3136823900</v>
      </c>
      <c r="D53" s="626">
        <v>1825508100</v>
      </c>
      <c r="E53" s="629">
        <f t="shared" si="3"/>
        <v>4962332000</v>
      </c>
      <c r="F53" s="1566">
        <f t="shared" si="4"/>
        <v>61440433500</v>
      </c>
      <c r="G53" s="1565">
        <f t="shared" si="5"/>
        <v>8.0766552534171171E-2</v>
      </c>
      <c r="H53" s="626">
        <v>42179822</v>
      </c>
      <c r="I53" s="730"/>
    </row>
    <row r="54" spans="1:9" ht="11.25" customHeight="1">
      <c r="A54" s="620" t="s">
        <v>64</v>
      </c>
      <c r="B54" s="629">
        <f>IF('6.2'!E54=0,"",'6.2'!E54)</f>
        <v>3091171304</v>
      </c>
      <c r="C54" s="626">
        <v>278425400</v>
      </c>
      <c r="D54" s="626">
        <v>373421600</v>
      </c>
      <c r="E54" s="629">
        <f t="shared" si="3"/>
        <v>651847000</v>
      </c>
      <c r="F54" s="1566">
        <f t="shared" si="4"/>
        <v>3743018304</v>
      </c>
      <c r="G54" s="1565">
        <f t="shared" si="5"/>
        <v>0.17415009680914453</v>
      </c>
      <c r="H54" s="626">
        <v>3617750.85</v>
      </c>
      <c r="I54" s="730"/>
    </row>
    <row r="55" spans="1:9" ht="11.25" customHeight="1">
      <c r="A55" s="620" t="s">
        <v>328</v>
      </c>
      <c r="B55" s="629">
        <f>IF('6.2'!E55=0,"",'6.2'!E55)</f>
        <v>682593400</v>
      </c>
      <c r="C55" s="626">
        <v>73933800</v>
      </c>
      <c r="D55" s="626">
        <v>22476400</v>
      </c>
      <c r="E55" s="629">
        <f t="shared" si="3"/>
        <v>96410200</v>
      </c>
      <c r="F55" s="1566">
        <f t="shared" si="4"/>
        <v>779003600</v>
      </c>
      <c r="G55" s="1565">
        <f t="shared" si="5"/>
        <v>0.1237609171510889</v>
      </c>
      <c r="H55" s="626">
        <v>462768.96</v>
      </c>
      <c r="I55" s="730"/>
    </row>
    <row r="56" spans="1:9" ht="18" customHeight="1">
      <c r="A56" s="620" t="s">
        <v>67</v>
      </c>
      <c r="B56" s="629">
        <f>IF('6.2'!E56=0,"",'6.2'!E56)</f>
        <v>5319040360</v>
      </c>
      <c r="C56" s="626">
        <v>114958700</v>
      </c>
      <c r="D56" s="626">
        <v>229861000</v>
      </c>
      <c r="E56" s="629">
        <f t="shared" si="3"/>
        <v>344819700</v>
      </c>
      <c r="F56" s="1566">
        <f t="shared" si="4"/>
        <v>5663860060</v>
      </c>
      <c r="G56" s="1565">
        <f t="shared" si="5"/>
        <v>6.0880688496389154E-2</v>
      </c>
      <c r="H56" s="626">
        <v>2930967.45</v>
      </c>
      <c r="I56" s="730"/>
    </row>
    <row r="57" spans="1:9" ht="11.25" customHeight="1">
      <c r="A57" s="620" t="s">
        <v>336</v>
      </c>
      <c r="B57" s="629">
        <f>IF('6.2'!E57=0,"",'6.2'!E57)</f>
        <v>14222862000</v>
      </c>
      <c r="C57" s="626">
        <v>631261800</v>
      </c>
      <c r="D57" s="626">
        <v>144500800</v>
      </c>
      <c r="E57" s="629">
        <f t="shared" si="3"/>
        <v>775762600</v>
      </c>
      <c r="F57" s="1566">
        <f t="shared" si="4"/>
        <v>14998624600</v>
      </c>
      <c r="G57" s="1565">
        <f t="shared" si="5"/>
        <v>5.1722249252108089E-2</v>
      </c>
      <c r="H57" s="626">
        <v>6438829.5800000001</v>
      </c>
      <c r="I57" s="730"/>
    </row>
    <row r="58" spans="1:9" ht="11.25" customHeight="1">
      <c r="A58" s="620" t="s">
        <v>71</v>
      </c>
      <c r="B58" s="629">
        <f>IF('6.2'!E58=0,"",'6.2'!E58)</f>
        <v>1193675940</v>
      </c>
      <c r="C58" s="626">
        <v>34487200</v>
      </c>
      <c r="D58" s="626">
        <v>46604000</v>
      </c>
      <c r="E58" s="629">
        <f t="shared" si="3"/>
        <v>81091200</v>
      </c>
      <c r="F58" s="1566">
        <f t="shared" si="4"/>
        <v>1274767140</v>
      </c>
      <c r="G58" s="1565">
        <f t="shared" si="5"/>
        <v>6.3612559074906816E-2</v>
      </c>
      <c r="H58" s="626">
        <v>389237.76000000001</v>
      </c>
      <c r="I58" s="730"/>
    </row>
    <row r="59" spans="1:9" ht="11.25" customHeight="1">
      <c r="A59" s="620" t="s">
        <v>73</v>
      </c>
      <c r="B59" s="629">
        <f>IF('6.2'!E59=0,"",'6.2'!E59)</f>
        <v>4276506589</v>
      </c>
      <c r="C59" s="626">
        <v>1203048200</v>
      </c>
      <c r="D59" s="626">
        <v>75384400</v>
      </c>
      <c r="E59" s="629">
        <f t="shared" si="3"/>
        <v>1278432600</v>
      </c>
      <c r="F59" s="1566">
        <f t="shared" si="4"/>
        <v>5554939189</v>
      </c>
      <c r="G59" s="1565">
        <f t="shared" si="5"/>
        <v>0.23014340148521831</v>
      </c>
      <c r="H59" s="626">
        <v>8693341.6799999997</v>
      </c>
      <c r="I59" s="730"/>
    </row>
    <row r="60" spans="1:9" ht="11.25" customHeight="1">
      <c r="A60" s="620" t="s">
        <v>348</v>
      </c>
      <c r="B60" s="629">
        <f>IF('6.2'!E60=0,"",'6.2'!E60)</f>
        <v>2357170361</v>
      </c>
      <c r="C60" s="626">
        <v>49731359</v>
      </c>
      <c r="D60" s="626">
        <v>66891772</v>
      </c>
      <c r="E60" s="629">
        <f t="shared" si="3"/>
        <v>116623131</v>
      </c>
      <c r="F60" s="1566">
        <f t="shared" si="4"/>
        <v>2473793492</v>
      </c>
      <c r="G60" s="1565">
        <f t="shared" si="5"/>
        <v>4.7143438357788357E-2</v>
      </c>
      <c r="H60" s="626">
        <v>676414.15980000002</v>
      </c>
      <c r="I60" s="730"/>
    </row>
    <row r="61" spans="1:9" ht="18" customHeight="1">
      <c r="A61" s="620" t="s">
        <v>77</v>
      </c>
      <c r="B61" s="629">
        <f>IF('6.2'!E61=0,"",'6.2'!E61)</f>
        <v>2745751700</v>
      </c>
      <c r="C61" s="626">
        <v>49234100</v>
      </c>
      <c r="D61" s="626">
        <v>77125500</v>
      </c>
      <c r="E61" s="629">
        <f t="shared" si="3"/>
        <v>126359600</v>
      </c>
      <c r="F61" s="1566">
        <f t="shared" si="4"/>
        <v>2872111300</v>
      </c>
      <c r="G61" s="1565">
        <f t="shared" si="5"/>
        <v>4.3995370235129817E-2</v>
      </c>
      <c r="H61" s="626">
        <v>796065.48</v>
      </c>
      <c r="I61" s="730"/>
    </row>
    <row r="62" spans="1:9" ht="11.25" customHeight="1">
      <c r="A62" s="620" t="s">
        <v>79</v>
      </c>
      <c r="B62" s="629">
        <f>IF('6.2'!E62=0,"",'6.2'!E62)</f>
        <v>976052882</v>
      </c>
      <c r="C62" s="626">
        <v>152502878</v>
      </c>
      <c r="D62" s="626">
        <v>93982000</v>
      </c>
      <c r="E62" s="629">
        <f t="shared" si="3"/>
        <v>246484878</v>
      </c>
      <c r="F62" s="1566">
        <f t="shared" si="4"/>
        <v>1222537760</v>
      </c>
      <c r="G62" s="1565">
        <f t="shared" si="5"/>
        <v>0.20161739462345932</v>
      </c>
      <c r="H62" s="626">
        <v>1525001.9402000001</v>
      </c>
      <c r="I62" s="730"/>
    </row>
    <row r="63" spans="1:9" ht="11.25" customHeight="1">
      <c r="A63" s="620" t="s">
        <v>81</v>
      </c>
      <c r="B63" s="629">
        <f>IF('6.2'!E63=0,"",'6.2'!E63)</f>
        <v>130432191515</v>
      </c>
      <c r="C63" s="626">
        <v>6905958190</v>
      </c>
      <c r="D63" s="626">
        <v>2343114090</v>
      </c>
      <c r="E63" s="629">
        <f t="shared" si="3"/>
        <v>9249072280</v>
      </c>
      <c r="F63" s="1566">
        <f t="shared" si="4"/>
        <v>139681263795</v>
      </c>
      <c r="G63" s="1565">
        <f t="shared" si="5"/>
        <v>6.6215554103048413E-2</v>
      </c>
      <c r="H63" s="626">
        <v>80929382.450000003</v>
      </c>
      <c r="I63" s="730"/>
    </row>
    <row r="64" spans="1:9" ht="11.25" customHeight="1">
      <c r="A64" s="620" t="s">
        <v>83</v>
      </c>
      <c r="B64" s="629">
        <f>IF('6.2'!E64=0,"",'6.2'!E64)</f>
        <v>8124468100</v>
      </c>
      <c r="C64" s="626">
        <v>68298000</v>
      </c>
      <c r="D64" s="626">
        <v>135272500</v>
      </c>
      <c r="E64" s="629">
        <f t="shared" si="3"/>
        <v>203570500</v>
      </c>
      <c r="F64" s="1566">
        <f t="shared" si="4"/>
        <v>8328038600</v>
      </c>
      <c r="G64" s="1565">
        <f t="shared" si="5"/>
        <v>2.4443990929628977E-2</v>
      </c>
      <c r="H64" s="626">
        <v>1465707.6</v>
      </c>
      <c r="I64" s="730"/>
    </row>
    <row r="65" spans="1:9" ht="11.25" customHeight="1">
      <c r="A65" s="620" t="s">
        <v>85</v>
      </c>
      <c r="B65" s="629">
        <f>IF('6.2'!E65=0,"",'6.2'!E65)</f>
        <v>960283500</v>
      </c>
      <c r="C65" s="626">
        <v>44918500</v>
      </c>
      <c r="D65" s="626">
        <v>52808500</v>
      </c>
      <c r="E65" s="629">
        <f t="shared" si="3"/>
        <v>97727000</v>
      </c>
      <c r="F65" s="1566">
        <f t="shared" si="4"/>
        <v>1058010500</v>
      </c>
      <c r="G65" s="1565">
        <f t="shared" si="5"/>
        <v>9.236864851530302E-2</v>
      </c>
      <c r="H65" s="626">
        <v>371362.6</v>
      </c>
      <c r="I65" s="730"/>
    </row>
    <row r="66" spans="1:9" ht="18" customHeight="1">
      <c r="A66" s="620" t="s">
        <v>87</v>
      </c>
      <c r="B66" s="629">
        <f>IF('6.2'!E66=0,"",'6.2'!E66)</f>
        <v>2357485300</v>
      </c>
      <c r="C66" s="626">
        <v>107365600</v>
      </c>
      <c r="D66" s="626">
        <v>241672800</v>
      </c>
      <c r="E66" s="629">
        <f t="shared" si="3"/>
        <v>349038400</v>
      </c>
      <c r="F66" s="1566">
        <f t="shared" si="4"/>
        <v>2706523700</v>
      </c>
      <c r="G66" s="1565">
        <f t="shared" si="5"/>
        <v>0.12896188568383865</v>
      </c>
      <c r="H66" s="626">
        <v>2582884.16</v>
      </c>
      <c r="I66" s="730"/>
    </row>
    <row r="67" spans="1:9" ht="11.25" customHeight="1">
      <c r="A67" s="620" t="s">
        <v>89</v>
      </c>
      <c r="B67" s="629">
        <f>IF('6.2'!E67=0,"",'6.2'!E67)</f>
        <v>2091153100</v>
      </c>
      <c r="C67" s="626">
        <v>13972000</v>
      </c>
      <c r="D67" s="626">
        <v>58742300</v>
      </c>
      <c r="E67" s="629">
        <f t="shared" si="3"/>
        <v>72714300</v>
      </c>
      <c r="F67" s="1566">
        <f t="shared" si="4"/>
        <v>2163867400</v>
      </c>
      <c r="G67" s="1565">
        <f t="shared" si="5"/>
        <v>3.3603861308692022E-2</v>
      </c>
      <c r="H67" s="626">
        <v>407200.08</v>
      </c>
      <c r="I67" s="730"/>
    </row>
    <row r="68" spans="1:9" ht="11.25" customHeight="1">
      <c r="A68" s="620" t="s">
        <v>91</v>
      </c>
      <c r="B68" s="629">
        <f>IF('6.2'!E68=0,"",'6.2'!E68)</f>
        <v>5747167200</v>
      </c>
      <c r="C68" s="626">
        <v>213195800</v>
      </c>
      <c r="D68" s="626">
        <v>235228600</v>
      </c>
      <c r="E68" s="629">
        <f t="shared" si="3"/>
        <v>448424400</v>
      </c>
      <c r="F68" s="1566">
        <f t="shared" si="4"/>
        <v>6195591600</v>
      </c>
      <c r="G68" s="1565">
        <f t="shared" si="5"/>
        <v>7.2377979207021978E-2</v>
      </c>
      <c r="H68" s="626">
        <v>1793697.6</v>
      </c>
      <c r="I68" s="730"/>
    </row>
    <row r="69" spans="1:9" ht="11.25" customHeight="1">
      <c r="A69" s="620" t="s">
        <v>93</v>
      </c>
      <c r="B69" s="629">
        <f>IF('6.2'!E69=0,"",'6.2'!E69)</f>
        <v>2612316900</v>
      </c>
      <c r="C69" s="626">
        <v>35054900</v>
      </c>
      <c r="D69" s="626">
        <v>79755200</v>
      </c>
      <c r="E69" s="629">
        <f t="shared" si="3"/>
        <v>114810100</v>
      </c>
      <c r="F69" s="1566">
        <f t="shared" si="4"/>
        <v>2727127000</v>
      </c>
      <c r="G69" s="1565">
        <f t="shared" si="5"/>
        <v>4.2099286171857785E-2</v>
      </c>
      <c r="H69" s="626">
        <v>700341.61</v>
      </c>
      <c r="I69" s="730"/>
    </row>
    <row r="70" spans="1:9" ht="11.25" customHeight="1">
      <c r="A70" s="620" t="s">
        <v>95</v>
      </c>
      <c r="B70" s="629">
        <f>IF('6.2'!E70=0,"",'6.2'!E70)</f>
        <v>12060712500</v>
      </c>
      <c r="C70" s="626">
        <v>950871300</v>
      </c>
      <c r="D70" s="626">
        <v>3520425000</v>
      </c>
      <c r="E70" s="629">
        <f t="shared" si="3"/>
        <v>4471296300</v>
      </c>
      <c r="F70" s="1566">
        <f t="shared" si="4"/>
        <v>16532008800</v>
      </c>
      <c r="G70" s="1565">
        <f t="shared" si="5"/>
        <v>0.27046297604196773</v>
      </c>
      <c r="H70" s="626">
        <v>31299074.100000001</v>
      </c>
      <c r="I70" s="730"/>
    </row>
    <row r="71" spans="1:9" ht="15.5">
      <c r="A71" s="781" t="s">
        <v>810</v>
      </c>
      <c r="B71" s="634"/>
      <c r="C71" s="634"/>
      <c r="D71" s="634"/>
      <c r="E71" s="634"/>
      <c r="F71" s="874"/>
      <c r="G71" s="634"/>
      <c r="H71" s="634"/>
    </row>
    <row r="72" spans="1:9" ht="13">
      <c r="A72" s="810" t="str">
        <f>A37</f>
        <v>Comparison of Tax Exempt Value to Total Fair Market Value (FMV) of Real Estate by Locality - Tax Year 2023</v>
      </c>
      <c r="B72" s="810"/>
      <c r="C72" s="810"/>
      <c r="D72" s="810"/>
      <c r="E72" s="810"/>
      <c r="F72" s="875"/>
      <c r="G72" s="810"/>
      <c r="H72" s="810"/>
    </row>
    <row r="73" spans="1:9" s="634" customFormat="1" ht="6" customHeight="1" thickBot="1">
      <c r="A73" s="623"/>
      <c r="B73" s="622"/>
      <c r="C73" s="622"/>
      <c r="D73" s="622"/>
      <c r="E73" s="622"/>
      <c r="F73" s="622"/>
      <c r="G73" s="622"/>
      <c r="H73" s="622"/>
      <c r="I73" s="728"/>
    </row>
    <row r="74" spans="1:9" ht="12" customHeight="1">
      <c r="A74" s="734"/>
      <c r="B74" s="735"/>
      <c r="C74" s="879" t="s">
        <v>801</v>
      </c>
      <c r="D74" s="873"/>
      <c r="E74" s="873"/>
      <c r="F74" s="735"/>
      <c r="G74" s="735"/>
      <c r="H74" s="735"/>
    </row>
    <row r="75" spans="1:9" ht="24" customHeight="1">
      <c r="A75" s="1223" t="s">
        <v>18</v>
      </c>
      <c r="B75" s="1224" t="s">
        <v>987</v>
      </c>
      <c r="C75" s="733" t="s">
        <v>806</v>
      </c>
      <c r="D75" s="733" t="s">
        <v>807</v>
      </c>
      <c r="E75" s="733" t="s">
        <v>808</v>
      </c>
      <c r="F75" s="1224" t="s">
        <v>988</v>
      </c>
      <c r="G75" s="1224" t="s">
        <v>986</v>
      </c>
      <c r="H75" s="1224" t="s">
        <v>989</v>
      </c>
    </row>
    <row r="76" spans="1:9" ht="18" customHeight="1">
      <c r="A76" s="620" t="s">
        <v>97</v>
      </c>
      <c r="B76" s="1563">
        <f>IF('6.2'!E76=0,"",'6.2'!E76)</f>
        <v>3669214000</v>
      </c>
      <c r="C76" s="625">
        <v>95253500</v>
      </c>
      <c r="D76" s="625">
        <v>147180900</v>
      </c>
      <c r="E76" s="1563">
        <f t="shared" ref="E76:E105" si="6">IF(SUM(C76:D76)=0,"",SUM(C76:D76))</f>
        <v>242434400</v>
      </c>
      <c r="F76" s="1564">
        <f t="shared" ref="F76:F105" si="7">IFERROR(B76+E76,"")</f>
        <v>3911648400</v>
      </c>
      <c r="G76" s="1565">
        <f t="shared" ref="G76:G105" si="8">IFERROR(E76/F76,"")</f>
        <v>6.1977554015335327E-2</v>
      </c>
      <c r="H76" s="625">
        <v>1575823.6</v>
      </c>
      <c r="I76" s="730"/>
    </row>
    <row r="77" spans="1:9" ht="11.25" customHeight="1">
      <c r="A77" s="620" t="s">
        <v>388</v>
      </c>
      <c r="B77" s="629">
        <f>IF('6.2'!E77=0,"",'6.2'!E77)</f>
        <v>4520658797</v>
      </c>
      <c r="C77" s="626">
        <v>484179207</v>
      </c>
      <c r="D77" s="626">
        <v>60049300</v>
      </c>
      <c r="E77" s="629">
        <f t="shared" si="6"/>
        <v>544228507</v>
      </c>
      <c r="F77" s="1566">
        <f t="shared" si="7"/>
        <v>5064887304</v>
      </c>
      <c r="G77" s="1565">
        <f t="shared" si="8"/>
        <v>0.10745125692534066</v>
      </c>
      <c r="H77" s="626">
        <v>3646330.9969000001</v>
      </c>
      <c r="I77" s="730"/>
    </row>
    <row r="78" spans="1:9" ht="11.25" customHeight="1">
      <c r="A78" s="620" t="s">
        <v>101</v>
      </c>
      <c r="B78" s="629">
        <f>IF('6.2'!E78=0,"",'6.2'!E78)</f>
        <v>2557158300</v>
      </c>
      <c r="C78" s="626">
        <v>197926000</v>
      </c>
      <c r="D78" s="626">
        <v>373793000</v>
      </c>
      <c r="E78" s="629">
        <f t="shared" si="6"/>
        <v>571719000</v>
      </c>
      <c r="F78" s="1566">
        <f t="shared" si="7"/>
        <v>3128877300</v>
      </c>
      <c r="G78" s="1565">
        <f t="shared" si="8"/>
        <v>0.18272336853861287</v>
      </c>
      <c r="H78" s="626">
        <v>4345064.4000000004</v>
      </c>
      <c r="I78" s="730"/>
    </row>
    <row r="79" spans="1:9" ht="11.25" customHeight="1">
      <c r="A79" s="620" t="s">
        <v>103</v>
      </c>
      <c r="B79" s="629">
        <f>IF('6.2'!E79=0,"",'6.2'!E79)</f>
        <v>2997735700</v>
      </c>
      <c r="C79" s="626">
        <v>14929600</v>
      </c>
      <c r="D79" s="626">
        <v>76152300</v>
      </c>
      <c r="E79" s="629">
        <f t="shared" si="6"/>
        <v>91081900</v>
      </c>
      <c r="F79" s="1566">
        <f t="shared" si="7"/>
        <v>3088817600</v>
      </c>
      <c r="G79" s="1565">
        <f t="shared" si="8"/>
        <v>2.9487626592130271E-2</v>
      </c>
      <c r="H79" s="626">
        <v>555599.59</v>
      </c>
      <c r="I79" s="730"/>
    </row>
    <row r="80" spans="1:9" ht="11.25" customHeight="1">
      <c r="A80" s="620" t="s">
        <v>105</v>
      </c>
      <c r="B80" s="629">
        <f>IF('6.2'!E80=0,"",'6.2'!E80)</f>
        <v>1020680700</v>
      </c>
      <c r="C80" s="626">
        <v>134273279</v>
      </c>
      <c r="D80" s="626">
        <v>98874516</v>
      </c>
      <c r="E80" s="629">
        <f t="shared" si="6"/>
        <v>233147795</v>
      </c>
      <c r="F80" s="1566">
        <f t="shared" si="7"/>
        <v>1253828495</v>
      </c>
      <c r="G80" s="1565">
        <f t="shared" si="8"/>
        <v>0.18594871302554022</v>
      </c>
      <c r="H80" s="626">
        <v>1119109.416</v>
      </c>
      <c r="I80" s="730"/>
    </row>
    <row r="81" spans="1:9" ht="18" customHeight="1">
      <c r="A81" s="620" t="s">
        <v>107</v>
      </c>
      <c r="B81" s="629">
        <f>IF('6.2'!E81=0,"",'6.2'!E81)</f>
        <v>5187563800</v>
      </c>
      <c r="C81" s="626">
        <v>379081400</v>
      </c>
      <c r="D81" s="626">
        <v>65471300</v>
      </c>
      <c r="E81" s="629">
        <f t="shared" si="6"/>
        <v>444552700</v>
      </c>
      <c r="F81" s="1566">
        <f t="shared" si="7"/>
        <v>5632116500</v>
      </c>
      <c r="G81" s="1565">
        <f t="shared" si="8"/>
        <v>7.8931730194146371E-2</v>
      </c>
      <c r="H81" s="626">
        <v>3334145.25</v>
      </c>
      <c r="I81" s="730"/>
    </row>
    <row r="82" spans="1:9" ht="11.25" customHeight="1">
      <c r="A82" s="620" t="s">
        <v>109</v>
      </c>
      <c r="B82" s="629">
        <f>IF('6.2'!E82=0,"",'6.2'!E82)</f>
        <v>2821193200</v>
      </c>
      <c r="C82" s="626">
        <v>258676000</v>
      </c>
      <c r="D82" s="626">
        <v>191672700</v>
      </c>
      <c r="E82" s="629">
        <f t="shared" si="6"/>
        <v>450348700</v>
      </c>
      <c r="F82" s="1566">
        <f t="shared" si="7"/>
        <v>3271541900</v>
      </c>
      <c r="G82" s="1565">
        <f t="shared" si="8"/>
        <v>0.13765640599009293</v>
      </c>
      <c r="H82" s="626">
        <v>3287545.51</v>
      </c>
      <c r="I82" s="730"/>
    </row>
    <row r="83" spans="1:9" ht="11.25" customHeight="1">
      <c r="A83" s="620" t="s">
        <v>110</v>
      </c>
      <c r="B83" s="629">
        <f>IF('6.2'!E83=0,"",'6.2'!E83)</f>
        <v>1624859100</v>
      </c>
      <c r="C83" s="626">
        <v>44363400</v>
      </c>
      <c r="D83" s="626">
        <v>102526000</v>
      </c>
      <c r="E83" s="629">
        <f t="shared" si="6"/>
        <v>146889400</v>
      </c>
      <c r="F83" s="1566">
        <f t="shared" si="7"/>
        <v>1771748500</v>
      </c>
      <c r="G83" s="1565">
        <f t="shared" si="8"/>
        <v>8.2906462175641751E-2</v>
      </c>
      <c r="H83" s="626">
        <v>1072292.6200000001</v>
      </c>
      <c r="I83" s="730"/>
    </row>
    <row r="84" spans="1:9" ht="11.25" customHeight="1">
      <c r="A84" s="620" t="s">
        <v>112</v>
      </c>
      <c r="B84" s="629">
        <f>IF('6.2'!E84=0,"",'6.2'!E84)</f>
        <v>5050796120</v>
      </c>
      <c r="C84" s="626">
        <v>178777300</v>
      </c>
      <c r="D84" s="626">
        <v>443347680</v>
      </c>
      <c r="E84" s="629">
        <f t="shared" si="6"/>
        <v>622124980</v>
      </c>
      <c r="F84" s="1566">
        <f t="shared" si="7"/>
        <v>5672921100</v>
      </c>
      <c r="G84" s="1565">
        <f t="shared" si="8"/>
        <v>0.10966572054034032</v>
      </c>
      <c r="H84" s="626">
        <v>3857174.8760000002</v>
      </c>
      <c r="I84" s="730"/>
    </row>
    <row r="85" spans="1:9" ht="11.25" customHeight="1">
      <c r="A85" s="620" t="s">
        <v>114</v>
      </c>
      <c r="B85" s="629">
        <f>IF('6.2'!E85=0,"",'6.2'!E85)</f>
        <v>5981957173</v>
      </c>
      <c r="C85" s="626">
        <v>108101400</v>
      </c>
      <c r="D85" s="626">
        <v>259821300</v>
      </c>
      <c r="E85" s="629">
        <f t="shared" si="6"/>
        <v>367922700</v>
      </c>
      <c r="F85" s="1566">
        <f t="shared" si="7"/>
        <v>6349879873</v>
      </c>
      <c r="G85" s="1565">
        <f t="shared" si="8"/>
        <v>5.7941678796858083E-2</v>
      </c>
      <c r="H85" s="626">
        <v>2538666.63</v>
      </c>
      <c r="I85" s="730"/>
    </row>
    <row r="86" spans="1:9" ht="18" customHeight="1">
      <c r="A86" s="620" t="s">
        <v>115</v>
      </c>
      <c r="B86" s="629">
        <f>IF('6.2'!E86=0,"",'6.2'!E86)</f>
        <v>1867511364</v>
      </c>
      <c r="C86" s="626">
        <v>174494200</v>
      </c>
      <c r="D86" s="626">
        <v>831021600</v>
      </c>
      <c r="E86" s="629">
        <f t="shared" si="6"/>
        <v>1005515800</v>
      </c>
      <c r="F86" s="1566">
        <f t="shared" si="7"/>
        <v>2873027164</v>
      </c>
      <c r="G86" s="1565">
        <f t="shared" si="8"/>
        <v>0.34998478698685914</v>
      </c>
      <c r="H86" s="626">
        <v>5128130.58</v>
      </c>
      <c r="I86" s="730"/>
    </row>
    <row r="87" spans="1:9" ht="11.25" customHeight="1">
      <c r="A87" s="620" t="s">
        <v>117</v>
      </c>
      <c r="B87" s="629">
        <f>IF('6.2'!E87=0,"",'6.2'!E87)</f>
        <v>3897124000</v>
      </c>
      <c r="C87" s="626">
        <v>2550721300</v>
      </c>
      <c r="D87" s="626">
        <v>122194700</v>
      </c>
      <c r="E87" s="629">
        <f t="shared" si="6"/>
        <v>2672916000</v>
      </c>
      <c r="F87" s="1566">
        <f t="shared" si="7"/>
        <v>6570040000</v>
      </c>
      <c r="G87" s="1565">
        <f t="shared" si="8"/>
        <v>0.40683405276071377</v>
      </c>
      <c r="H87" s="626">
        <v>21917911.199999999</v>
      </c>
      <c r="I87" s="730"/>
    </row>
    <row r="88" spans="1:9" ht="11.25" customHeight="1">
      <c r="A88" s="620" t="s">
        <v>119</v>
      </c>
      <c r="B88" s="629">
        <f>IF('6.2'!E88=0,"",'6.2'!E88)</f>
        <v>91971704600</v>
      </c>
      <c r="C88" s="626">
        <v>3978039900</v>
      </c>
      <c r="D88" s="626">
        <v>2609058900</v>
      </c>
      <c r="E88" s="629">
        <f t="shared" si="6"/>
        <v>6587098800</v>
      </c>
      <c r="F88" s="1566">
        <f t="shared" si="7"/>
        <v>98558803400</v>
      </c>
      <c r="G88" s="1565">
        <f t="shared" si="8"/>
        <v>6.6834200221225493E-2</v>
      </c>
      <c r="H88" s="626">
        <v>63631374.408</v>
      </c>
      <c r="I88" s="730"/>
    </row>
    <row r="89" spans="1:9" ht="11.25" customHeight="1">
      <c r="A89" s="620" t="s">
        <v>121</v>
      </c>
      <c r="B89" s="629">
        <f>IF('6.2'!E89=0,"",'6.2'!E89)</f>
        <v>3271278500</v>
      </c>
      <c r="C89" s="626">
        <v>667772800</v>
      </c>
      <c r="D89" s="626">
        <v>98688600</v>
      </c>
      <c r="E89" s="629">
        <f t="shared" si="6"/>
        <v>766461400</v>
      </c>
      <c r="F89" s="1566">
        <f t="shared" si="7"/>
        <v>4037739900</v>
      </c>
      <c r="G89" s="1565">
        <f t="shared" si="8"/>
        <v>0.18982436189116589</v>
      </c>
      <c r="H89" s="626">
        <v>5671814.3600000003</v>
      </c>
      <c r="I89" s="730"/>
    </row>
    <row r="90" spans="1:9" ht="11.25" customHeight="1">
      <c r="A90" s="620" t="s">
        <v>123</v>
      </c>
      <c r="B90" s="629">
        <f>IF('6.2'!E90=0,"",'6.2'!E90)</f>
        <v>2540013700</v>
      </c>
      <c r="C90" s="626">
        <v>94473200</v>
      </c>
      <c r="D90" s="626">
        <v>36589200</v>
      </c>
      <c r="E90" s="629">
        <f t="shared" si="6"/>
        <v>131062400</v>
      </c>
      <c r="F90" s="1566">
        <f t="shared" si="7"/>
        <v>2671076100</v>
      </c>
      <c r="G90" s="1565">
        <f t="shared" si="8"/>
        <v>4.9067265436578161E-2</v>
      </c>
      <c r="H90" s="626">
        <v>799480.64</v>
      </c>
      <c r="I90" s="730"/>
    </row>
    <row r="91" spans="1:9" ht="18" customHeight="1">
      <c r="A91" s="620" t="s">
        <v>125</v>
      </c>
      <c r="B91" s="629">
        <f>IF('6.2'!E91=0,"",'6.2'!E91)</f>
        <v>962939529</v>
      </c>
      <c r="C91" s="626">
        <v>73944168</v>
      </c>
      <c r="D91" s="626">
        <v>57173761</v>
      </c>
      <c r="E91" s="629">
        <f t="shared" si="6"/>
        <v>131117929</v>
      </c>
      <c r="F91" s="1566">
        <f t="shared" si="7"/>
        <v>1094057458</v>
      </c>
      <c r="G91" s="1565">
        <f t="shared" si="8"/>
        <v>0.11984556025027343</v>
      </c>
      <c r="H91" s="626">
        <v>917825.50300000003</v>
      </c>
      <c r="I91" s="730"/>
    </row>
    <row r="92" spans="1:9" ht="11.25" customHeight="1">
      <c r="A92" s="620" t="s">
        <v>22</v>
      </c>
      <c r="B92" s="629">
        <f>IF('6.2'!E92=0,"",'6.2'!E92)</f>
        <v>11239697850</v>
      </c>
      <c r="C92" s="626">
        <v>716720600</v>
      </c>
      <c r="D92" s="626">
        <v>470306000</v>
      </c>
      <c r="E92" s="629">
        <f t="shared" si="6"/>
        <v>1187026600</v>
      </c>
      <c r="F92" s="1566">
        <f t="shared" si="7"/>
        <v>12426724450</v>
      </c>
      <c r="G92" s="1565">
        <f t="shared" si="8"/>
        <v>9.5522082651474577E-2</v>
      </c>
      <c r="H92" s="626">
        <v>12582481.960000001</v>
      </c>
      <c r="I92" s="730"/>
    </row>
    <row r="93" spans="1:9" ht="11.25" customHeight="1">
      <c r="A93" s="620" t="s">
        <v>127</v>
      </c>
      <c r="B93" s="629">
        <f>IF('6.2'!E93=0,"",'6.2'!E93)</f>
        <v>3792660001</v>
      </c>
      <c r="C93" s="626">
        <v>208864200</v>
      </c>
      <c r="D93" s="626">
        <v>198450200</v>
      </c>
      <c r="E93" s="629">
        <f t="shared" si="6"/>
        <v>407314400</v>
      </c>
      <c r="F93" s="1566">
        <f t="shared" si="7"/>
        <v>4199974401</v>
      </c>
      <c r="G93" s="1565">
        <f t="shared" si="8"/>
        <v>9.6980210141999867E-2</v>
      </c>
      <c r="H93" s="626">
        <v>2484617.84</v>
      </c>
      <c r="I93" s="730"/>
    </row>
    <row r="94" spans="1:9" ht="11.25" customHeight="1">
      <c r="A94" s="620" t="s">
        <v>128</v>
      </c>
      <c r="B94" s="629">
        <f>IF('6.2'!E94=0,"",'6.2'!E94)</f>
        <v>12433925390</v>
      </c>
      <c r="C94" s="626">
        <v>432622391</v>
      </c>
      <c r="D94" s="626">
        <v>1131429284</v>
      </c>
      <c r="E94" s="629">
        <f t="shared" si="6"/>
        <v>1564051675</v>
      </c>
      <c r="F94" s="1566">
        <f t="shared" si="7"/>
        <v>13997977065</v>
      </c>
      <c r="G94" s="1565">
        <f t="shared" si="8"/>
        <v>0.1117341218475557</v>
      </c>
      <c r="H94" s="626">
        <v>10635551.390000001</v>
      </c>
      <c r="I94" s="730"/>
    </row>
    <row r="95" spans="1:9" ht="11.25" customHeight="1">
      <c r="A95" s="620" t="s">
        <v>130</v>
      </c>
      <c r="B95" s="629">
        <f>IF('6.2'!E95=0,"",'6.2'!E95)</f>
        <v>1596557016</v>
      </c>
      <c r="C95" s="626">
        <v>139870700</v>
      </c>
      <c r="D95" s="626">
        <v>101498425</v>
      </c>
      <c r="E95" s="629">
        <f t="shared" si="6"/>
        <v>241369125</v>
      </c>
      <c r="F95" s="1566">
        <f t="shared" si="7"/>
        <v>1837926141</v>
      </c>
      <c r="G95" s="1565">
        <f t="shared" si="8"/>
        <v>0.1313268904639841</v>
      </c>
      <c r="H95" s="626">
        <v>1520625.4875</v>
      </c>
      <c r="I95" s="730"/>
    </row>
    <row r="96" spans="1:9" ht="18" customHeight="1">
      <c r="A96" s="620" t="s">
        <v>132</v>
      </c>
      <c r="B96" s="626">
        <f>IF('6.2'!E96=0,"",'6.2'!E96)</f>
        <v>1601113700</v>
      </c>
      <c r="C96" s="626">
        <v>150732000</v>
      </c>
      <c r="D96" s="626">
        <v>174637200</v>
      </c>
      <c r="E96" s="626">
        <f t="shared" si="6"/>
        <v>325369200</v>
      </c>
      <c r="F96" s="1567">
        <f t="shared" si="7"/>
        <v>1926482900</v>
      </c>
      <c r="G96" s="642">
        <f t="shared" si="8"/>
        <v>0.16889285651069105</v>
      </c>
      <c r="H96" s="626">
        <v>2505342.84</v>
      </c>
      <c r="I96" s="730"/>
    </row>
    <row r="97" spans="1:9" ht="11.25" customHeight="1">
      <c r="A97" s="620" t="s">
        <v>134</v>
      </c>
      <c r="B97" s="629">
        <f>IF('6.2'!E97=0,"",'6.2'!E97)</f>
        <v>6648485970</v>
      </c>
      <c r="C97" s="626">
        <v>669895400</v>
      </c>
      <c r="D97" s="626">
        <v>226135200</v>
      </c>
      <c r="E97" s="629">
        <f t="shared" si="6"/>
        <v>896030600</v>
      </c>
      <c r="F97" s="1566">
        <f t="shared" si="7"/>
        <v>7544516570</v>
      </c>
      <c r="G97" s="1565">
        <f t="shared" si="8"/>
        <v>0.11876580715098091</v>
      </c>
      <c r="H97" s="626">
        <v>5376183.5999999996</v>
      </c>
      <c r="I97" s="730"/>
    </row>
    <row r="98" spans="1:9" ht="11.25" customHeight="1">
      <c r="A98" s="620" t="s">
        <v>136</v>
      </c>
      <c r="B98" s="629">
        <f>IF('6.2'!E98=0,"",'6.2'!E98)</f>
        <v>1726334400</v>
      </c>
      <c r="C98" s="626">
        <v>52548300</v>
      </c>
      <c r="D98" s="626">
        <v>98350600</v>
      </c>
      <c r="E98" s="629">
        <f t="shared" si="6"/>
        <v>150898900</v>
      </c>
      <c r="F98" s="1566">
        <f t="shared" si="7"/>
        <v>1877233300</v>
      </c>
      <c r="G98" s="1565">
        <f t="shared" si="8"/>
        <v>8.0383668881220033E-2</v>
      </c>
      <c r="H98" s="626">
        <v>1116651.8600000001</v>
      </c>
      <c r="I98" s="730"/>
    </row>
    <row r="99" spans="1:9" ht="11.25" customHeight="1">
      <c r="A99" s="620" t="s">
        <v>138</v>
      </c>
      <c r="B99" s="629">
        <f>IF('6.2'!E99=0,"",'6.2'!E99)</f>
        <v>1865228100</v>
      </c>
      <c r="C99" s="626">
        <v>163063600</v>
      </c>
      <c r="D99" s="626">
        <v>157694400</v>
      </c>
      <c r="E99" s="629">
        <f t="shared" si="6"/>
        <v>320758000</v>
      </c>
      <c r="F99" s="1566">
        <f t="shared" si="7"/>
        <v>2185986100</v>
      </c>
      <c r="G99" s="1565">
        <f t="shared" si="8"/>
        <v>0.14673377840783158</v>
      </c>
      <c r="H99" s="626">
        <v>2854746.2</v>
      </c>
      <c r="I99" s="730"/>
    </row>
    <row r="100" spans="1:9" ht="11.25" customHeight="1">
      <c r="A100" s="620" t="s">
        <v>140</v>
      </c>
      <c r="B100" s="629">
        <f>IF('6.2'!E100=0,"",'6.2'!E100)</f>
        <v>20520952500</v>
      </c>
      <c r="C100" s="626">
        <v>733208200</v>
      </c>
      <c r="D100" s="626">
        <v>217255300</v>
      </c>
      <c r="E100" s="629">
        <f t="shared" si="6"/>
        <v>950463500</v>
      </c>
      <c r="F100" s="1566">
        <f t="shared" si="7"/>
        <v>21471416000</v>
      </c>
      <c r="G100" s="1565">
        <f t="shared" si="8"/>
        <v>4.4266456390207334E-2</v>
      </c>
      <c r="H100" s="626">
        <v>7334726.8295</v>
      </c>
      <c r="I100" s="730"/>
    </row>
    <row r="101" spans="1:9" ht="18" customHeight="1">
      <c r="A101" s="620" t="s">
        <v>142</v>
      </c>
      <c r="B101" s="629">
        <f>IF('6.2'!E101=0,"",'6.2'!E101)</f>
        <v>24585673800</v>
      </c>
      <c r="C101" s="626">
        <v>1049432200</v>
      </c>
      <c r="D101" s="626">
        <v>1101222200</v>
      </c>
      <c r="E101" s="629">
        <f t="shared" si="6"/>
        <v>2150654400</v>
      </c>
      <c r="F101" s="1566">
        <f t="shared" si="7"/>
        <v>26736328200</v>
      </c>
      <c r="G101" s="1565">
        <f t="shared" si="8"/>
        <v>8.0439407532407539E-2</v>
      </c>
      <c r="H101" s="626">
        <v>20323684.079999998</v>
      </c>
      <c r="I101" s="730"/>
    </row>
    <row r="102" spans="1:9" ht="11.25" customHeight="1">
      <c r="A102" s="620" t="s">
        <v>144</v>
      </c>
      <c r="B102" s="629">
        <f>IF('6.2'!E102=0,"",'6.2'!E102)</f>
        <v>1252461000</v>
      </c>
      <c r="C102" s="626">
        <v>72567100</v>
      </c>
      <c r="D102" s="626">
        <v>76799800</v>
      </c>
      <c r="E102" s="629">
        <f t="shared" si="6"/>
        <v>149366900</v>
      </c>
      <c r="F102" s="1566">
        <f t="shared" si="7"/>
        <v>1401827900</v>
      </c>
      <c r="G102" s="1565">
        <f t="shared" si="8"/>
        <v>0.10655152462010493</v>
      </c>
      <c r="H102" s="626">
        <v>1060504.99</v>
      </c>
      <c r="I102" s="730"/>
    </row>
    <row r="103" spans="1:9" ht="11.25" customHeight="1">
      <c r="A103" s="620" t="s">
        <v>146</v>
      </c>
      <c r="B103" s="629">
        <f>IF('6.2'!E103=0,"",'6.2'!E103)</f>
        <v>1208876522</v>
      </c>
      <c r="C103" s="626">
        <v>230876100</v>
      </c>
      <c r="D103" s="626">
        <v>83785700</v>
      </c>
      <c r="E103" s="629">
        <f t="shared" si="6"/>
        <v>314661800</v>
      </c>
      <c r="F103" s="1566">
        <f t="shared" si="7"/>
        <v>1523538322</v>
      </c>
      <c r="G103" s="1565">
        <f t="shared" si="8"/>
        <v>0.20653356430636605</v>
      </c>
      <c r="H103" s="626">
        <v>1510376.64</v>
      </c>
      <c r="I103" s="730"/>
    </row>
    <row r="104" spans="1:9" ht="11.25" customHeight="1">
      <c r="A104" s="620" t="s">
        <v>148</v>
      </c>
      <c r="B104" s="629">
        <f>IF('6.2'!E104=0,"",'6.2'!E104)</f>
        <v>2745985400</v>
      </c>
      <c r="C104" s="626">
        <v>330528200</v>
      </c>
      <c r="D104" s="626">
        <v>215399800</v>
      </c>
      <c r="E104" s="629">
        <f t="shared" si="6"/>
        <v>545928000</v>
      </c>
      <c r="F104" s="1566">
        <f t="shared" si="7"/>
        <v>3291913400</v>
      </c>
      <c r="G104" s="1565">
        <f t="shared" si="8"/>
        <v>0.16583911350766395</v>
      </c>
      <c r="H104" s="626">
        <v>3166382.4</v>
      </c>
      <c r="I104" s="730"/>
    </row>
    <row r="105" spans="1:9">
      <c r="A105" s="620" t="s">
        <v>150</v>
      </c>
      <c r="B105" s="629">
        <f>IF('6.2'!E105=0,"",'6.2'!E105)</f>
        <v>6930470321</v>
      </c>
      <c r="C105" s="626">
        <v>417988800</v>
      </c>
      <c r="D105" s="626">
        <v>553231000</v>
      </c>
      <c r="E105" s="629">
        <f t="shared" si="6"/>
        <v>971219800</v>
      </c>
      <c r="F105" s="1566">
        <f t="shared" si="7"/>
        <v>7901690121</v>
      </c>
      <c r="G105" s="1565">
        <f t="shared" si="8"/>
        <v>0.12291291927771612</v>
      </c>
      <c r="H105" s="626">
        <v>4758977.0199999996</v>
      </c>
      <c r="I105" s="730"/>
    </row>
    <row r="106" spans="1:9" ht="18" customHeight="1">
      <c r="A106" s="620" t="s">
        <v>152</v>
      </c>
      <c r="B106" s="629">
        <f>IF('6.2'!E106=0,"",'6.2'!E106)</f>
        <v>5321771690</v>
      </c>
      <c r="C106" s="626">
        <v>277999300</v>
      </c>
      <c r="D106" s="626">
        <v>527063800</v>
      </c>
      <c r="E106" s="629">
        <f t="shared" ref="E106:E110" si="9">IF(SUM(C106:D106)=0,"",SUM(C106:D106))</f>
        <v>805063100</v>
      </c>
      <c r="F106" s="1566">
        <f t="shared" ref="F106:F110" si="10">IFERROR(B106+E106,"")</f>
        <v>6126834790</v>
      </c>
      <c r="G106" s="1565">
        <f t="shared" ref="G106:G110" si="11">IFERROR(E106/F106,"")</f>
        <v>0.13139951175344161</v>
      </c>
      <c r="H106" s="626">
        <v>4830378.5999999996</v>
      </c>
      <c r="I106" s="730"/>
    </row>
    <row r="107" spans="1:9">
      <c r="A107" s="620" t="s">
        <v>357</v>
      </c>
      <c r="B107" s="629">
        <f>IF('6.2'!E107=0,"",'6.2'!E107)</f>
        <v>3286793800</v>
      </c>
      <c r="C107" s="626">
        <v>110869700</v>
      </c>
      <c r="D107" s="626">
        <v>82523700</v>
      </c>
      <c r="E107" s="629">
        <f t="shared" si="9"/>
        <v>193393400</v>
      </c>
      <c r="F107" s="1566">
        <f t="shared" si="10"/>
        <v>3480187200</v>
      </c>
      <c r="G107" s="1565">
        <f t="shared" si="11"/>
        <v>5.5569826818511373E-2</v>
      </c>
      <c r="H107" s="626">
        <v>1199039.08</v>
      </c>
      <c r="I107" s="730"/>
    </row>
    <row r="108" spans="1:9">
      <c r="A108" s="620" t="s">
        <v>156</v>
      </c>
      <c r="B108" s="629">
        <f>IF('6.2'!E108=0,"",'6.2'!E108)</f>
        <v>1910585486</v>
      </c>
      <c r="C108" s="626">
        <v>457521300</v>
      </c>
      <c r="D108" s="626">
        <v>527401200</v>
      </c>
      <c r="E108" s="629">
        <f t="shared" si="9"/>
        <v>984922500</v>
      </c>
      <c r="F108" s="1566">
        <f t="shared" si="10"/>
        <v>2895507986</v>
      </c>
      <c r="G108" s="1565">
        <f t="shared" si="11"/>
        <v>0.34015533880831095</v>
      </c>
      <c r="H108" s="626">
        <v>6795965.25</v>
      </c>
      <c r="I108" s="730"/>
    </row>
    <row r="109" spans="1:9">
      <c r="A109" s="620" t="s">
        <v>158</v>
      </c>
      <c r="B109" s="629">
        <f>IF('6.2'!E109=0,"",'6.2'!E109)</f>
        <v>3097134072</v>
      </c>
      <c r="C109" s="626">
        <v>239460400</v>
      </c>
      <c r="D109" s="626">
        <v>171263700</v>
      </c>
      <c r="E109" s="629">
        <f t="shared" si="9"/>
        <v>410724100</v>
      </c>
      <c r="F109" s="1566">
        <f t="shared" si="10"/>
        <v>3507858172</v>
      </c>
      <c r="G109" s="1565">
        <f t="shared" si="11"/>
        <v>0.11708686037492395</v>
      </c>
      <c r="H109" s="626">
        <v>2094692.91</v>
      </c>
      <c r="I109" s="730"/>
    </row>
    <row r="110" spans="1:9">
      <c r="A110" s="620" t="s">
        <v>160</v>
      </c>
      <c r="B110" s="629">
        <f>IF('6.2'!E110=0,"",'6.2'!E110)</f>
        <v>10599654751</v>
      </c>
      <c r="C110" s="626">
        <v>4632974500</v>
      </c>
      <c r="D110" s="626">
        <v>513223000</v>
      </c>
      <c r="E110" s="629">
        <f t="shared" si="9"/>
        <v>5146197500</v>
      </c>
      <c r="F110" s="1566">
        <f t="shared" si="10"/>
        <v>15745852251</v>
      </c>
      <c r="G110" s="1565">
        <f t="shared" si="11"/>
        <v>0.32682876848874098</v>
      </c>
      <c r="H110" s="626">
        <v>39625720.75</v>
      </c>
      <c r="I110" s="730"/>
    </row>
    <row r="111" spans="1:9" ht="6" customHeight="1">
      <c r="B111" s="625"/>
      <c r="C111" s="625"/>
      <c r="D111" s="625"/>
      <c r="E111" s="625"/>
      <c r="F111" s="877"/>
      <c r="G111" s="625"/>
      <c r="H111" s="625"/>
    </row>
    <row r="112" spans="1:9" ht="12.75" customHeight="1">
      <c r="A112" s="881" t="s">
        <v>19</v>
      </c>
      <c r="B112" s="882">
        <f>SUM(B6:B50,B51:B95,B96:B110)</f>
        <v>1179782944273.5</v>
      </c>
      <c r="C112" s="882">
        <f>SUM(C6:C50,C51:C95,C96:C110)</f>
        <v>75054561391</v>
      </c>
      <c r="D112" s="882">
        <f>SUM(D6:D50,D51:D95,D96:D110)</f>
        <v>40445664522</v>
      </c>
      <c r="E112" s="882">
        <f>SUM(E6:E50,E51:E95,E96:E110)</f>
        <v>115500225913</v>
      </c>
      <c r="F112" s="883">
        <f>SUM(F6:F50,F51:F95,F96:F110)</f>
        <v>1295283170186.5</v>
      </c>
      <c r="G112" s="884">
        <f>E112/F112</f>
        <v>8.9169865378834354E-2</v>
      </c>
      <c r="H112" s="882">
        <f>SUM(H6:H50,H51:H95,H96:H110)</f>
        <v>982065301.57390046</v>
      </c>
    </row>
    <row r="113" spans="1:9" ht="15" customHeight="1">
      <c r="A113" s="781" t="s">
        <v>810</v>
      </c>
      <c r="B113" s="643"/>
      <c r="C113" s="643"/>
      <c r="D113" s="643"/>
      <c r="E113" s="643"/>
      <c r="F113" s="885"/>
      <c r="G113" s="886"/>
      <c r="H113" s="643"/>
    </row>
    <row r="114" spans="1:9" s="634" customFormat="1" ht="13">
      <c r="A114" s="880" t="str">
        <f>A2</f>
        <v>Comparison of Tax Exempt Value to Total Fair Market Value (FMV) of Real Estate by Locality - Tax Year 2023</v>
      </c>
      <c r="B114" s="645"/>
      <c r="C114" s="645"/>
      <c r="D114" s="645"/>
      <c r="E114" s="645"/>
      <c r="F114" s="645"/>
      <c r="G114" s="645"/>
      <c r="H114" s="645"/>
      <c r="I114" s="728"/>
    </row>
    <row r="115" spans="1:9" ht="6" customHeight="1" thickBot="1">
      <c r="A115" s="736"/>
      <c r="B115" s="737"/>
      <c r="C115" s="872"/>
      <c r="D115" s="872"/>
      <c r="E115" s="872"/>
      <c r="F115" s="737"/>
      <c r="G115" s="737"/>
      <c r="H115" s="737"/>
    </row>
    <row r="116" spans="1:9" ht="12" customHeight="1">
      <c r="A116" s="734"/>
      <c r="B116" s="735"/>
      <c r="C116" s="879" t="s">
        <v>801</v>
      </c>
      <c r="D116" s="873"/>
      <c r="E116" s="873"/>
      <c r="F116" s="735"/>
      <c r="G116" s="735"/>
      <c r="H116" s="735"/>
    </row>
    <row r="117" spans="1:9" ht="24" customHeight="1">
      <c r="A117" s="1223" t="s">
        <v>20</v>
      </c>
      <c r="B117" s="1224" t="s">
        <v>987</v>
      </c>
      <c r="C117" s="733" t="s">
        <v>806</v>
      </c>
      <c r="D117" s="733" t="s">
        <v>807</v>
      </c>
      <c r="E117" s="733" t="s">
        <v>808</v>
      </c>
      <c r="F117" s="1224" t="s">
        <v>988</v>
      </c>
      <c r="G117" s="1224" t="s">
        <v>986</v>
      </c>
      <c r="H117" s="1224" t="s">
        <v>989</v>
      </c>
    </row>
    <row r="118" spans="1:9" ht="18" customHeight="1">
      <c r="A118" s="620" t="s">
        <v>386</v>
      </c>
      <c r="B118" s="625">
        <f>IF('6.2'!E118=0,"",'6.2'!E118)</f>
        <v>47090634167</v>
      </c>
      <c r="C118" s="625">
        <v>4209880306</v>
      </c>
      <c r="D118" s="625">
        <v>1299351920</v>
      </c>
      <c r="E118" s="625">
        <f t="shared" ref="E118:E137" si="12">IF(SUM(C118:D118)=0,"",SUM(C118:D118))</f>
        <v>5509232226</v>
      </c>
      <c r="F118" s="877">
        <f t="shared" ref="F118:F137" si="13">IFERROR(B118+E118,"")</f>
        <v>52599866393</v>
      </c>
      <c r="G118" s="642">
        <f t="shared" ref="G118:G137" si="14">IFERROR(E118/F118,"")</f>
        <v>0.10473852128896605</v>
      </c>
      <c r="H118" s="625">
        <v>61152477.7086</v>
      </c>
      <c r="I118" s="730"/>
    </row>
    <row r="119" spans="1:9" ht="11.25" customHeight="1">
      <c r="A119" s="620" t="s">
        <v>391</v>
      </c>
      <c r="B119" s="626">
        <f>IF('6.2'!E119=0,"",'6.2'!E119)</f>
        <v>1335993988</v>
      </c>
      <c r="C119" s="626">
        <v>148845600</v>
      </c>
      <c r="D119" s="626">
        <v>88127200</v>
      </c>
      <c r="E119" s="626">
        <f t="shared" si="12"/>
        <v>236972800</v>
      </c>
      <c r="F119" s="1567">
        <f t="shared" si="13"/>
        <v>1572966788</v>
      </c>
      <c r="G119" s="642">
        <f t="shared" si="14"/>
        <v>0.15065340336988731</v>
      </c>
      <c r="H119" s="626">
        <v>2772581.76</v>
      </c>
      <c r="I119" s="730"/>
    </row>
    <row r="120" spans="1:9" ht="11.25" customHeight="1">
      <c r="A120" s="620" t="s">
        <v>169</v>
      </c>
      <c r="B120" s="626">
        <f>IF('6.2'!E120=0,"",'6.2'!E120)</f>
        <v>341888250</v>
      </c>
      <c r="C120" s="626">
        <v>42636100</v>
      </c>
      <c r="D120" s="626">
        <v>84500100</v>
      </c>
      <c r="E120" s="626">
        <f t="shared" si="12"/>
        <v>127136200</v>
      </c>
      <c r="F120" s="1567">
        <f t="shared" si="13"/>
        <v>469024450</v>
      </c>
      <c r="G120" s="642">
        <f t="shared" si="14"/>
        <v>0.27106518647375422</v>
      </c>
      <c r="H120" s="626">
        <v>1614629.74</v>
      </c>
      <c r="I120" s="730"/>
    </row>
    <row r="121" spans="1:9" ht="11.25" customHeight="1">
      <c r="A121" s="620" t="s">
        <v>171</v>
      </c>
      <c r="B121" s="626">
        <f>IF('6.2'!E121=0,"",'6.2'!E121)</f>
        <v>10408254800</v>
      </c>
      <c r="C121" s="626">
        <v>782363600</v>
      </c>
      <c r="D121" s="626">
        <v>1465521200</v>
      </c>
      <c r="E121" s="626">
        <f t="shared" si="12"/>
        <v>2247884800</v>
      </c>
      <c r="F121" s="1567">
        <f t="shared" si="13"/>
        <v>12656139600</v>
      </c>
      <c r="G121" s="642">
        <f t="shared" si="14"/>
        <v>0.17761220016884138</v>
      </c>
      <c r="H121" s="626">
        <v>21579694.079999998</v>
      </c>
      <c r="I121" s="730"/>
    </row>
    <row r="122" spans="1:9" ht="11.25" customHeight="1">
      <c r="A122" s="620" t="s">
        <v>116</v>
      </c>
      <c r="B122" s="626">
        <f>IF('6.2'!E122=0,"",'6.2'!E122)</f>
        <v>34796089700</v>
      </c>
      <c r="C122" s="626">
        <v>2641035600</v>
      </c>
      <c r="D122" s="626">
        <v>1790102500</v>
      </c>
      <c r="E122" s="626">
        <f t="shared" si="12"/>
        <v>4431138100</v>
      </c>
      <c r="F122" s="1567">
        <f t="shared" si="13"/>
        <v>39227227800</v>
      </c>
      <c r="G122" s="642">
        <f t="shared" si="14"/>
        <v>0.1129607761882169</v>
      </c>
      <c r="H122" s="626">
        <v>44754494.810000002</v>
      </c>
      <c r="I122" s="730"/>
    </row>
    <row r="123" spans="1:9" ht="18" customHeight="1">
      <c r="A123" s="620" t="s">
        <v>118</v>
      </c>
      <c r="B123" s="626">
        <f>IF('6.2'!E123=0,"",'6.2'!E123)</f>
        <v>1950917900</v>
      </c>
      <c r="C123" s="626">
        <v>70099600</v>
      </c>
      <c r="D123" s="626">
        <v>67763500</v>
      </c>
      <c r="E123" s="626">
        <f t="shared" si="12"/>
        <v>137863100</v>
      </c>
      <c r="F123" s="1567">
        <f t="shared" si="13"/>
        <v>2088781000</v>
      </c>
      <c r="G123" s="642">
        <f t="shared" si="14"/>
        <v>6.6001701470857876E-2</v>
      </c>
      <c r="H123" s="626">
        <v>1654357.2</v>
      </c>
      <c r="I123" s="730"/>
    </row>
    <row r="124" spans="1:9" ht="11.25" customHeight="1">
      <c r="A124" s="620" t="s">
        <v>120</v>
      </c>
      <c r="B124" s="626">
        <f>IF('6.2'!E124=0,"",'6.2'!E124)</f>
        <v>300538600</v>
      </c>
      <c r="C124" s="626">
        <v>53027900</v>
      </c>
      <c r="D124" s="626">
        <v>62185000</v>
      </c>
      <c r="E124" s="626">
        <f t="shared" si="12"/>
        <v>115212900</v>
      </c>
      <c r="F124" s="1567">
        <f t="shared" si="13"/>
        <v>415751500</v>
      </c>
      <c r="G124" s="642">
        <f t="shared" si="14"/>
        <v>0.27711962554554825</v>
      </c>
      <c r="H124" s="626">
        <v>979309.65</v>
      </c>
      <c r="I124" s="730"/>
    </row>
    <row r="125" spans="1:9" ht="11.25" customHeight="1">
      <c r="A125" s="620" t="s">
        <v>122</v>
      </c>
      <c r="B125" s="626">
        <f>IF('6.2'!E125=0,"",'6.2'!E125)</f>
        <v>2440167900</v>
      </c>
      <c r="C125" s="626">
        <v>325016600</v>
      </c>
      <c r="D125" s="626">
        <v>200878700</v>
      </c>
      <c r="E125" s="626">
        <f t="shared" si="12"/>
        <v>525895300</v>
      </c>
      <c r="F125" s="1567">
        <f t="shared" si="13"/>
        <v>2966063200</v>
      </c>
      <c r="G125" s="642">
        <f t="shared" si="14"/>
        <v>0.17730414510385348</v>
      </c>
      <c r="H125" s="626">
        <v>4417520.5199999996</v>
      </c>
      <c r="I125" s="730"/>
    </row>
    <row r="126" spans="1:9" ht="11.25" customHeight="1">
      <c r="A126" s="620" t="s">
        <v>124</v>
      </c>
      <c r="B126" s="626">
        <f>IF('6.2'!E126=0,"",'6.2'!E126)</f>
        <v>379676800</v>
      </c>
      <c r="C126" s="626">
        <v>44244400</v>
      </c>
      <c r="D126" s="626">
        <v>31643100</v>
      </c>
      <c r="E126" s="626">
        <f t="shared" si="12"/>
        <v>75887500</v>
      </c>
      <c r="F126" s="1567">
        <f t="shared" si="13"/>
        <v>455564300</v>
      </c>
      <c r="G126" s="642">
        <f t="shared" si="14"/>
        <v>0.16657911956665614</v>
      </c>
      <c r="H126" s="626">
        <v>698165</v>
      </c>
      <c r="I126" s="730"/>
    </row>
    <row r="127" spans="1:9" ht="11.25" customHeight="1">
      <c r="A127" s="620" t="s">
        <v>859</v>
      </c>
      <c r="B127" s="626">
        <f>IF('6.2'!E127=0,"",'6.2'!E127)</f>
        <v>7637090200</v>
      </c>
      <c r="C127" s="626">
        <v>277948800</v>
      </c>
      <c r="D127" s="626">
        <v>361601500</v>
      </c>
      <c r="E127" s="626">
        <f t="shared" si="12"/>
        <v>639550300</v>
      </c>
      <c r="F127" s="1567">
        <f t="shared" si="13"/>
        <v>8276640500</v>
      </c>
      <c r="G127" s="642">
        <f t="shared" si="14"/>
        <v>7.7271726372554181E-2</v>
      </c>
      <c r="H127" s="626">
        <v>6555390.5750000002</v>
      </c>
      <c r="I127" s="730"/>
    </row>
    <row r="128" spans="1:9" ht="18" customHeight="1">
      <c r="A128" s="620" t="s">
        <v>417</v>
      </c>
      <c r="B128" s="626">
        <f>IF('6.2'!E128=0,"",'6.2'!E128)</f>
        <v>5359547000</v>
      </c>
      <c r="C128" s="626">
        <v>142663700</v>
      </c>
      <c r="D128" s="626">
        <v>105362000</v>
      </c>
      <c r="E128" s="626">
        <f t="shared" si="12"/>
        <v>248025700</v>
      </c>
      <c r="F128" s="1567">
        <f t="shared" si="13"/>
        <v>5607572700</v>
      </c>
      <c r="G128" s="642">
        <f t="shared" si="14"/>
        <v>4.4230492098657946E-2</v>
      </c>
      <c r="H128" s="626">
        <v>3050716.11</v>
      </c>
      <c r="I128" s="730"/>
    </row>
    <row r="129" spans="1:9" ht="11.25" customHeight="1">
      <c r="A129" s="620" t="s">
        <v>21</v>
      </c>
      <c r="B129" s="626">
        <f>IF('6.2'!E129=0,"",'6.2'!E129)</f>
        <v>627913900</v>
      </c>
      <c r="C129" s="626">
        <v>35575300</v>
      </c>
      <c r="D129" s="626">
        <v>92027200</v>
      </c>
      <c r="E129" s="626">
        <f t="shared" si="12"/>
        <v>127602500</v>
      </c>
      <c r="F129" s="1567">
        <f t="shared" si="13"/>
        <v>755516400</v>
      </c>
      <c r="G129" s="642">
        <f t="shared" si="14"/>
        <v>0.16889441446936163</v>
      </c>
      <c r="H129" s="626">
        <v>1314305.75</v>
      </c>
      <c r="I129" s="730"/>
    </row>
    <row r="130" spans="1:9" ht="11.25" customHeight="1">
      <c r="A130" s="620" t="s">
        <v>129</v>
      </c>
      <c r="B130" s="626">
        <f>IF('6.2'!E130=0,"",'6.2'!E130)</f>
        <v>4703973200</v>
      </c>
      <c r="C130" s="626">
        <v>970402300</v>
      </c>
      <c r="D130" s="626">
        <v>457889800</v>
      </c>
      <c r="E130" s="626">
        <f t="shared" si="12"/>
        <v>1428292100</v>
      </c>
      <c r="F130" s="1567">
        <f t="shared" si="13"/>
        <v>6132265300</v>
      </c>
      <c r="G130" s="642">
        <f t="shared" si="14"/>
        <v>0.23291427068558171</v>
      </c>
      <c r="H130" s="626">
        <v>12283312.060000001</v>
      </c>
      <c r="I130" s="730"/>
    </row>
    <row r="131" spans="1:9" ht="11.25" customHeight="1">
      <c r="A131" s="620" t="s">
        <v>131</v>
      </c>
      <c r="B131" s="626">
        <f>IF('6.2'!E131=0,"",'6.2'!E131)</f>
        <v>476599150</v>
      </c>
      <c r="C131" s="626">
        <v>63234500</v>
      </c>
      <c r="D131" s="626">
        <v>25955100</v>
      </c>
      <c r="E131" s="626">
        <f t="shared" si="12"/>
        <v>89189600</v>
      </c>
      <c r="F131" s="1567">
        <f t="shared" si="13"/>
        <v>565788750</v>
      </c>
      <c r="G131" s="642">
        <f t="shared" si="14"/>
        <v>0.15763763418767163</v>
      </c>
      <c r="H131" s="626">
        <v>891896</v>
      </c>
      <c r="I131" s="730"/>
    </row>
    <row r="132" spans="1:9" ht="11.25" customHeight="1">
      <c r="A132" s="620" t="s">
        <v>427</v>
      </c>
      <c r="B132" s="626">
        <f>IF('6.2'!E132=0,"",'6.2'!E132)</f>
        <v>14261654000</v>
      </c>
      <c r="C132" s="626">
        <v>3150904900</v>
      </c>
      <c r="D132" s="626">
        <v>603131200</v>
      </c>
      <c r="E132" s="626">
        <f t="shared" si="12"/>
        <v>3754036100</v>
      </c>
      <c r="F132" s="1567">
        <f t="shared" si="13"/>
        <v>18015690100</v>
      </c>
      <c r="G132" s="642">
        <f t="shared" si="14"/>
        <v>0.20837592560498142</v>
      </c>
      <c r="H132" s="626">
        <v>44297625.979999997</v>
      </c>
      <c r="I132" s="730"/>
    </row>
    <row r="133" spans="1:9" ht="18" customHeight="1">
      <c r="A133" s="620" t="s">
        <v>787</v>
      </c>
      <c r="B133" s="626">
        <f>IF('6.2'!E133=0,"",'6.2'!E133)</f>
        <v>4957761950</v>
      </c>
      <c r="C133" s="626">
        <v>1270469130</v>
      </c>
      <c r="D133" s="626">
        <v>391871900</v>
      </c>
      <c r="E133" s="626">
        <f t="shared" si="12"/>
        <v>1662341030</v>
      </c>
      <c r="F133" s="1567">
        <f t="shared" si="13"/>
        <v>6620102980</v>
      </c>
      <c r="G133" s="642">
        <f t="shared" si="14"/>
        <v>0.25110501075619218</v>
      </c>
      <c r="H133" s="626">
        <v>15459771.579</v>
      </c>
      <c r="I133" s="730"/>
    </row>
    <row r="134" spans="1:9" ht="11.25" customHeight="1">
      <c r="A134" s="620" t="s">
        <v>137</v>
      </c>
      <c r="B134" s="626">
        <f>IF('6.2'!E134=0,"",'6.2'!E134)</f>
        <v>1925769800</v>
      </c>
      <c r="C134" s="626">
        <v>177245900</v>
      </c>
      <c r="D134" s="626">
        <v>50088300</v>
      </c>
      <c r="E134" s="626">
        <f t="shared" si="12"/>
        <v>227334200</v>
      </c>
      <c r="F134" s="1567">
        <f t="shared" si="13"/>
        <v>2153104000</v>
      </c>
      <c r="G134" s="642">
        <f t="shared" si="14"/>
        <v>0.10558440279707808</v>
      </c>
      <c r="H134" s="626">
        <v>2568876.46</v>
      </c>
      <c r="I134" s="730"/>
    </row>
    <row r="135" spans="1:9" ht="11.25" customHeight="1">
      <c r="A135" s="620" t="s">
        <v>788</v>
      </c>
      <c r="B135" s="626">
        <f>IF('6.2'!E135=0,"",'6.2'!E135)</f>
        <v>677669700</v>
      </c>
      <c r="C135" s="626">
        <v>687363400</v>
      </c>
      <c r="D135" s="626">
        <v>643252500</v>
      </c>
      <c r="E135" s="626">
        <f t="shared" si="12"/>
        <v>1330615900</v>
      </c>
      <c r="F135" s="1567">
        <f t="shared" si="13"/>
        <v>2008285600</v>
      </c>
      <c r="G135" s="642">
        <f t="shared" si="14"/>
        <v>0.66256308365702565</v>
      </c>
      <c r="H135" s="626">
        <v>12241666.279999999</v>
      </c>
      <c r="I135" s="730"/>
    </row>
    <row r="136" spans="1:9" ht="11.25" customHeight="1">
      <c r="A136" s="620" t="s">
        <v>141</v>
      </c>
      <c r="B136" s="626">
        <f>IF('6.2'!E136=0,"",'6.2'!E136)</f>
        <v>6312195400</v>
      </c>
      <c r="C136" s="626">
        <v>492251800</v>
      </c>
      <c r="D136" s="626">
        <v>1551007200</v>
      </c>
      <c r="E136" s="626">
        <f t="shared" si="12"/>
        <v>2043259000</v>
      </c>
      <c r="F136" s="1567">
        <f t="shared" si="13"/>
        <v>8355454400</v>
      </c>
      <c r="G136" s="642">
        <f t="shared" si="14"/>
        <v>0.24454193658216841</v>
      </c>
      <c r="H136" s="626">
        <v>22680174.899999999</v>
      </c>
      <c r="I136" s="730"/>
    </row>
    <row r="137" spans="1:9">
      <c r="A137" s="620" t="s">
        <v>789</v>
      </c>
      <c r="B137" s="626">
        <f>IF('6.2'!E137=0,"",'6.2'!E137)</f>
        <v>6229338800</v>
      </c>
      <c r="C137" s="626">
        <v>601204100</v>
      </c>
      <c r="D137" s="626">
        <v>249966500</v>
      </c>
      <c r="E137" s="626">
        <f t="shared" si="12"/>
        <v>851170600</v>
      </c>
      <c r="F137" s="1567">
        <f t="shared" si="13"/>
        <v>7080509400</v>
      </c>
      <c r="G137" s="642">
        <f t="shared" si="14"/>
        <v>0.12021318692126869</v>
      </c>
      <c r="H137" s="626">
        <v>9660786.3100000005</v>
      </c>
      <c r="I137" s="730"/>
    </row>
    <row r="138" spans="1:9" ht="18" customHeight="1">
      <c r="A138" s="620" t="s">
        <v>318</v>
      </c>
      <c r="B138" s="629">
        <f>IF('6.2'!E138=0,"",'6.2'!E138)</f>
        <v>2162602400</v>
      </c>
      <c r="C138" s="626">
        <v>186092300</v>
      </c>
      <c r="D138" s="626">
        <v>4929400</v>
      </c>
      <c r="E138" s="629">
        <f t="shared" ref="E138:E155" si="15">IF(SUM(C138:D138)=0,"",SUM(C138:D138))</f>
        <v>191021700</v>
      </c>
      <c r="F138" s="1566">
        <f t="shared" ref="F138:F155" si="16">IFERROR(B138+E138,"")</f>
        <v>2353624100</v>
      </c>
      <c r="G138" s="1565">
        <f t="shared" ref="G138:G155" si="17">IFERROR(E138/F138,"")</f>
        <v>8.1160666225333092E-2</v>
      </c>
      <c r="H138" s="626">
        <v>2769814.65</v>
      </c>
      <c r="I138" s="730"/>
    </row>
    <row r="139" spans="1:9" ht="11.25" customHeight="1">
      <c r="A139" s="620" t="s">
        <v>147</v>
      </c>
      <c r="B139" s="626">
        <f>IF('6.2'!E139=0,"",'6.2'!E139)</f>
        <v>651746786</v>
      </c>
      <c r="C139" s="626">
        <v>56121600</v>
      </c>
      <c r="D139" s="626">
        <v>89341800</v>
      </c>
      <c r="E139" s="626">
        <f t="shared" si="15"/>
        <v>145463400</v>
      </c>
      <c r="F139" s="1567">
        <f t="shared" si="16"/>
        <v>797210186</v>
      </c>
      <c r="G139" s="642">
        <f t="shared" si="17"/>
        <v>0.18246555620401969</v>
      </c>
      <c r="H139" s="626">
        <v>1512455.7015</v>
      </c>
      <c r="I139" s="730"/>
    </row>
    <row r="140" spans="1:9" ht="11.25" customHeight="1">
      <c r="A140" s="620" t="s">
        <v>149</v>
      </c>
      <c r="B140" s="626">
        <f>IF('6.2'!E140=0,"",'6.2'!E140)</f>
        <v>20346589500</v>
      </c>
      <c r="C140" s="626">
        <v>6870816400</v>
      </c>
      <c r="D140" s="626">
        <v>908646500</v>
      </c>
      <c r="E140" s="626">
        <f t="shared" si="15"/>
        <v>7779462900</v>
      </c>
      <c r="F140" s="1567">
        <f t="shared" si="16"/>
        <v>28126052400</v>
      </c>
      <c r="G140" s="642">
        <f t="shared" si="17"/>
        <v>0.27659277560046075</v>
      </c>
      <c r="H140" s="626">
        <v>93353554.799999997</v>
      </c>
      <c r="I140" s="730"/>
    </row>
    <row r="141" spans="1:9" ht="11.25" customHeight="1">
      <c r="A141" s="620" t="s">
        <v>151</v>
      </c>
      <c r="B141" s="626">
        <f>IF('6.2'!E141=0,"",'6.2'!E141)</f>
        <v>26108428900</v>
      </c>
      <c r="C141" s="626">
        <v>10721686500</v>
      </c>
      <c r="D141" s="626">
        <v>2645073800</v>
      </c>
      <c r="E141" s="626">
        <f t="shared" si="15"/>
        <v>13366760300</v>
      </c>
      <c r="F141" s="1567">
        <f t="shared" si="16"/>
        <v>39475189200</v>
      </c>
      <c r="G141" s="642">
        <f t="shared" si="17"/>
        <v>0.33861168422214932</v>
      </c>
      <c r="H141" s="626">
        <v>167084503.75</v>
      </c>
      <c r="I141" s="730"/>
    </row>
    <row r="142" spans="1:9" ht="11.25" customHeight="1">
      <c r="A142" s="620" t="s">
        <v>790</v>
      </c>
      <c r="B142" s="626">
        <f>IF('6.2'!E142=0,"",'6.2'!E142)</f>
        <v>227578000</v>
      </c>
      <c r="C142" s="626">
        <v>63954900</v>
      </c>
      <c r="D142" s="626">
        <v>44501800</v>
      </c>
      <c r="E142" s="626">
        <f t="shared" si="15"/>
        <v>108456700</v>
      </c>
      <c r="F142" s="1567">
        <f t="shared" si="16"/>
        <v>336034700</v>
      </c>
      <c r="G142" s="642">
        <f t="shared" si="17"/>
        <v>0.32275446553585091</v>
      </c>
      <c r="H142" s="626">
        <v>976110.3</v>
      </c>
      <c r="I142" s="730"/>
    </row>
    <row r="143" spans="1:9" ht="18" customHeight="1">
      <c r="A143" s="636" t="s">
        <v>338</v>
      </c>
      <c r="B143" s="626">
        <f>IF('6.2'!E143=0,"",'6.2'!E143)</f>
        <v>2316943050</v>
      </c>
      <c r="C143" s="626">
        <v>110442400</v>
      </c>
      <c r="D143" s="626">
        <v>126260500</v>
      </c>
      <c r="E143" s="626">
        <f t="shared" si="15"/>
        <v>236702900</v>
      </c>
      <c r="F143" s="1567">
        <f t="shared" si="16"/>
        <v>2553645950</v>
      </c>
      <c r="G143" s="642">
        <f t="shared" si="17"/>
        <v>9.269213690331661E-2</v>
      </c>
      <c r="H143" s="626">
        <v>3006126.83</v>
      </c>
      <c r="I143" s="730"/>
    </row>
    <row r="144" spans="1:9" ht="11.25" customHeight="1">
      <c r="A144" s="620" t="s">
        <v>342</v>
      </c>
      <c r="B144" s="626">
        <f>IF('6.2'!E144=0,"",'6.2'!E144)</f>
        <v>2048711100</v>
      </c>
      <c r="C144" s="626">
        <v>42875500</v>
      </c>
      <c r="D144" s="626">
        <v>73382700</v>
      </c>
      <c r="E144" s="626">
        <f t="shared" si="15"/>
        <v>116258200</v>
      </c>
      <c r="F144" s="1567">
        <f t="shared" si="16"/>
        <v>2164969300</v>
      </c>
      <c r="G144" s="642">
        <f t="shared" si="17"/>
        <v>5.3699699113516297E-2</v>
      </c>
      <c r="H144" s="626">
        <v>1313717.6599999999</v>
      </c>
      <c r="I144" s="730"/>
    </row>
    <row r="145" spans="1:9" ht="11.25" customHeight="1">
      <c r="A145" s="620" t="s">
        <v>346</v>
      </c>
      <c r="B145" s="626">
        <f>IF('6.2'!E145=0,"",'6.2'!E145)</f>
        <v>8706281103</v>
      </c>
      <c r="C145" s="626">
        <v>5178067203</v>
      </c>
      <c r="D145" s="626">
        <v>604658550</v>
      </c>
      <c r="E145" s="626">
        <f t="shared" si="15"/>
        <v>5782725753</v>
      </c>
      <c r="F145" s="1567">
        <f t="shared" si="16"/>
        <v>14489006856</v>
      </c>
      <c r="G145" s="642">
        <f t="shared" si="17"/>
        <v>0.39911125796764546</v>
      </c>
      <c r="H145" s="626">
        <v>75175434.789000005</v>
      </c>
      <c r="I145" s="730"/>
    </row>
    <row r="146" spans="1:9" ht="11.25" customHeight="1">
      <c r="A146" s="620" t="s">
        <v>161</v>
      </c>
      <c r="B146" s="626">
        <f>IF('6.2'!E146=0,"",'6.2'!E146)</f>
        <v>912648600</v>
      </c>
      <c r="C146" s="626">
        <v>695553800</v>
      </c>
      <c r="D146" s="626">
        <v>29377300</v>
      </c>
      <c r="E146" s="626">
        <f t="shared" si="15"/>
        <v>724931100</v>
      </c>
      <c r="F146" s="1567">
        <f t="shared" si="16"/>
        <v>1637579700</v>
      </c>
      <c r="G146" s="642">
        <f t="shared" si="17"/>
        <v>0.44268446903683528</v>
      </c>
      <c r="H146" s="626">
        <v>6089421.2400000002</v>
      </c>
      <c r="I146" s="730"/>
    </row>
    <row r="147" spans="1:9" ht="11.25" customHeight="1">
      <c r="A147" s="620" t="s">
        <v>354</v>
      </c>
      <c r="B147" s="626">
        <f>IF('6.2'!E147=0,"",'6.2'!E147)</f>
        <v>35933695000</v>
      </c>
      <c r="C147" s="626">
        <v>7227567000</v>
      </c>
      <c r="D147" s="626">
        <v>2979981000</v>
      </c>
      <c r="E147" s="626">
        <f t="shared" si="15"/>
        <v>10207548000</v>
      </c>
      <c r="F147" s="1567">
        <f t="shared" si="16"/>
        <v>46141243000</v>
      </c>
      <c r="G147" s="642">
        <f t="shared" si="17"/>
        <v>0.22122394925511651</v>
      </c>
      <c r="H147" s="626">
        <v>122490576</v>
      </c>
      <c r="I147" s="730"/>
    </row>
    <row r="148" spans="1:9" ht="18" customHeight="1">
      <c r="A148" s="620" t="s">
        <v>22</v>
      </c>
      <c r="B148" s="626">
        <f>IF('6.2'!E148=0,"",'6.2'!E148)</f>
        <v>10678638700</v>
      </c>
      <c r="C148" s="626">
        <v>1264282600</v>
      </c>
      <c r="D148" s="626">
        <v>1262435300</v>
      </c>
      <c r="E148" s="626">
        <f t="shared" si="15"/>
        <v>2526717900</v>
      </c>
      <c r="F148" s="1567">
        <f t="shared" si="16"/>
        <v>13205356600</v>
      </c>
      <c r="G148" s="642">
        <f t="shared" si="17"/>
        <v>0.19134037622278219</v>
      </c>
      <c r="H148" s="626">
        <v>30825958.379999999</v>
      </c>
      <c r="I148" s="730"/>
    </row>
    <row r="149" spans="1:9" ht="11.25" customHeight="1">
      <c r="A149" s="620" t="s">
        <v>362</v>
      </c>
      <c r="B149" s="626">
        <f>IF('6.2'!E149=0,"",'6.2'!E149)</f>
        <v>2765464400</v>
      </c>
      <c r="C149" s="626">
        <v>421889200</v>
      </c>
      <c r="D149" s="626">
        <v>225554900</v>
      </c>
      <c r="E149" s="626">
        <f t="shared" si="15"/>
        <v>647444100</v>
      </c>
      <c r="F149" s="1567">
        <f t="shared" si="16"/>
        <v>3412908500</v>
      </c>
      <c r="G149" s="642">
        <f t="shared" si="17"/>
        <v>0.18970449984228993</v>
      </c>
      <c r="H149" s="626">
        <v>7769329.2000000002</v>
      </c>
      <c r="I149" s="730"/>
    </row>
    <row r="150" spans="1:9" ht="11.25" customHeight="1">
      <c r="A150" s="620" t="s">
        <v>366</v>
      </c>
      <c r="B150" s="626">
        <f>IF('6.2'!E150=0,"",'6.2'!E150)</f>
        <v>2893175214</v>
      </c>
      <c r="C150" s="626">
        <v>274208220</v>
      </c>
      <c r="D150" s="626">
        <v>177446505</v>
      </c>
      <c r="E150" s="626">
        <f t="shared" si="15"/>
        <v>451654725</v>
      </c>
      <c r="F150" s="1567">
        <f t="shared" si="16"/>
        <v>3344829939</v>
      </c>
      <c r="G150" s="642">
        <f t="shared" si="17"/>
        <v>0.13503069908990073</v>
      </c>
      <c r="H150" s="626">
        <v>4019727.0525000002</v>
      </c>
      <c r="I150" s="730"/>
    </row>
    <row r="151" spans="1:9" ht="11.25" customHeight="1">
      <c r="A151" s="620" t="s">
        <v>164</v>
      </c>
      <c r="B151" s="626">
        <f>IF('6.2'!E151=0,"",'6.2'!E151)</f>
        <v>16175311900</v>
      </c>
      <c r="C151" s="626">
        <v>840335200</v>
      </c>
      <c r="D151" s="626">
        <v>374152200</v>
      </c>
      <c r="E151" s="626">
        <f t="shared" si="15"/>
        <v>1214487400</v>
      </c>
      <c r="F151" s="1567">
        <f t="shared" si="16"/>
        <v>17389799300</v>
      </c>
      <c r="G151" s="642">
        <f t="shared" si="17"/>
        <v>6.9839069390524824E-2</v>
      </c>
      <c r="H151" s="626">
        <v>13237912.66</v>
      </c>
      <c r="I151" s="730"/>
    </row>
    <row r="152" spans="1:9" ht="11.25" customHeight="1">
      <c r="A152" s="620" t="s">
        <v>586</v>
      </c>
      <c r="B152" s="626">
        <f>IF('6.2'!E152=0,"",'6.2'!E152)</f>
        <v>69956024900</v>
      </c>
      <c r="C152" s="626">
        <v>9934288500</v>
      </c>
      <c r="D152" s="626">
        <v>1937923100</v>
      </c>
      <c r="E152" s="626">
        <f t="shared" si="15"/>
        <v>11872211600</v>
      </c>
      <c r="F152" s="1567">
        <f t="shared" si="16"/>
        <v>81828236500</v>
      </c>
      <c r="G152" s="642">
        <f t="shared" si="17"/>
        <v>0.14508697862503733</v>
      </c>
      <c r="H152" s="626">
        <v>117534894.84</v>
      </c>
      <c r="I152" s="730"/>
    </row>
    <row r="153" spans="1:9" ht="18" customHeight="1">
      <c r="A153" s="620" t="s">
        <v>166</v>
      </c>
      <c r="B153" s="626">
        <f>IF('6.2'!E153=0,"",'6.2'!E153)</f>
        <v>2720665876</v>
      </c>
      <c r="C153" s="626">
        <v>113879900</v>
      </c>
      <c r="D153" s="626">
        <v>232752600</v>
      </c>
      <c r="E153" s="626">
        <f t="shared" si="15"/>
        <v>346632500</v>
      </c>
      <c r="F153" s="1567">
        <f t="shared" si="16"/>
        <v>3067298376</v>
      </c>
      <c r="G153" s="642">
        <f t="shared" si="17"/>
        <v>0.11300905797499761</v>
      </c>
      <c r="H153" s="626">
        <v>2669070.25</v>
      </c>
      <c r="I153" s="730"/>
    </row>
    <row r="154" spans="1:9" ht="11.25" customHeight="1">
      <c r="A154" s="620" t="s">
        <v>791</v>
      </c>
      <c r="B154" s="626">
        <f>IF('6.2'!E154=0,"",'6.2'!E154)</f>
        <v>2492933670</v>
      </c>
      <c r="C154" s="626">
        <v>323336900</v>
      </c>
      <c r="D154" s="626">
        <v>879115100</v>
      </c>
      <c r="E154" s="626">
        <f t="shared" si="15"/>
        <v>1202452000</v>
      </c>
      <c r="F154" s="1567">
        <f t="shared" si="16"/>
        <v>3695385670</v>
      </c>
      <c r="G154" s="642">
        <f t="shared" si="17"/>
        <v>0.32539282970158834</v>
      </c>
      <c r="H154" s="626">
        <v>7455202.4000000004</v>
      </c>
      <c r="I154" s="730"/>
    </row>
    <row r="155" spans="1:9" ht="11.25" customHeight="1">
      <c r="A155" s="620" t="s">
        <v>170</v>
      </c>
      <c r="B155" s="626">
        <f>IF('6.2'!E155=0,"",'6.2'!E155)</f>
        <v>4303098872</v>
      </c>
      <c r="C155" s="626">
        <v>167430674</v>
      </c>
      <c r="D155" s="626">
        <v>1201106128</v>
      </c>
      <c r="E155" s="626">
        <f t="shared" si="15"/>
        <v>1368536802</v>
      </c>
      <c r="F155" s="1567">
        <f t="shared" si="16"/>
        <v>5671635674</v>
      </c>
      <c r="G155" s="642">
        <f t="shared" si="17"/>
        <v>0.241294906912598</v>
      </c>
      <c r="H155" s="626">
        <v>11358855.456599999</v>
      </c>
      <c r="I155" s="730"/>
    </row>
    <row r="156" spans="1:9" ht="5.15" customHeight="1">
      <c r="E156" s="626"/>
      <c r="F156" s="876"/>
      <c r="G156" s="642"/>
    </row>
    <row r="157" spans="1:9" ht="12.75" customHeight="1">
      <c r="A157" s="637" t="s">
        <v>24</v>
      </c>
      <c r="B157" s="637">
        <f>SUM(B118:B136,B137:B155)</f>
        <v>363614213176</v>
      </c>
      <c r="C157" s="637">
        <f>SUM(C118:C136,C137:C155)</f>
        <v>60679242333</v>
      </c>
      <c r="D157" s="637">
        <f>SUM(D118:D136,D137:D155)</f>
        <v>23418865603</v>
      </c>
      <c r="E157" s="637">
        <f>SUM(E118:E136,E137:E155)</f>
        <v>84098107936</v>
      </c>
      <c r="F157" s="878">
        <f>SUM(F118:F136,F137:F155)</f>
        <v>447712321112</v>
      </c>
      <c r="G157" s="732">
        <f>E157/F157</f>
        <v>0.18783961032638627</v>
      </c>
      <c r="H157" s="637">
        <f>SUM(H118:H136,H137:H155)</f>
        <v>939270418.43219995</v>
      </c>
    </row>
    <row r="158" spans="1:9" ht="12.75" customHeight="1">
      <c r="A158" s="637" t="s">
        <v>19</v>
      </c>
      <c r="B158" s="637">
        <f t="shared" ref="B158:H158" si="18">B112</f>
        <v>1179782944273.5</v>
      </c>
      <c r="C158" s="637">
        <f t="shared" si="18"/>
        <v>75054561391</v>
      </c>
      <c r="D158" s="637">
        <f t="shared" si="18"/>
        <v>40445664522</v>
      </c>
      <c r="E158" s="637">
        <f t="shared" si="18"/>
        <v>115500225913</v>
      </c>
      <c r="F158" s="878">
        <f t="shared" si="18"/>
        <v>1295283170186.5</v>
      </c>
      <c r="G158" s="732">
        <f>E158/F158</f>
        <v>8.9169865378834354E-2</v>
      </c>
      <c r="H158" s="637">
        <f t="shared" si="18"/>
        <v>982065301.57390046</v>
      </c>
    </row>
    <row r="159" spans="1:9" ht="5.15" customHeight="1">
      <c r="A159" s="625"/>
      <c r="B159" s="625"/>
      <c r="C159" s="625"/>
      <c r="D159" s="625"/>
      <c r="E159" s="625"/>
      <c r="F159" s="877"/>
      <c r="G159" s="625"/>
      <c r="H159" s="625"/>
    </row>
    <row r="160" spans="1:9" ht="12.75" customHeight="1">
      <c r="A160" s="637" t="s">
        <v>25</v>
      </c>
      <c r="B160" s="637">
        <f>SUM(B157:B158)</f>
        <v>1543397157449.5</v>
      </c>
      <c r="C160" s="637">
        <f>SUM(C157:C158)</f>
        <v>135733803724</v>
      </c>
      <c r="D160" s="637">
        <f>SUM(D157:D158)</f>
        <v>63864530125</v>
      </c>
      <c r="E160" s="637">
        <f>SUM(E157:E158)</f>
        <v>199598333849</v>
      </c>
      <c r="F160" s="878">
        <f>SUM(F157:F158)</f>
        <v>1742995491298.5</v>
      </c>
      <c r="G160" s="732">
        <f>E160/F160</f>
        <v>0.11451454398215503</v>
      </c>
      <c r="H160" s="637">
        <f>SUM(H157:H158)</f>
        <v>1921335720.0061004</v>
      </c>
    </row>
    <row r="161" spans="1:9" ht="3" customHeight="1">
      <c r="A161" s="643"/>
      <c r="B161" s="643"/>
      <c r="C161" s="643"/>
      <c r="D161" s="643"/>
      <c r="E161" s="643"/>
      <c r="F161" s="643"/>
      <c r="G161" s="1568"/>
      <c r="H161" s="643"/>
    </row>
    <row r="162" spans="1:9" s="1053" customFormat="1" ht="10" customHeight="1">
      <c r="A162" s="1053" t="s">
        <v>1</v>
      </c>
      <c r="B162" s="1055"/>
      <c r="C162" s="1055"/>
      <c r="D162" s="1055"/>
      <c r="E162" s="1055"/>
      <c r="F162" s="1055"/>
      <c r="G162" s="1055"/>
      <c r="H162" s="1055"/>
      <c r="I162" s="1054"/>
    </row>
    <row r="163" spans="1:9" s="1053" customFormat="1" ht="10" customHeight="1">
      <c r="A163" s="1221" t="s">
        <v>1388</v>
      </c>
      <c r="F163" s="1055"/>
      <c r="G163" s="1056"/>
      <c r="I163" s="1054"/>
    </row>
    <row r="164" spans="1:9" s="1053" customFormat="1" ht="10" customHeight="1">
      <c r="A164" s="1221" t="s">
        <v>1204</v>
      </c>
      <c r="G164" s="1056"/>
      <c r="I164" s="1054"/>
    </row>
    <row r="165" spans="1:9" s="1053" customFormat="1" ht="10" customHeight="1">
      <c r="A165" s="1221" t="s">
        <v>1205</v>
      </c>
      <c r="G165" s="1056"/>
      <c r="I165" s="1054"/>
    </row>
    <row r="166" spans="1:9" s="1053" customFormat="1" ht="10" customHeight="1">
      <c r="A166" s="1052" t="s">
        <v>924</v>
      </c>
      <c r="B166" s="1353"/>
      <c r="C166" s="1353"/>
      <c r="D166" s="1353"/>
      <c r="E166" s="1353"/>
      <c r="F166" s="1353"/>
      <c r="G166" s="1056"/>
      <c r="H166" s="1353"/>
      <c r="I166" s="1057"/>
    </row>
    <row r="167" spans="1:9">
      <c r="A167" s="717"/>
      <c r="B167" s="639"/>
      <c r="C167" s="639"/>
      <c r="D167" s="639"/>
      <c r="E167" s="639"/>
      <c r="F167" s="639"/>
      <c r="G167" s="1569"/>
      <c r="H167" s="639"/>
      <c r="I167" s="722"/>
    </row>
    <row r="168" spans="1:9">
      <c r="A168" s="717"/>
      <c r="B168" s="639"/>
      <c r="C168" s="639"/>
      <c r="D168" s="639"/>
      <c r="E168" s="639"/>
      <c r="F168" s="639"/>
      <c r="G168" s="639"/>
      <c r="H168" s="639"/>
      <c r="I168" s="722"/>
    </row>
    <row r="169" spans="1:9">
      <c r="A169" s="717"/>
      <c r="B169" s="639"/>
      <c r="C169" s="639"/>
      <c r="D169" s="639"/>
      <c r="E169" s="639"/>
      <c r="F169" s="639"/>
      <c r="G169" s="1569"/>
      <c r="H169" s="639"/>
      <c r="I169" s="722"/>
    </row>
    <row r="170" spans="1:9">
      <c r="A170" s="717"/>
      <c r="I170" s="722"/>
    </row>
    <row r="171" spans="1:9">
      <c r="A171" s="717"/>
      <c r="B171" s="640"/>
      <c r="C171" s="640"/>
      <c r="D171" s="640"/>
      <c r="E171" s="640"/>
      <c r="F171" s="640"/>
      <c r="G171" s="640"/>
      <c r="H171" s="640"/>
      <c r="I171" s="722"/>
    </row>
    <row r="172" spans="1:9">
      <c r="A172" s="717"/>
      <c r="B172" s="640"/>
      <c r="C172" s="640"/>
      <c r="D172" s="640"/>
      <c r="E172" s="640"/>
      <c r="F172" s="640"/>
      <c r="G172" s="640"/>
      <c r="H172" s="640"/>
      <c r="I172" s="722"/>
    </row>
    <row r="173" spans="1:9">
      <c r="A173" s="717"/>
      <c r="B173" s="640"/>
      <c r="C173" s="640"/>
      <c r="D173" s="640"/>
      <c r="E173" s="640"/>
      <c r="F173" s="640"/>
      <c r="G173" s="640"/>
      <c r="H173" s="640"/>
      <c r="I173" s="722"/>
    </row>
    <row r="174" spans="1:9">
      <c r="A174" s="717"/>
      <c r="B174" s="640"/>
      <c r="C174" s="640"/>
      <c r="D174" s="640"/>
      <c r="E174" s="640"/>
      <c r="F174" s="640"/>
      <c r="G174" s="640"/>
      <c r="H174" s="640"/>
      <c r="I174" s="722"/>
    </row>
    <row r="175" spans="1:9">
      <c r="B175" s="640"/>
      <c r="C175" s="640"/>
      <c r="D175" s="640"/>
      <c r="E175" s="640"/>
      <c r="F175" s="640"/>
      <c r="G175" s="640"/>
      <c r="H175" s="640"/>
      <c r="I175" s="620"/>
    </row>
  </sheetData>
  <hyperlinks>
    <hyperlink ref="I1" location="TOC!A1" display="Back" xr:uid="{00000000-0004-0000-2000-000000000000}"/>
  </hyperlinks>
  <pageMargins left="0.75" right="0.25" top="0.4" bottom="0.2" header="0.25" footer="0"/>
  <pageSetup scale="88" fitToHeight="5" orientation="landscape" r:id="rId1"/>
  <headerFooter scaleWithDoc="0">
    <oddHeader>&amp;R&amp;P</oddHeader>
  </headerFooter>
  <rowBreaks count="3" manualBreakCount="3">
    <brk id="35" max="7" man="1"/>
    <brk id="70" max="7" man="1"/>
    <brk id="112" max="7"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7030A0"/>
  </sheetPr>
  <dimension ref="A1:H218"/>
  <sheetViews>
    <sheetView zoomScale="90" zoomScaleNormal="90" workbookViewId="0">
      <selection activeCell="N59" sqref="N59"/>
    </sheetView>
  </sheetViews>
  <sheetFormatPr defaultColWidth="8.7265625" defaultRowHeight="11.5"/>
  <cols>
    <col min="1" max="1" width="16.7265625" style="672" customWidth="1"/>
    <col min="2" max="2" width="17" style="672" bestFit="1" customWidth="1"/>
    <col min="3" max="3" width="16.26953125" style="672" bestFit="1" customWidth="1"/>
    <col min="4" max="4" width="15.26953125" style="672" bestFit="1" customWidth="1"/>
    <col min="5" max="5" width="16.26953125" style="672" bestFit="1" customWidth="1"/>
    <col min="6" max="6" width="16.81640625" style="672" customWidth="1"/>
    <col min="7" max="7" width="12.7265625" style="672" bestFit="1" customWidth="1"/>
    <col min="8" max="8" width="14.453125" style="672" bestFit="1" customWidth="1"/>
    <col min="9" max="16384" width="8.7265625" style="620"/>
  </cols>
  <sheetData>
    <row r="1" spans="1:8" s="634" customFormat="1" ht="14">
      <c r="A1" s="671" t="s">
        <v>798</v>
      </c>
      <c r="B1" s="683"/>
      <c r="C1" s="683"/>
      <c r="D1" s="683"/>
      <c r="E1" s="683"/>
      <c r="F1" s="683"/>
      <c r="G1" s="683"/>
      <c r="H1" s="683"/>
    </row>
    <row r="2" spans="1:8" s="641" customFormat="1" ht="13">
      <c r="A2" s="1660" t="s">
        <v>853</v>
      </c>
      <c r="B2" s="1660"/>
      <c r="C2" s="1660"/>
      <c r="D2" s="1660"/>
      <c r="E2" s="1660"/>
      <c r="F2" s="1660"/>
      <c r="G2" s="1660"/>
      <c r="H2" s="1660"/>
    </row>
    <row r="3" spans="1:8" s="634" customFormat="1" ht="12" thickBot="1">
      <c r="A3" s="673"/>
      <c r="B3" s="673"/>
      <c r="C3" s="673"/>
      <c r="D3" s="673"/>
      <c r="E3" s="673"/>
      <c r="F3" s="673"/>
      <c r="G3" s="673"/>
      <c r="H3" s="673"/>
    </row>
    <row r="4" spans="1:8" ht="14.25" customHeight="1">
      <c r="A4" s="684"/>
      <c r="B4" s="684"/>
      <c r="C4" s="684"/>
      <c r="D4" s="684"/>
      <c r="E4" s="684"/>
      <c r="F4" s="684" t="s">
        <v>781</v>
      </c>
      <c r="G4" s="684"/>
      <c r="H4" s="684" t="s">
        <v>799</v>
      </c>
    </row>
    <row r="5" spans="1:8" ht="12.75" customHeight="1">
      <c r="A5" s="678"/>
      <c r="B5" s="678" t="s">
        <v>800</v>
      </c>
      <c r="C5" s="1659" t="s">
        <v>801</v>
      </c>
      <c r="D5" s="1659"/>
      <c r="E5" s="1659"/>
      <c r="F5" s="678" t="s">
        <v>802</v>
      </c>
      <c r="G5" s="678" t="s">
        <v>803</v>
      </c>
      <c r="H5" s="678" t="s">
        <v>804</v>
      </c>
    </row>
    <row r="6" spans="1:8">
      <c r="A6" s="674" t="s">
        <v>18</v>
      </c>
      <c r="B6" s="674" t="s">
        <v>805</v>
      </c>
      <c r="C6" s="674" t="s">
        <v>806</v>
      </c>
      <c r="D6" s="674" t="s">
        <v>807</v>
      </c>
      <c r="E6" s="674" t="s">
        <v>808</v>
      </c>
      <c r="F6" s="674" t="s">
        <v>809</v>
      </c>
      <c r="G6" s="674" t="s">
        <v>781</v>
      </c>
      <c r="H6" s="674" t="s">
        <v>306</v>
      </c>
    </row>
    <row r="7" spans="1:8" ht="6.75" customHeight="1">
      <c r="A7" s="678"/>
      <c r="B7" s="678"/>
      <c r="C7" s="678"/>
      <c r="D7" s="678"/>
      <c r="E7" s="678"/>
      <c r="F7" s="678"/>
      <c r="G7" s="678"/>
      <c r="H7" s="678"/>
    </row>
    <row r="8" spans="1:8" ht="11.25" customHeight="1">
      <c r="A8" s="672" t="s">
        <v>47</v>
      </c>
      <c r="B8" s="685">
        <v>3660008300</v>
      </c>
      <c r="C8" s="652">
        <v>500195200</v>
      </c>
      <c r="D8" s="652">
        <v>219626700</v>
      </c>
      <c r="E8" s="685">
        <v>719821900</v>
      </c>
      <c r="F8" s="685">
        <v>4379830200</v>
      </c>
      <c r="G8" s="686">
        <v>0.16434927089182591</v>
      </c>
      <c r="H8" s="652">
        <v>4390913.59</v>
      </c>
    </row>
    <row r="9" spans="1:8" ht="11.25" customHeight="1">
      <c r="A9" s="672" t="s">
        <v>49</v>
      </c>
      <c r="B9" s="676">
        <v>20552760100</v>
      </c>
      <c r="C9" s="675">
        <v>2988860500</v>
      </c>
      <c r="D9" s="675">
        <v>1153380200</v>
      </c>
      <c r="E9" s="676">
        <v>4142240700</v>
      </c>
      <c r="F9" s="676">
        <v>24695000800</v>
      </c>
      <c r="G9" s="686">
        <v>0.16773600185507992</v>
      </c>
      <c r="H9" s="675">
        <v>35374735.577999994</v>
      </c>
    </row>
    <row r="10" spans="1:8" ht="11.25" customHeight="1">
      <c r="A10" s="672" t="s">
        <v>51</v>
      </c>
      <c r="B10" s="676">
        <v>1121806200</v>
      </c>
      <c r="C10" s="675">
        <v>186611800</v>
      </c>
      <c r="D10" s="675">
        <v>103124800</v>
      </c>
      <c r="E10" s="676">
        <v>289736600</v>
      </c>
      <c r="F10" s="676">
        <v>1411542800</v>
      </c>
      <c r="G10" s="686">
        <v>0.20526235548791011</v>
      </c>
      <c r="H10" s="675">
        <v>2115077.1799999997</v>
      </c>
    </row>
    <row r="11" spans="1:8" ht="11.25" customHeight="1">
      <c r="A11" s="672" t="s">
        <v>53</v>
      </c>
      <c r="B11" s="676">
        <v>1292925055</v>
      </c>
      <c r="C11" s="675">
        <v>28922100</v>
      </c>
      <c r="D11" s="675">
        <v>54027300</v>
      </c>
      <c r="E11" s="676">
        <v>82949400</v>
      </c>
      <c r="F11" s="676">
        <v>1375874455</v>
      </c>
      <c r="G11" s="686">
        <v>6.028849485398724E-2</v>
      </c>
      <c r="H11" s="675">
        <v>398157.12</v>
      </c>
    </row>
    <row r="12" spans="1:8" ht="11.25" customHeight="1">
      <c r="A12" s="672" t="s">
        <v>55</v>
      </c>
      <c r="B12" s="676">
        <v>2652114000</v>
      </c>
      <c r="C12" s="675">
        <v>210553000</v>
      </c>
      <c r="D12" s="675">
        <v>348798800</v>
      </c>
      <c r="E12" s="676">
        <v>559351800</v>
      </c>
      <c r="F12" s="676">
        <v>3211465800</v>
      </c>
      <c r="G12" s="686">
        <v>0.17417336345291301</v>
      </c>
      <c r="H12" s="675">
        <v>3412045.9800000004</v>
      </c>
    </row>
    <row r="13" spans="1:8" ht="9" customHeight="1">
      <c r="B13" s="676"/>
      <c r="C13" s="675"/>
      <c r="D13" s="675"/>
      <c r="E13" s="676"/>
      <c r="F13" s="676"/>
      <c r="G13" s="686"/>
      <c r="H13" s="675"/>
    </row>
    <row r="14" spans="1:8" ht="11.25" customHeight="1">
      <c r="A14" s="672" t="s">
        <v>57</v>
      </c>
      <c r="B14" s="676">
        <v>1384557000</v>
      </c>
      <c r="C14" s="675">
        <v>139564800</v>
      </c>
      <c r="D14" s="675">
        <v>39838800</v>
      </c>
      <c r="E14" s="676">
        <v>179403600</v>
      </c>
      <c r="F14" s="676">
        <v>1563960600</v>
      </c>
      <c r="G14" s="686">
        <v>0.11471107392347352</v>
      </c>
      <c r="H14" s="675">
        <v>1166123.4000000001</v>
      </c>
    </row>
    <row r="15" spans="1:8" ht="11.25" customHeight="1">
      <c r="A15" s="672" t="s">
        <v>866</v>
      </c>
      <c r="B15" s="676">
        <v>77590138200</v>
      </c>
      <c r="C15" s="675">
        <v>7636276600</v>
      </c>
      <c r="D15" s="675">
        <v>1302834300</v>
      </c>
      <c r="E15" s="676">
        <v>8939110900</v>
      </c>
      <c r="F15" s="676">
        <v>86529249100</v>
      </c>
      <c r="G15" s="686">
        <v>0.10330739019437532</v>
      </c>
      <c r="H15" s="675">
        <v>917152.77833999996</v>
      </c>
    </row>
    <row r="16" spans="1:8" ht="11.25" customHeight="1">
      <c r="A16" s="672" t="s">
        <v>61</v>
      </c>
      <c r="B16" s="676">
        <v>8762829700</v>
      </c>
      <c r="C16" s="675">
        <v>593238100</v>
      </c>
      <c r="D16" s="675">
        <v>790652600</v>
      </c>
      <c r="E16" s="676">
        <v>1383890700</v>
      </c>
      <c r="F16" s="676">
        <v>10146720400</v>
      </c>
      <c r="G16" s="686">
        <v>0.13638798010044703</v>
      </c>
      <c r="H16" s="675">
        <v>8718511.4100000001</v>
      </c>
    </row>
    <row r="17" spans="1:8" ht="11.25" customHeight="1">
      <c r="A17" s="672" t="s">
        <v>63</v>
      </c>
      <c r="B17" s="676">
        <v>883391700</v>
      </c>
      <c r="C17" s="675">
        <v>249073800</v>
      </c>
      <c r="D17" s="675">
        <v>52096200</v>
      </c>
      <c r="E17" s="676">
        <v>301170000</v>
      </c>
      <c r="F17" s="676">
        <v>1184561700</v>
      </c>
      <c r="G17" s="686">
        <v>0.25424593754803992</v>
      </c>
      <c r="H17" s="675">
        <v>1505850</v>
      </c>
    </row>
    <row r="18" spans="1:8" ht="11.25" customHeight="1">
      <c r="A18" s="672" t="s">
        <v>785</v>
      </c>
      <c r="B18" s="676">
        <v>10252923534</v>
      </c>
      <c r="C18" s="675">
        <v>351983500</v>
      </c>
      <c r="D18" s="675">
        <v>472745600</v>
      </c>
      <c r="E18" s="676">
        <v>824729100</v>
      </c>
      <c r="F18" s="676">
        <v>11077652634</v>
      </c>
      <c r="G18" s="686">
        <v>7.4449806944542257E-2</v>
      </c>
      <c r="H18" s="675">
        <v>4123645.5</v>
      </c>
    </row>
    <row r="19" spans="1:8" ht="9" customHeight="1">
      <c r="B19" s="676"/>
      <c r="C19" s="676"/>
      <c r="D19" s="676"/>
      <c r="E19" s="676"/>
      <c r="F19" s="676"/>
      <c r="G19" s="686"/>
      <c r="H19" s="676"/>
    </row>
    <row r="20" spans="1:8" ht="11.25" customHeight="1">
      <c r="A20" s="672" t="s">
        <v>66</v>
      </c>
      <c r="B20" s="676">
        <v>609548100</v>
      </c>
      <c r="C20" s="675">
        <v>138882800</v>
      </c>
      <c r="D20" s="675">
        <v>29195300</v>
      </c>
      <c r="E20" s="676">
        <v>168078100</v>
      </c>
      <c r="F20" s="676">
        <v>777626200</v>
      </c>
      <c r="G20" s="686">
        <v>0.21614253737849881</v>
      </c>
      <c r="H20" s="675">
        <v>1008468.5999999999</v>
      </c>
    </row>
    <row r="21" spans="1:8" ht="11.25" customHeight="1">
      <c r="A21" s="672" t="s">
        <v>68</v>
      </c>
      <c r="B21" s="676">
        <v>3768484703</v>
      </c>
      <c r="C21" s="675">
        <v>203236000</v>
      </c>
      <c r="D21" s="675">
        <v>177158400</v>
      </c>
      <c r="E21" s="676">
        <v>380394400</v>
      </c>
      <c r="F21" s="676">
        <v>4148879103</v>
      </c>
      <c r="G21" s="686">
        <v>9.1686065213358911E-2</v>
      </c>
      <c r="H21" s="675">
        <v>3005115.7600000002</v>
      </c>
    </row>
    <row r="22" spans="1:8" ht="11.25" customHeight="1">
      <c r="A22" s="672" t="s">
        <v>70</v>
      </c>
      <c r="B22" s="676">
        <v>1304304560</v>
      </c>
      <c r="C22" s="675">
        <v>191567800</v>
      </c>
      <c r="D22" s="675">
        <v>44943300</v>
      </c>
      <c r="E22" s="676">
        <v>236511100</v>
      </c>
      <c r="F22" s="676">
        <v>1540815660</v>
      </c>
      <c r="G22" s="686">
        <v>0.15349733659898032</v>
      </c>
      <c r="H22" s="675">
        <v>1253508.83</v>
      </c>
    </row>
    <row r="23" spans="1:8" ht="11.25" customHeight="1">
      <c r="A23" s="672" t="s">
        <v>72</v>
      </c>
      <c r="B23" s="676">
        <v>2242165547</v>
      </c>
      <c r="C23" s="675">
        <v>423321892</v>
      </c>
      <c r="D23" s="675">
        <v>120322771</v>
      </c>
      <c r="E23" s="676">
        <v>543644663</v>
      </c>
      <c r="F23" s="676">
        <v>2785810210</v>
      </c>
      <c r="G23" s="686">
        <v>0.19514777462173205</v>
      </c>
      <c r="H23" s="675">
        <v>2120214.1857000003</v>
      </c>
    </row>
    <row r="24" spans="1:8" ht="11.25" customHeight="1">
      <c r="A24" s="672" t="s">
        <v>74</v>
      </c>
      <c r="B24" s="676">
        <v>1436922800</v>
      </c>
      <c r="C24" s="675">
        <v>229344100</v>
      </c>
      <c r="D24" s="675">
        <v>107341300</v>
      </c>
      <c r="E24" s="676">
        <v>336685400</v>
      </c>
      <c r="F24" s="676">
        <v>1773608200</v>
      </c>
      <c r="G24" s="686">
        <v>0.18983076420147357</v>
      </c>
      <c r="H24" s="675">
        <v>1851769.7000000002</v>
      </c>
    </row>
    <row r="25" spans="1:8" ht="9" customHeight="1">
      <c r="B25" s="676"/>
      <c r="C25" s="675"/>
      <c r="D25" s="675"/>
      <c r="E25" s="676"/>
      <c r="F25" s="676"/>
      <c r="G25" s="686"/>
      <c r="H25" s="675"/>
    </row>
    <row r="26" spans="1:8" ht="11.25" customHeight="1">
      <c r="A26" s="672" t="s">
        <v>76</v>
      </c>
      <c r="B26" s="676">
        <v>4388367457</v>
      </c>
      <c r="C26" s="675">
        <v>126791400</v>
      </c>
      <c r="D26" s="675">
        <v>311586600</v>
      </c>
      <c r="E26" s="676">
        <v>438378000</v>
      </c>
      <c r="F26" s="676">
        <v>4826745457</v>
      </c>
      <c r="G26" s="686">
        <v>9.0822688684409736E-2</v>
      </c>
      <c r="H26" s="675">
        <v>2279565.6</v>
      </c>
    </row>
    <row r="27" spans="1:8" ht="11.25" customHeight="1">
      <c r="A27" s="672" t="s">
        <v>78</v>
      </c>
      <c r="B27" s="676">
        <v>2855908212</v>
      </c>
      <c r="C27" s="675">
        <v>450046600</v>
      </c>
      <c r="D27" s="675">
        <v>180895100</v>
      </c>
      <c r="E27" s="676">
        <v>630941700</v>
      </c>
      <c r="F27" s="676">
        <v>3486849912</v>
      </c>
      <c r="G27" s="686">
        <v>0.18094891260693874</v>
      </c>
      <c r="H27" s="675">
        <v>5236816.1099999994</v>
      </c>
    </row>
    <row r="28" spans="1:8" ht="11.25" customHeight="1">
      <c r="A28" s="672" t="s">
        <v>80</v>
      </c>
      <c r="B28" s="676">
        <v>2349926800</v>
      </c>
      <c r="C28" s="675">
        <v>154633700</v>
      </c>
      <c r="D28" s="675">
        <v>72553000</v>
      </c>
      <c r="E28" s="676">
        <v>227186700</v>
      </c>
      <c r="F28" s="676">
        <v>2577113500</v>
      </c>
      <c r="G28" s="686">
        <v>8.8155488689186559E-2</v>
      </c>
      <c r="H28" s="675">
        <v>1578947.5649999999</v>
      </c>
    </row>
    <row r="29" spans="1:8" ht="11.25" customHeight="1">
      <c r="A29" s="672" t="s">
        <v>82</v>
      </c>
      <c r="B29" s="676">
        <v>853256680</v>
      </c>
      <c r="C29" s="675">
        <v>65163200</v>
      </c>
      <c r="D29" s="675">
        <v>16106000</v>
      </c>
      <c r="E29" s="676">
        <v>81269200</v>
      </c>
      <c r="F29" s="676">
        <v>934525880</v>
      </c>
      <c r="G29" s="686">
        <v>8.6963027711977323E-2</v>
      </c>
      <c r="H29" s="675">
        <v>617645.92000000004</v>
      </c>
    </row>
    <row r="30" spans="1:8" ht="11.25" customHeight="1">
      <c r="A30" s="672" t="s">
        <v>84</v>
      </c>
      <c r="B30" s="676">
        <v>1009959823</v>
      </c>
      <c r="C30" s="675">
        <v>29985904</v>
      </c>
      <c r="D30" s="675">
        <v>60032520</v>
      </c>
      <c r="E30" s="676">
        <v>90018424</v>
      </c>
      <c r="F30" s="676">
        <v>1099978247</v>
      </c>
      <c r="G30" s="686">
        <v>8.1836549264051039E-2</v>
      </c>
      <c r="H30" s="675">
        <v>558114.22879999992</v>
      </c>
    </row>
    <row r="31" spans="1:8" ht="9" customHeight="1">
      <c r="B31" s="676"/>
      <c r="C31" s="675"/>
      <c r="D31" s="675"/>
      <c r="E31" s="676"/>
      <c r="F31" s="676"/>
      <c r="G31" s="686"/>
      <c r="H31" s="675"/>
    </row>
    <row r="32" spans="1:8" ht="11.25" customHeight="1">
      <c r="A32" s="672" t="s">
        <v>86</v>
      </c>
      <c r="B32" s="676">
        <v>39063880200</v>
      </c>
      <c r="C32" s="675">
        <v>2457073200</v>
      </c>
      <c r="D32" s="675">
        <v>609605600</v>
      </c>
      <c r="E32" s="676">
        <v>3066678800</v>
      </c>
      <c r="F32" s="676">
        <v>42130559000</v>
      </c>
      <c r="G32" s="686">
        <v>7.2789891062209733E-2</v>
      </c>
      <c r="H32" s="675">
        <v>29133448.599999998</v>
      </c>
    </row>
    <row r="33" spans="1:8" ht="11.25" customHeight="1">
      <c r="A33" s="672" t="s">
        <v>88</v>
      </c>
      <c r="B33" s="676">
        <v>2406963400</v>
      </c>
      <c r="C33" s="675">
        <v>69034900</v>
      </c>
      <c r="D33" s="675">
        <v>118037000</v>
      </c>
      <c r="E33" s="676">
        <v>187071900</v>
      </c>
      <c r="F33" s="676">
        <v>2594035300</v>
      </c>
      <c r="G33" s="686">
        <v>7.2116173592549029E-2</v>
      </c>
      <c r="H33" s="675">
        <v>1328210.49</v>
      </c>
    </row>
    <row r="34" spans="1:8" ht="11.25" customHeight="1">
      <c r="A34" s="672" t="s">
        <v>90</v>
      </c>
      <c r="B34" s="676">
        <v>515130200</v>
      </c>
      <c r="C34" s="675">
        <v>94860100</v>
      </c>
      <c r="D34" s="675">
        <v>31898800</v>
      </c>
      <c r="E34" s="676">
        <v>126758900</v>
      </c>
      <c r="F34" s="676">
        <v>641889100</v>
      </c>
      <c r="G34" s="686">
        <v>0.19747788208274608</v>
      </c>
      <c r="H34" s="675">
        <v>747877.51</v>
      </c>
    </row>
    <row r="35" spans="1:8" ht="11.25" customHeight="1">
      <c r="A35" s="672" t="s">
        <v>92</v>
      </c>
      <c r="B35" s="676">
        <v>6119583418</v>
      </c>
      <c r="C35" s="675">
        <v>230303900</v>
      </c>
      <c r="D35" s="675">
        <v>284135000</v>
      </c>
      <c r="E35" s="676">
        <v>514438900</v>
      </c>
      <c r="F35" s="676">
        <v>6634022318</v>
      </c>
      <c r="G35" s="686">
        <v>7.7545548588852362E-2</v>
      </c>
      <c r="H35" s="675">
        <v>3189521.1799999997</v>
      </c>
    </row>
    <row r="36" spans="1:8" ht="11.25" customHeight="1">
      <c r="A36" s="672" t="s">
        <v>94</v>
      </c>
      <c r="B36" s="676">
        <v>863436935</v>
      </c>
      <c r="C36" s="675">
        <v>49799200</v>
      </c>
      <c r="D36" s="675">
        <v>75142200</v>
      </c>
      <c r="E36" s="676">
        <v>124941400</v>
      </c>
      <c r="F36" s="676">
        <v>988378335</v>
      </c>
      <c r="G36" s="686">
        <v>0.12641050048916744</v>
      </c>
      <c r="H36" s="675">
        <v>974542.92</v>
      </c>
    </row>
    <row r="37" spans="1:8" ht="9" customHeight="1">
      <c r="B37" s="676"/>
      <c r="C37" s="675"/>
      <c r="D37" s="675"/>
      <c r="E37" s="676"/>
      <c r="F37" s="676"/>
      <c r="G37" s="686"/>
      <c r="H37" s="675"/>
    </row>
    <row r="38" spans="1:8" ht="11.25" customHeight="1">
      <c r="A38" s="672" t="s">
        <v>96</v>
      </c>
      <c r="B38" s="676">
        <v>1292727200</v>
      </c>
      <c r="C38" s="675">
        <v>164745900</v>
      </c>
      <c r="D38" s="675">
        <v>47200600</v>
      </c>
      <c r="E38" s="676">
        <v>211946500</v>
      </c>
      <c r="F38" s="676">
        <v>1504673700</v>
      </c>
      <c r="G38" s="686">
        <v>0.14085877888342171</v>
      </c>
      <c r="H38" s="675">
        <v>1271679</v>
      </c>
    </row>
    <row r="39" spans="1:8" ht="11.25" customHeight="1">
      <c r="A39" s="672" t="s">
        <v>98</v>
      </c>
      <c r="B39" s="676">
        <v>2763388613</v>
      </c>
      <c r="C39" s="675">
        <v>221005600</v>
      </c>
      <c r="D39" s="675">
        <v>177018600</v>
      </c>
      <c r="E39" s="676">
        <v>398024200</v>
      </c>
      <c r="F39" s="676">
        <v>3161412813</v>
      </c>
      <c r="G39" s="686">
        <v>0.12590073601375007</v>
      </c>
      <c r="H39" s="675">
        <v>3144391.18</v>
      </c>
    </row>
    <row r="40" spans="1:8" ht="11.25" customHeight="1">
      <c r="A40" s="672" t="s">
        <v>100</v>
      </c>
      <c r="B40" s="676">
        <v>1390992000</v>
      </c>
      <c r="C40" s="675">
        <v>27043300</v>
      </c>
      <c r="D40" s="675">
        <v>71550500</v>
      </c>
      <c r="E40" s="676">
        <v>98593800</v>
      </c>
      <c r="F40" s="676">
        <v>1489585800</v>
      </c>
      <c r="G40" s="686">
        <v>6.6188735150402217E-2</v>
      </c>
      <c r="H40" s="675">
        <v>867625.44000000006</v>
      </c>
    </row>
    <row r="41" spans="1:8" ht="11.25" customHeight="1">
      <c r="A41" s="672" t="s">
        <v>102</v>
      </c>
      <c r="B41" s="676">
        <v>255352668383</v>
      </c>
      <c r="C41" s="675">
        <v>14733597260</v>
      </c>
      <c r="D41" s="675">
        <v>4215231250</v>
      </c>
      <c r="E41" s="676">
        <v>18948828510</v>
      </c>
      <c r="F41" s="676">
        <v>274301496893</v>
      </c>
      <c r="G41" s="686">
        <v>6.9080295676955755E-2</v>
      </c>
      <c r="H41" s="675">
        <v>217911527.86499998</v>
      </c>
    </row>
    <row r="42" spans="1:8" ht="11.25" customHeight="1">
      <c r="A42" s="672" t="s">
        <v>104</v>
      </c>
      <c r="B42" s="676">
        <v>13425985500</v>
      </c>
      <c r="C42" s="675">
        <v>666818800</v>
      </c>
      <c r="D42" s="675">
        <v>279986300</v>
      </c>
      <c r="E42" s="676">
        <v>946805100</v>
      </c>
      <c r="F42" s="676">
        <v>14372790600</v>
      </c>
      <c r="G42" s="686">
        <v>6.5874827397819316E-2</v>
      </c>
      <c r="H42" s="675">
        <v>9411242.6940000001</v>
      </c>
    </row>
    <row r="43" spans="1:8" ht="14">
      <c r="A43" s="671" t="s">
        <v>810</v>
      </c>
      <c r="B43" s="683"/>
      <c r="C43" s="683"/>
      <c r="D43" s="683"/>
      <c r="E43" s="683"/>
      <c r="F43" s="683"/>
      <c r="G43" s="683"/>
      <c r="H43" s="683"/>
    </row>
    <row r="44" spans="1:8" s="612" customFormat="1" ht="13">
      <c r="A44" s="1660" t="s">
        <v>853</v>
      </c>
      <c r="B44" s="1660"/>
      <c r="C44" s="1660"/>
      <c r="D44" s="1660"/>
      <c r="E44" s="1660"/>
      <c r="F44" s="1660"/>
      <c r="G44" s="1660"/>
      <c r="H44" s="1660"/>
    </row>
    <row r="45" spans="1:8" ht="7.5" customHeight="1" thickBot="1">
      <c r="A45" s="673"/>
      <c r="B45" s="673"/>
      <c r="C45" s="673"/>
      <c r="D45" s="673"/>
      <c r="E45" s="673"/>
      <c r="F45" s="673"/>
      <c r="G45" s="673"/>
      <c r="H45" s="673"/>
    </row>
    <row r="46" spans="1:8" ht="14.25" customHeight="1">
      <c r="A46" s="684"/>
      <c r="B46" s="684"/>
      <c r="C46" s="684"/>
      <c r="D46" s="684"/>
      <c r="E46" s="684"/>
      <c r="F46" s="684" t="s">
        <v>781</v>
      </c>
      <c r="G46" s="684"/>
      <c r="H46" s="684" t="s">
        <v>799</v>
      </c>
    </row>
    <row r="47" spans="1:8" ht="12.75" customHeight="1">
      <c r="A47" s="678"/>
      <c r="B47" s="678" t="s">
        <v>800</v>
      </c>
      <c r="C47" s="1659" t="s">
        <v>801</v>
      </c>
      <c r="D47" s="1659"/>
      <c r="E47" s="1659"/>
      <c r="F47" s="678" t="s">
        <v>802</v>
      </c>
      <c r="G47" s="678" t="s">
        <v>803</v>
      </c>
      <c r="H47" s="678" t="s">
        <v>804</v>
      </c>
    </row>
    <row r="48" spans="1:8">
      <c r="A48" s="674" t="s">
        <v>18</v>
      </c>
      <c r="B48" s="674" t="s">
        <v>805</v>
      </c>
      <c r="C48" s="674" t="s">
        <v>806</v>
      </c>
      <c r="D48" s="674" t="s">
        <v>807</v>
      </c>
      <c r="E48" s="674" t="s">
        <v>808</v>
      </c>
      <c r="F48" s="674" t="s">
        <v>809</v>
      </c>
      <c r="G48" s="674" t="s">
        <v>781</v>
      </c>
      <c r="H48" s="674" t="s">
        <v>306</v>
      </c>
    </row>
    <row r="49" spans="1:8" ht="9" customHeight="1"/>
    <row r="50" spans="1:8" ht="11.25" customHeight="1">
      <c r="A50" s="672" t="s">
        <v>106</v>
      </c>
      <c r="B50" s="685">
        <v>1791404700</v>
      </c>
      <c r="C50" s="652">
        <v>94856600</v>
      </c>
      <c r="D50" s="652">
        <v>30500900</v>
      </c>
      <c r="E50" s="685">
        <v>125357500</v>
      </c>
      <c r="F50" s="685">
        <v>1916762200</v>
      </c>
      <c r="G50" s="686">
        <v>6.5400653247439877E-2</v>
      </c>
      <c r="H50" s="652">
        <v>752145</v>
      </c>
    </row>
    <row r="51" spans="1:8" ht="11.25" customHeight="1">
      <c r="A51" s="672" t="s">
        <v>108</v>
      </c>
      <c r="B51" s="676">
        <v>2969880502</v>
      </c>
      <c r="C51" s="675">
        <v>156163600</v>
      </c>
      <c r="D51" s="675">
        <v>158906600</v>
      </c>
      <c r="E51" s="676">
        <v>315070200</v>
      </c>
      <c r="F51" s="676">
        <v>3284950702</v>
      </c>
      <c r="G51" s="686">
        <v>9.5913220191759213E-2</v>
      </c>
      <c r="H51" s="675">
        <v>2914399.35</v>
      </c>
    </row>
    <row r="52" spans="1:8" ht="11.25" customHeight="1">
      <c r="A52" s="672" t="s">
        <v>21</v>
      </c>
      <c r="B52" s="676">
        <v>7152725800</v>
      </c>
      <c r="C52" s="675">
        <v>108486200</v>
      </c>
      <c r="D52" s="675">
        <v>402424200</v>
      </c>
      <c r="E52" s="676">
        <v>510910400</v>
      </c>
      <c r="F52" s="676">
        <v>7663636200</v>
      </c>
      <c r="G52" s="686">
        <v>6.666683890866322E-2</v>
      </c>
      <c r="H52" s="675">
        <v>31165.534400000004</v>
      </c>
    </row>
    <row r="53" spans="1:8" ht="11.25" customHeight="1">
      <c r="A53" s="672" t="s">
        <v>111</v>
      </c>
      <c r="B53" s="676">
        <v>10954173175</v>
      </c>
      <c r="C53" s="675">
        <v>201482600</v>
      </c>
      <c r="D53" s="675">
        <v>963126500</v>
      </c>
      <c r="E53" s="676">
        <v>1164609100</v>
      </c>
      <c r="F53" s="676">
        <v>12118782275</v>
      </c>
      <c r="G53" s="686">
        <v>9.6099515081023268E-2</v>
      </c>
      <c r="H53" s="675">
        <v>7104115.5099999998</v>
      </c>
    </row>
    <row r="54" spans="1:8" ht="11.25" customHeight="1">
      <c r="A54" s="672" t="s">
        <v>113</v>
      </c>
      <c r="B54" s="676">
        <v>1208803700</v>
      </c>
      <c r="C54" s="675">
        <v>71976500</v>
      </c>
      <c r="D54" s="675">
        <v>72023600</v>
      </c>
      <c r="E54" s="676">
        <v>144000100</v>
      </c>
      <c r="F54" s="676">
        <v>1352803800</v>
      </c>
      <c r="G54" s="686">
        <v>0.10644566492199387</v>
      </c>
      <c r="H54" s="675">
        <v>964800.67000000016</v>
      </c>
    </row>
    <row r="55" spans="1:8" ht="9" customHeight="1">
      <c r="B55" s="676"/>
      <c r="C55" s="675"/>
      <c r="D55" s="675"/>
      <c r="E55" s="676"/>
      <c r="F55" s="676"/>
      <c r="G55" s="686"/>
      <c r="H55" s="675"/>
    </row>
    <row r="56" spans="1:8" ht="11.25" customHeight="1">
      <c r="A56" s="672" t="s">
        <v>48</v>
      </c>
      <c r="B56" s="676">
        <v>4488767686</v>
      </c>
      <c r="C56" s="675">
        <v>231336808</v>
      </c>
      <c r="D56" s="675">
        <v>161004780</v>
      </c>
      <c r="E56" s="676">
        <v>392341588</v>
      </c>
      <c r="F56" s="676">
        <v>4881109274</v>
      </c>
      <c r="G56" s="686">
        <v>8.0379595287872266E-2</v>
      </c>
      <c r="H56" s="675">
        <v>2726774.0365999998</v>
      </c>
    </row>
    <row r="57" spans="1:8" ht="11.25" customHeight="1">
      <c r="A57" s="672" t="s">
        <v>50</v>
      </c>
      <c r="B57" s="676">
        <v>5906644700</v>
      </c>
      <c r="C57" s="675">
        <v>158635400</v>
      </c>
      <c r="D57" s="675">
        <v>121415300</v>
      </c>
      <c r="E57" s="676">
        <v>280050700</v>
      </c>
      <c r="F57" s="676">
        <v>6186695400</v>
      </c>
      <c r="G57" s="686">
        <v>4.526660549669214E-2</v>
      </c>
      <c r="H57" s="675">
        <v>1484268.71</v>
      </c>
    </row>
    <row r="58" spans="1:8" ht="11.25" customHeight="1">
      <c r="A58" s="672" t="s">
        <v>52</v>
      </c>
      <c r="B58" s="676">
        <v>1668133900</v>
      </c>
      <c r="C58" s="675">
        <v>129139100</v>
      </c>
      <c r="D58" s="675">
        <v>102777300</v>
      </c>
      <c r="E58" s="676">
        <v>231916400</v>
      </c>
      <c r="F58" s="676">
        <v>1900050300</v>
      </c>
      <c r="G58" s="686">
        <v>0.12205803183210466</v>
      </c>
      <c r="H58" s="675">
        <v>1298731.8400000001</v>
      </c>
    </row>
    <row r="59" spans="1:8" ht="11.25" customHeight="1">
      <c r="A59" s="672" t="s">
        <v>54</v>
      </c>
      <c r="B59" s="676">
        <v>2314491649</v>
      </c>
      <c r="C59" s="675">
        <v>131717000</v>
      </c>
      <c r="D59" s="675">
        <v>122281900</v>
      </c>
      <c r="E59" s="676">
        <v>253998900</v>
      </c>
      <c r="F59" s="676">
        <v>2568490549</v>
      </c>
      <c r="G59" s="686">
        <v>9.8890338568265457E-2</v>
      </c>
      <c r="H59" s="675">
        <v>2082790.98</v>
      </c>
    </row>
    <row r="60" spans="1:8" ht="11.25" customHeight="1">
      <c r="A60" s="672" t="s">
        <v>56</v>
      </c>
      <c r="B60" s="676">
        <v>636966910</v>
      </c>
      <c r="C60" s="675">
        <v>161228100</v>
      </c>
      <c r="D60" s="675">
        <v>30515700</v>
      </c>
      <c r="E60" s="676">
        <v>191743800</v>
      </c>
      <c r="F60" s="676">
        <v>828710710</v>
      </c>
      <c r="G60" s="686">
        <v>0.23137603712156682</v>
      </c>
      <c r="H60" s="675">
        <v>1284683.46</v>
      </c>
    </row>
    <row r="61" spans="1:8" ht="8.25" customHeight="1">
      <c r="B61" s="672">
        <v>0</v>
      </c>
    </row>
    <row r="62" spans="1:8">
      <c r="A62" s="672" t="s">
        <v>312</v>
      </c>
      <c r="B62" s="676">
        <v>2689744036</v>
      </c>
      <c r="C62" s="675">
        <v>156625676</v>
      </c>
      <c r="D62" s="675">
        <v>259920827</v>
      </c>
      <c r="E62" s="676">
        <v>416546503</v>
      </c>
      <c r="F62" s="676">
        <v>3106290539</v>
      </c>
      <c r="G62" s="686">
        <v>0.13409772774638709</v>
      </c>
      <c r="H62" s="675">
        <v>2082732.5150000001</v>
      </c>
    </row>
    <row r="63" spans="1:8">
      <c r="A63" s="672" t="s">
        <v>60</v>
      </c>
      <c r="B63" s="676">
        <v>15841039810</v>
      </c>
      <c r="C63" s="675">
        <v>1141645401</v>
      </c>
      <c r="D63" s="675">
        <v>419159100</v>
      </c>
      <c r="E63" s="676">
        <v>1560804501</v>
      </c>
      <c r="F63" s="676">
        <v>17401844311</v>
      </c>
      <c r="G63" s="686">
        <v>8.9691901220687806E-2</v>
      </c>
      <c r="H63" s="675">
        <v>12642516.4581</v>
      </c>
    </row>
    <row r="64" spans="1:8">
      <c r="A64" s="672" t="s">
        <v>62</v>
      </c>
      <c r="B64" s="676">
        <v>40391059400</v>
      </c>
      <c r="C64" s="675">
        <v>2340973100</v>
      </c>
      <c r="D64" s="675">
        <v>1617720800</v>
      </c>
      <c r="E64" s="676">
        <v>3958693900</v>
      </c>
      <c r="F64" s="676">
        <v>44349753300</v>
      </c>
      <c r="G64" s="686">
        <v>8.9260787387514057E-2</v>
      </c>
      <c r="H64" s="675">
        <v>34440636.93</v>
      </c>
    </row>
    <row r="65" spans="1:8">
      <c r="A65" s="672" t="s">
        <v>64</v>
      </c>
      <c r="B65" s="676">
        <v>2946641700</v>
      </c>
      <c r="C65" s="675">
        <v>203216400</v>
      </c>
      <c r="D65" s="675">
        <v>376550400</v>
      </c>
      <c r="E65" s="676">
        <v>579766800</v>
      </c>
      <c r="F65" s="676">
        <v>3526408500</v>
      </c>
      <c r="G65" s="686">
        <v>0.16440715816105819</v>
      </c>
      <c r="H65" s="675">
        <v>3217705.74</v>
      </c>
    </row>
    <row r="66" spans="1:8">
      <c r="A66" s="672" t="s">
        <v>65</v>
      </c>
      <c r="B66" s="676">
        <v>674154200</v>
      </c>
      <c r="C66" s="675">
        <v>61015400</v>
      </c>
      <c r="D66" s="675">
        <v>22213400</v>
      </c>
      <c r="E66" s="676">
        <v>83228800</v>
      </c>
      <c r="F66" s="676">
        <v>757383000</v>
      </c>
      <c r="G66" s="686">
        <v>0.10988997640559664</v>
      </c>
      <c r="H66" s="675">
        <v>399498.23999999999</v>
      </c>
    </row>
    <row r="67" spans="1:8" ht="9" customHeight="1">
      <c r="B67" s="676"/>
      <c r="C67" s="675"/>
      <c r="D67" s="675"/>
      <c r="E67" s="676"/>
      <c r="F67" s="676"/>
      <c r="G67" s="686"/>
      <c r="H67" s="675"/>
    </row>
    <row r="68" spans="1:8">
      <c r="A68" s="672" t="s">
        <v>67</v>
      </c>
      <c r="B68" s="676">
        <v>5007174280</v>
      </c>
      <c r="C68" s="675">
        <v>113202600</v>
      </c>
      <c r="D68" s="675">
        <v>228685400</v>
      </c>
      <c r="E68" s="676">
        <v>341888000</v>
      </c>
      <c r="F68" s="676">
        <v>5349062280</v>
      </c>
      <c r="G68" s="686">
        <v>6.3915501840072053E-2</v>
      </c>
      <c r="H68" s="675">
        <v>2904555.83</v>
      </c>
    </row>
    <row r="69" spans="1:8">
      <c r="A69" s="672" t="s">
        <v>865</v>
      </c>
      <c r="B69" s="676">
        <v>12218758700</v>
      </c>
      <c r="C69" s="675">
        <v>594950800</v>
      </c>
      <c r="D69" s="675">
        <v>160212800</v>
      </c>
      <c r="E69" s="676">
        <v>755163600</v>
      </c>
      <c r="F69" s="676">
        <v>12973922300</v>
      </c>
      <c r="G69" s="686">
        <v>5.8206268122940739E-2</v>
      </c>
      <c r="H69" s="675">
        <v>6343374.2400000002</v>
      </c>
    </row>
    <row r="70" spans="1:8">
      <c r="A70" s="672" t="s">
        <v>71</v>
      </c>
      <c r="B70" s="676">
        <v>902427400</v>
      </c>
      <c r="C70" s="675">
        <v>25542100</v>
      </c>
      <c r="D70" s="675">
        <v>44540400</v>
      </c>
      <c r="E70" s="676">
        <v>70082500</v>
      </c>
      <c r="F70" s="676">
        <v>972509900</v>
      </c>
      <c r="G70" s="686">
        <v>7.2063533749116587E-2</v>
      </c>
      <c r="H70" s="675">
        <v>371437.25</v>
      </c>
    </row>
    <row r="71" spans="1:8">
      <c r="A71" s="672" t="s">
        <v>73</v>
      </c>
      <c r="B71" s="676">
        <v>2973689239</v>
      </c>
      <c r="C71" s="675">
        <v>1222841100</v>
      </c>
      <c r="D71" s="675">
        <v>62334300</v>
      </c>
      <c r="E71" s="676">
        <v>1285175400</v>
      </c>
      <c r="F71" s="676">
        <v>4258864639</v>
      </c>
      <c r="G71" s="686">
        <v>0.30176479154354263</v>
      </c>
      <c r="H71" s="675">
        <v>0</v>
      </c>
    </row>
    <row r="72" spans="1:8" ht="12" customHeight="1">
      <c r="A72" s="672" t="s">
        <v>348</v>
      </c>
      <c r="B72" s="676">
        <v>1409242279</v>
      </c>
      <c r="C72" s="675">
        <v>40235335</v>
      </c>
      <c r="D72" s="675">
        <v>44077188</v>
      </c>
      <c r="E72" s="676">
        <v>84312523</v>
      </c>
      <c r="F72" s="676">
        <v>1493554802</v>
      </c>
      <c r="G72" s="686">
        <v>5.645090684794303E-2</v>
      </c>
      <c r="H72" s="675">
        <v>725087.69779999997</v>
      </c>
    </row>
    <row r="73" spans="1:8" ht="8.25" customHeight="1">
      <c r="B73" s="676"/>
      <c r="C73" s="676"/>
      <c r="D73" s="675"/>
      <c r="E73" s="676"/>
      <c r="F73" s="676"/>
      <c r="G73" s="686"/>
      <c r="H73" s="676"/>
    </row>
    <row r="74" spans="1:8">
      <c r="A74" s="672" t="s">
        <v>77</v>
      </c>
      <c r="B74" s="676">
        <v>2672216300</v>
      </c>
      <c r="C74" s="675">
        <v>47581300</v>
      </c>
      <c r="D74" s="675">
        <v>77302300</v>
      </c>
      <c r="E74" s="676">
        <v>124883600</v>
      </c>
      <c r="F74" s="676">
        <v>2797099900</v>
      </c>
      <c r="G74" s="686">
        <v>4.4647529392854365E-2</v>
      </c>
      <c r="H74" s="675">
        <v>786766.67999999993</v>
      </c>
    </row>
    <row r="75" spans="1:8">
      <c r="A75" s="672" t="s">
        <v>79</v>
      </c>
      <c r="B75" s="676">
        <v>965135982</v>
      </c>
      <c r="C75" s="675">
        <v>152877078</v>
      </c>
      <c r="D75" s="675">
        <v>83224400</v>
      </c>
      <c r="E75" s="676">
        <v>236101478</v>
      </c>
      <c r="F75" s="676">
        <v>1201237460</v>
      </c>
      <c r="G75" s="686">
        <v>0.19654854752864601</v>
      </c>
      <c r="H75" s="675">
        <v>1460759.8443860002</v>
      </c>
    </row>
    <row r="76" spans="1:8">
      <c r="A76" s="672" t="s">
        <v>81</v>
      </c>
      <c r="B76" s="676">
        <v>85909281920</v>
      </c>
      <c r="C76" s="675">
        <v>5408287010</v>
      </c>
      <c r="D76" s="675">
        <v>1802929900</v>
      </c>
      <c r="E76" s="676">
        <v>7211216910</v>
      </c>
      <c r="F76" s="676">
        <v>93120498830</v>
      </c>
      <c r="G76" s="686">
        <v>7.7439629304013255E-2</v>
      </c>
      <c r="H76" s="675">
        <v>75357216.709499985</v>
      </c>
    </row>
    <row r="77" spans="1:8">
      <c r="A77" s="672" t="s">
        <v>83</v>
      </c>
      <c r="B77" s="676">
        <v>5580455500</v>
      </c>
      <c r="C77" s="675">
        <v>60982000</v>
      </c>
      <c r="D77" s="675">
        <v>128805800</v>
      </c>
      <c r="E77" s="676">
        <v>189787800</v>
      </c>
      <c r="F77" s="676">
        <v>5770243300</v>
      </c>
      <c r="G77" s="686">
        <v>3.2890779492781526E-2</v>
      </c>
      <c r="H77" s="675">
        <v>1366472.16</v>
      </c>
    </row>
    <row r="78" spans="1:8">
      <c r="A78" s="672" t="s">
        <v>85</v>
      </c>
      <c r="B78" s="676">
        <v>926502400</v>
      </c>
      <c r="C78" s="675">
        <v>45008600</v>
      </c>
      <c r="D78" s="675">
        <v>54053100</v>
      </c>
      <c r="E78" s="676">
        <v>99061700</v>
      </c>
      <c r="F78" s="676">
        <v>1025564100</v>
      </c>
      <c r="G78" s="686">
        <v>9.6592402171643874E-2</v>
      </c>
      <c r="H78" s="675">
        <v>376434.45999999996</v>
      </c>
    </row>
    <row r="79" spans="1:8" ht="9" customHeight="1">
      <c r="B79" s="676"/>
      <c r="C79" s="675"/>
      <c r="D79" s="675"/>
      <c r="E79" s="676"/>
      <c r="F79" s="676"/>
      <c r="G79" s="686"/>
      <c r="H79" s="675"/>
    </row>
    <row r="80" spans="1:8">
      <c r="A80" s="672" t="s">
        <v>87</v>
      </c>
      <c r="B80" s="676">
        <v>2265906900</v>
      </c>
      <c r="C80" s="675">
        <v>107088900</v>
      </c>
      <c r="D80" s="675">
        <v>231156000</v>
      </c>
      <c r="E80" s="676">
        <v>338244900</v>
      </c>
      <c r="F80" s="676">
        <v>2604151800</v>
      </c>
      <c r="G80" s="686">
        <v>0.12988678309766735</v>
      </c>
      <c r="H80" s="675">
        <v>2367714.2999999998</v>
      </c>
    </row>
    <row r="81" spans="1:8">
      <c r="A81" s="672" t="s">
        <v>89</v>
      </c>
      <c r="B81" s="676">
        <v>1629386500</v>
      </c>
      <c r="C81" s="675">
        <v>14025800</v>
      </c>
      <c r="D81" s="675">
        <v>57689500</v>
      </c>
      <c r="E81" s="676">
        <v>71715300</v>
      </c>
      <c r="F81" s="676">
        <v>1701101800</v>
      </c>
      <c r="G81" s="686">
        <v>4.2158147149100662E-2</v>
      </c>
      <c r="H81" s="675">
        <v>462563.68500000006</v>
      </c>
    </row>
    <row r="82" spans="1:8">
      <c r="A82" s="672" t="s">
        <v>91</v>
      </c>
      <c r="B82" s="676">
        <v>4533434600</v>
      </c>
      <c r="C82" s="675">
        <v>229717200</v>
      </c>
      <c r="D82" s="675">
        <v>237281200</v>
      </c>
      <c r="E82" s="676">
        <v>466998400</v>
      </c>
      <c r="F82" s="676">
        <v>5000433000</v>
      </c>
      <c r="G82" s="686">
        <v>9.3391592288107853E-2</v>
      </c>
      <c r="H82" s="675">
        <v>1961393.2799999998</v>
      </c>
    </row>
    <row r="83" spans="1:8">
      <c r="A83" s="672" t="s">
        <v>93</v>
      </c>
      <c r="B83" s="676">
        <v>2273920800</v>
      </c>
      <c r="C83" s="675">
        <v>33591500</v>
      </c>
      <c r="D83" s="675">
        <v>78131200</v>
      </c>
      <c r="E83" s="676">
        <v>111722700</v>
      </c>
      <c r="F83" s="676">
        <v>2385643500</v>
      </c>
      <c r="G83" s="686">
        <v>4.6831263765939879E-2</v>
      </c>
      <c r="H83" s="675">
        <v>692680.74</v>
      </c>
    </row>
    <row r="84" spans="1:8">
      <c r="A84" s="672" t="s">
        <v>95</v>
      </c>
      <c r="B84" s="676">
        <v>8658132300</v>
      </c>
      <c r="C84" s="675">
        <v>888034700</v>
      </c>
      <c r="D84" s="675">
        <v>3099854900</v>
      </c>
      <c r="E84" s="676">
        <v>3987889600</v>
      </c>
      <c r="F84" s="676">
        <v>12646021900</v>
      </c>
      <c r="G84" s="686">
        <v>0.31534735836571659</v>
      </c>
      <c r="H84" s="675">
        <v>35492217.439999998</v>
      </c>
    </row>
    <row r="85" spans="1:8" ht="14">
      <c r="A85" s="671" t="s">
        <v>810</v>
      </c>
      <c r="B85" s="683"/>
      <c r="C85" s="683"/>
      <c r="D85" s="683"/>
      <c r="E85" s="683"/>
      <c r="F85" s="683"/>
      <c r="G85" s="683"/>
      <c r="H85" s="683"/>
    </row>
    <row r="86" spans="1:8" ht="13">
      <c r="A86" s="1660" t="s">
        <v>853</v>
      </c>
      <c r="B86" s="1660"/>
      <c r="C86" s="1660"/>
      <c r="D86" s="1660"/>
      <c r="E86" s="1660"/>
      <c r="F86" s="1660"/>
      <c r="G86" s="1660"/>
      <c r="H86" s="1660"/>
    </row>
    <row r="87" spans="1:8" ht="8.25" customHeight="1" thickBot="1">
      <c r="A87" s="673"/>
      <c r="B87" s="673"/>
      <c r="C87" s="673"/>
      <c r="D87" s="673"/>
      <c r="E87" s="673"/>
      <c r="F87" s="673"/>
      <c r="G87" s="673"/>
      <c r="H87" s="673"/>
    </row>
    <row r="88" spans="1:8" ht="13.5" customHeight="1">
      <c r="A88" s="684"/>
      <c r="B88" s="684"/>
      <c r="C88" s="684"/>
      <c r="D88" s="684"/>
      <c r="E88" s="684"/>
      <c r="F88" s="684" t="s">
        <v>781</v>
      </c>
      <c r="G88" s="684"/>
      <c r="H88" s="684" t="s">
        <v>799</v>
      </c>
    </row>
    <row r="89" spans="1:8">
      <c r="A89" s="678"/>
      <c r="B89" s="678" t="s">
        <v>800</v>
      </c>
      <c r="C89" s="1659" t="s">
        <v>801</v>
      </c>
      <c r="D89" s="1659"/>
      <c r="E89" s="1659"/>
      <c r="F89" s="678" t="s">
        <v>802</v>
      </c>
      <c r="G89" s="678" t="s">
        <v>803</v>
      </c>
      <c r="H89" s="678" t="s">
        <v>804</v>
      </c>
    </row>
    <row r="90" spans="1:8">
      <c r="A90" s="674" t="s">
        <v>18</v>
      </c>
      <c r="B90" s="674" t="s">
        <v>805</v>
      </c>
      <c r="C90" s="674" t="s">
        <v>806</v>
      </c>
      <c r="D90" s="674" t="s">
        <v>807</v>
      </c>
      <c r="E90" s="674" t="s">
        <v>808</v>
      </c>
      <c r="F90" s="674" t="s">
        <v>809</v>
      </c>
      <c r="G90" s="674" t="s">
        <v>781</v>
      </c>
      <c r="H90" s="674" t="s">
        <v>306</v>
      </c>
    </row>
    <row r="91" spans="1:8" ht="9" customHeight="1">
      <c r="B91" s="676"/>
      <c r="C91" s="676"/>
      <c r="D91" s="675"/>
      <c r="E91" s="676"/>
      <c r="F91" s="676"/>
      <c r="G91" s="686"/>
      <c r="H91" s="676"/>
    </row>
    <row r="92" spans="1:8">
      <c r="A92" s="672" t="s">
        <v>97</v>
      </c>
      <c r="B92" s="685">
        <v>2985743250</v>
      </c>
      <c r="C92" s="652">
        <v>89946900</v>
      </c>
      <c r="D92" s="652">
        <v>95005200</v>
      </c>
      <c r="E92" s="685">
        <v>184952100</v>
      </c>
      <c r="F92" s="685">
        <v>3170695350</v>
      </c>
      <c r="G92" s="686">
        <v>5.8331715785939507E-2</v>
      </c>
      <c r="H92" s="652">
        <v>1331655.1200000001</v>
      </c>
    </row>
    <row r="93" spans="1:8">
      <c r="A93" s="672" t="s">
        <v>99</v>
      </c>
      <c r="B93" s="676">
        <v>3100118703</v>
      </c>
      <c r="C93" s="675">
        <v>291717062</v>
      </c>
      <c r="D93" s="675">
        <v>160646500</v>
      </c>
      <c r="E93" s="676">
        <v>452363562</v>
      </c>
      <c r="F93" s="676">
        <v>3552482265</v>
      </c>
      <c r="G93" s="686">
        <v>0.12733731747426472</v>
      </c>
      <c r="H93" s="675">
        <v>3709381.2083999999</v>
      </c>
    </row>
    <row r="94" spans="1:8">
      <c r="A94" s="672" t="s">
        <v>101</v>
      </c>
      <c r="B94" s="676">
        <v>1999101400</v>
      </c>
      <c r="C94" s="675">
        <v>180554800</v>
      </c>
      <c r="D94" s="675">
        <v>352741400</v>
      </c>
      <c r="E94" s="676">
        <v>533296200</v>
      </c>
      <c r="F94" s="676">
        <v>2532397600</v>
      </c>
      <c r="G94" s="686">
        <v>0.21058944298478249</v>
      </c>
      <c r="H94" s="675">
        <v>4426358.459999999</v>
      </c>
    </row>
    <row r="95" spans="1:8">
      <c r="A95" s="672" t="s">
        <v>103</v>
      </c>
      <c r="B95" s="676">
        <v>3047609200</v>
      </c>
      <c r="C95" s="675">
        <v>14658100</v>
      </c>
      <c r="D95" s="675">
        <v>82189900</v>
      </c>
      <c r="E95" s="676">
        <v>96848000</v>
      </c>
      <c r="F95" s="676">
        <v>3144457200</v>
      </c>
      <c r="G95" s="686">
        <v>3.0799592374798422E-2</v>
      </c>
      <c r="H95" s="675">
        <v>571403.19999999995</v>
      </c>
    </row>
    <row r="96" spans="1:8">
      <c r="A96" s="672" t="s">
        <v>105</v>
      </c>
      <c r="B96" s="676">
        <v>977114191</v>
      </c>
      <c r="C96" s="675">
        <v>157744496</v>
      </c>
      <c r="D96" s="675">
        <v>80086632</v>
      </c>
      <c r="E96" s="676">
        <v>237831128</v>
      </c>
      <c r="F96" s="676">
        <v>1214945319</v>
      </c>
      <c r="G96" s="686">
        <v>0.19575459428557213</v>
      </c>
      <c r="H96" s="675">
        <v>1141589.3600000001</v>
      </c>
    </row>
    <row r="97" spans="1:8" ht="9" customHeight="1">
      <c r="B97" s="676"/>
      <c r="C97" s="675"/>
      <c r="D97" s="675"/>
      <c r="E97" s="676"/>
      <c r="F97" s="676"/>
      <c r="G97" s="686"/>
      <c r="H97" s="675"/>
    </row>
    <row r="98" spans="1:8">
      <c r="A98" s="672" t="s">
        <v>107</v>
      </c>
      <c r="B98" s="676">
        <v>4173536200</v>
      </c>
      <c r="C98" s="675">
        <v>300602600</v>
      </c>
      <c r="D98" s="675">
        <v>100109800</v>
      </c>
      <c r="E98" s="676">
        <v>400712400</v>
      </c>
      <c r="F98" s="676">
        <v>4574248600</v>
      </c>
      <c r="G98" s="686">
        <v>8.7601797593598207E-2</v>
      </c>
      <c r="H98" s="675">
        <v>3221727.696</v>
      </c>
    </row>
    <row r="99" spans="1:8">
      <c r="A99" s="672" t="s">
        <v>109</v>
      </c>
      <c r="B99" s="676">
        <v>2520990100</v>
      </c>
      <c r="C99" s="675">
        <v>256238400</v>
      </c>
      <c r="D99" s="675">
        <v>199185200</v>
      </c>
      <c r="E99" s="676">
        <v>455423600</v>
      </c>
      <c r="F99" s="676">
        <v>2976413700</v>
      </c>
      <c r="G99" s="686">
        <v>0.15301085329636804</v>
      </c>
      <c r="H99" s="675">
        <v>3324592.2800000003</v>
      </c>
    </row>
    <row r="100" spans="1:8">
      <c r="A100" s="672" t="s">
        <v>110</v>
      </c>
      <c r="B100" s="676">
        <v>1582512500</v>
      </c>
      <c r="C100" s="675">
        <v>47649800</v>
      </c>
      <c r="D100" s="675">
        <v>107242300</v>
      </c>
      <c r="E100" s="676">
        <v>154892100</v>
      </c>
      <c r="F100" s="676">
        <v>1737404600</v>
      </c>
      <c r="G100" s="686">
        <v>8.9151427364702496E-2</v>
      </c>
      <c r="H100" s="675">
        <v>1053266.28</v>
      </c>
    </row>
    <row r="101" spans="1:8">
      <c r="A101" s="672" t="s">
        <v>112</v>
      </c>
      <c r="B101" s="676">
        <v>4829255400</v>
      </c>
      <c r="C101" s="675">
        <v>167193700</v>
      </c>
      <c r="D101" s="675">
        <v>441036400</v>
      </c>
      <c r="E101" s="676">
        <v>608230100</v>
      </c>
      <c r="F101" s="676">
        <v>5437485500</v>
      </c>
      <c r="G101" s="686">
        <v>0.11185870748528892</v>
      </c>
      <c r="H101" s="675">
        <v>3771026.62</v>
      </c>
    </row>
    <row r="102" spans="1:8">
      <c r="A102" s="672" t="s">
        <v>114</v>
      </c>
      <c r="B102" s="676">
        <v>3854983400</v>
      </c>
      <c r="C102" s="675">
        <v>124691900</v>
      </c>
      <c r="D102" s="675">
        <v>173339300</v>
      </c>
      <c r="E102" s="676">
        <v>298031200</v>
      </c>
      <c r="F102" s="676">
        <v>4153014600</v>
      </c>
      <c r="G102" s="686">
        <v>7.176261793059914E-2</v>
      </c>
      <c r="H102" s="675">
        <v>2622674.56</v>
      </c>
    </row>
    <row r="103" spans="1:8" ht="6" customHeight="1">
      <c r="B103" s="676"/>
      <c r="C103" s="676"/>
      <c r="D103" s="675"/>
      <c r="E103" s="676"/>
      <c r="F103" s="676"/>
      <c r="G103" s="686"/>
      <c r="H103" s="676"/>
    </row>
    <row r="104" spans="1:8">
      <c r="A104" s="672" t="s">
        <v>115</v>
      </c>
      <c r="B104" s="676">
        <v>1559337150</v>
      </c>
      <c r="C104" s="675">
        <v>89522200</v>
      </c>
      <c r="D104" s="675">
        <v>339059600</v>
      </c>
      <c r="E104" s="676">
        <v>428581800</v>
      </c>
      <c r="F104" s="676">
        <v>1987918950</v>
      </c>
      <c r="G104" s="686">
        <v>0.21559319609081648</v>
      </c>
      <c r="H104" s="675">
        <v>2185767.1800000002</v>
      </c>
    </row>
    <row r="105" spans="1:8">
      <c r="A105" s="672" t="s">
        <v>117</v>
      </c>
      <c r="B105" s="676">
        <v>3001941606</v>
      </c>
      <c r="C105" s="675">
        <v>2522070700</v>
      </c>
      <c r="D105" s="675">
        <v>114317200</v>
      </c>
      <c r="E105" s="676">
        <v>2636387900</v>
      </c>
      <c r="F105" s="676">
        <v>5638329506</v>
      </c>
      <c r="G105" s="686">
        <v>0.4675831551161565</v>
      </c>
      <c r="H105" s="675">
        <v>0</v>
      </c>
    </row>
    <row r="106" spans="1:8">
      <c r="A106" s="672" t="s">
        <v>119</v>
      </c>
      <c r="B106" s="676">
        <v>62427619400</v>
      </c>
      <c r="C106" s="675">
        <v>2563110200</v>
      </c>
      <c r="D106" s="675">
        <v>1881943800</v>
      </c>
      <c r="E106" s="676">
        <v>4445054000</v>
      </c>
      <c r="F106" s="676">
        <v>66872673400</v>
      </c>
      <c r="G106" s="686">
        <v>6.6470409720452414E-2</v>
      </c>
      <c r="H106" s="675">
        <v>50006857.5</v>
      </c>
    </row>
    <row r="107" spans="1:8">
      <c r="A107" s="672" t="s">
        <v>121</v>
      </c>
      <c r="B107" s="676">
        <v>2745847155</v>
      </c>
      <c r="C107" s="675">
        <v>533537900</v>
      </c>
      <c r="D107" s="675">
        <v>94469100</v>
      </c>
      <c r="E107" s="676">
        <v>628007000</v>
      </c>
      <c r="F107" s="676">
        <v>3373854155</v>
      </c>
      <c r="G107" s="686">
        <v>0.18613934424797329</v>
      </c>
      <c r="H107" s="675">
        <v>4835653.9000000004</v>
      </c>
    </row>
    <row r="108" spans="1:8">
      <c r="A108" s="672" t="s">
        <v>123</v>
      </c>
      <c r="B108" s="676">
        <v>2168949300</v>
      </c>
      <c r="C108" s="675">
        <v>111067200</v>
      </c>
      <c r="D108" s="675">
        <v>31289500</v>
      </c>
      <c r="E108" s="676">
        <v>142356700</v>
      </c>
      <c r="F108" s="676">
        <v>2311306000</v>
      </c>
      <c r="G108" s="686">
        <v>6.159145522055496E-2</v>
      </c>
      <c r="H108" s="675">
        <v>953789.89</v>
      </c>
    </row>
    <row r="109" spans="1:8" ht="6" customHeight="1">
      <c r="B109" s="676"/>
      <c r="C109" s="675"/>
      <c r="D109" s="675"/>
      <c r="E109" s="676"/>
      <c r="F109" s="676"/>
      <c r="G109" s="686"/>
      <c r="H109" s="675"/>
    </row>
    <row r="110" spans="1:8">
      <c r="A110" s="672" t="s">
        <v>125</v>
      </c>
      <c r="B110" s="676">
        <v>881309994</v>
      </c>
      <c r="C110" s="675">
        <v>71054907</v>
      </c>
      <c r="D110" s="675">
        <v>54224012</v>
      </c>
      <c r="E110" s="676">
        <v>125278919</v>
      </c>
      <c r="F110" s="676">
        <v>1006588913</v>
      </c>
      <c r="G110" s="686">
        <v>0.12445887033130873</v>
      </c>
      <c r="H110" s="675">
        <v>876952.43299999996</v>
      </c>
    </row>
    <row r="111" spans="1:8">
      <c r="A111" s="672" t="s">
        <v>22</v>
      </c>
      <c r="B111" s="676">
        <v>8883727000</v>
      </c>
      <c r="C111" s="675">
        <v>661601500</v>
      </c>
      <c r="D111" s="675">
        <v>448570900</v>
      </c>
      <c r="E111" s="676">
        <v>1110172400</v>
      </c>
      <c r="F111" s="676">
        <v>9993899400</v>
      </c>
      <c r="G111" s="686">
        <v>0.11108500852029789</v>
      </c>
      <c r="H111" s="675">
        <v>12100879.16</v>
      </c>
    </row>
    <row r="112" spans="1:8">
      <c r="A112" s="672" t="s">
        <v>127</v>
      </c>
      <c r="B112" s="676">
        <v>3093716140</v>
      </c>
      <c r="C112" s="675">
        <v>211111000</v>
      </c>
      <c r="D112" s="675">
        <v>191861400</v>
      </c>
      <c r="E112" s="676">
        <v>402972400</v>
      </c>
      <c r="F112" s="676">
        <v>3496688540</v>
      </c>
      <c r="G112" s="686">
        <v>0.1152440074059327</v>
      </c>
      <c r="H112" s="675">
        <v>2941698.52</v>
      </c>
    </row>
    <row r="113" spans="1:8">
      <c r="A113" s="672" t="s">
        <v>128</v>
      </c>
      <c r="B113" s="676">
        <v>9123576400</v>
      </c>
      <c r="C113" s="675">
        <v>329295100</v>
      </c>
      <c r="D113" s="675">
        <v>852377900</v>
      </c>
      <c r="E113" s="676">
        <v>1181673000</v>
      </c>
      <c r="F113" s="676">
        <v>10305249400</v>
      </c>
      <c r="G113" s="686">
        <v>0.11466709384054305</v>
      </c>
      <c r="H113" s="675">
        <v>8744380.1999999993</v>
      </c>
    </row>
    <row r="114" spans="1:8">
      <c r="A114" s="672" t="s">
        <v>130</v>
      </c>
      <c r="B114" s="676">
        <v>1608993683</v>
      </c>
      <c r="C114" s="675">
        <v>129226060</v>
      </c>
      <c r="D114" s="675">
        <v>102856200</v>
      </c>
      <c r="E114" s="676">
        <v>232082260</v>
      </c>
      <c r="F114" s="676">
        <v>1841075943</v>
      </c>
      <c r="G114" s="686">
        <v>0.12605795045142251</v>
      </c>
      <c r="H114" s="675">
        <v>1462118.2380000001</v>
      </c>
    </row>
    <row r="115" spans="1:8" ht="8.25" customHeight="1"/>
    <row r="116" spans="1:8">
      <c r="A116" s="672" t="s">
        <v>132</v>
      </c>
      <c r="B116" s="675">
        <v>1233910100</v>
      </c>
      <c r="C116" s="675">
        <v>126056243</v>
      </c>
      <c r="D116" s="675">
        <v>164035800</v>
      </c>
      <c r="E116" s="675">
        <v>290092043</v>
      </c>
      <c r="F116" s="675">
        <v>1524002143</v>
      </c>
      <c r="G116" s="687">
        <v>0.19034884191760615</v>
      </c>
      <c r="H116" s="675">
        <v>2320736.344</v>
      </c>
    </row>
    <row r="117" spans="1:8">
      <c r="A117" s="672" t="s">
        <v>134</v>
      </c>
      <c r="B117" s="676">
        <v>5018358180</v>
      </c>
      <c r="C117" s="675">
        <v>602322000</v>
      </c>
      <c r="D117" s="675">
        <v>212497600</v>
      </c>
      <c r="E117" s="676">
        <v>814819600</v>
      </c>
      <c r="F117" s="676">
        <v>5833177780</v>
      </c>
      <c r="G117" s="686">
        <v>0.13968708493571749</v>
      </c>
      <c r="H117" s="675">
        <v>5214845.4400000004</v>
      </c>
    </row>
    <row r="118" spans="1:8">
      <c r="A118" s="672" t="s">
        <v>136</v>
      </c>
      <c r="B118" s="676">
        <v>1600223200</v>
      </c>
      <c r="C118" s="675">
        <v>145722500</v>
      </c>
      <c r="D118" s="675">
        <v>205974900</v>
      </c>
      <c r="E118" s="676">
        <v>351697400</v>
      </c>
      <c r="F118" s="676">
        <v>1951920600</v>
      </c>
      <c r="G118" s="686">
        <v>0.18018017741090492</v>
      </c>
      <c r="H118" s="675">
        <v>2602560.7599999998</v>
      </c>
    </row>
    <row r="119" spans="1:8">
      <c r="A119" s="672" t="s">
        <v>138</v>
      </c>
      <c r="B119" s="676">
        <v>1822303200</v>
      </c>
      <c r="C119" s="675">
        <v>163723900</v>
      </c>
      <c r="D119" s="675">
        <v>151834700</v>
      </c>
      <c r="E119" s="676">
        <v>315558600</v>
      </c>
      <c r="F119" s="676">
        <v>2137861800</v>
      </c>
      <c r="G119" s="686">
        <v>0.14760477033641745</v>
      </c>
      <c r="H119" s="675">
        <v>2824249.4699999997</v>
      </c>
    </row>
    <row r="120" spans="1:8">
      <c r="A120" s="672" t="s">
        <v>140</v>
      </c>
      <c r="B120" s="676">
        <v>15652591400</v>
      </c>
      <c r="C120" s="675">
        <v>672150500</v>
      </c>
      <c r="D120" s="675">
        <v>189589500</v>
      </c>
      <c r="E120" s="676">
        <v>861740000</v>
      </c>
      <c r="F120" s="676">
        <v>16514331400</v>
      </c>
      <c r="G120" s="686">
        <v>5.2181343532926798E-2</v>
      </c>
      <c r="H120" s="675">
        <v>7302384.7600000007</v>
      </c>
    </row>
    <row r="121" spans="1:8" ht="9" customHeight="1">
      <c r="B121" s="676"/>
      <c r="C121" s="675"/>
      <c r="D121" s="675"/>
      <c r="E121" s="676"/>
      <c r="F121" s="676"/>
      <c r="G121" s="686"/>
      <c r="H121" s="675"/>
    </row>
    <row r="122" spans="1:8">
      <c r="A122" s="672" t="s">
        <v>142</v>
      </c>
      <c r="B122" s="676">
        <v>17858571201</v>
      </c>
      <c r="C122" s="675">
        <v>886772200</v>
      </c>
      <c r="D122" s="675">
        <v>887523300</v>
      </c>
      <c r="E122" s="676">
        <v>1774295500</v>
      </c>
      <c r="F122" s="676">
        <v>19632866701</v>
      </c>
      <c r="G122" s="686">
        <v>9.037373538066279E-2</v>
      </c>
      <c r="H122" s="675">
        <v>17920384.550000001</v>
      </c>
    </row>
    <row r="123" spans="1:8">
      <c r="A123" s="672" t="s">
        <v>144</v>
      </c>
      <c r="B123" s="676">
        <v>949954600</v>
      </c>
      <c r="C123" s="675">
        <v>54567900</v>
      </c>
      <c r="D123" s="675">
        <v>62594700</v>
      </c>
      <c r="E123" s="676">
        <v>117162600</v>
      </c>
      <c r="F123" s="676">
        <v>1067117200</v>
      </c>
      <c r="G123" s="686">
        <v>0.1097935634436405</v>
      </c>
      <c r="H123" s="675">
        <v>831854.46</v>
      </c>
    </row>
    <row r="124" spans="1:8" ht="12" customHeight="1">
      <c r="A124" s="672" t="s">
        <v>146</v>
      </c>
      <c r="B124" s="676">
        <v>898802822</v>
      </c>
      <c r="C124" s="675">
        <v>215997900</v>
      </c>
      <c r="D124" s="675">
        <v>72424100</v>
      </c>
      <c r="E124" s="676">
        <v>288422000</v>
      </c>
      <c r="F124" s="676">
        <v>1187224822</v>
      </c>
      <c r="G124" s="686">
        <v>0.24293797994732291</v>
      </c>
      <c r="H124" s="675">
        <v>1672847.5999999999</v>
      </c>
    </row>
    <row r="125" spans="1:8">
      <c r="A125" s="672" t="s">
        <v>148</v>
      </c>
      <c r="B125" s="676">
        <v>2734336575</v>
      </c>
      <c r="C125" s="675">
        <v>327346200</v>
      </c>
      <c r="D125" s="675">
        <v>215642600</v>
      </c>
      <c r="E125" s="676">
        <v>542988800</v>
      </c>
      <c r="F125" s="676">
        <v>3277325375</v>
      </c>
      <c r="G125" s="686">
        <v>0.16568046741468262</v>
      </c>
      <c r="H125" s="675">
        <v>3149335.04</v>
      </c>
    </row>
    <row r="126" spans="1:8">
      <c r="A126" s="672" t="s">
        <v>150</v>
      </c>
      <c r="B126" s="676">
        <v>4979909800</v>
      </c>
      <c r="C126" s="675">
        <v>409962400</v>
      </c>
      <c r="D126" s="675">
        <v>452250100</v>
      </c>
      <c r="E126" s="676">
        <v>862212500</v>
      </c>
      <c r="F126" s="676">
        <v>5842122300</v>
      </c>
      <c r="G126" s="686">
        <v>0.14758549303221535</v>
      </c>
      <c r="H126" s="675">
        <v>5647491.875</v>
      </c>
    </row>
    <row r="127" spans="1:8" ht="14">
      <c r="A127" s="671" t="s">
        <v>810</v>
      </c>
      <c r="B127" s="683"/>
      <c r="C127" s="683"/>
      <c r="D127" s="683"/>
      <c r="E127" s="683"/>
      <c r="F127" s="683"/>
      <c r="G127" s="683"/>
      <c r="H127" s="683"/>
    </row>
    <row r="128" spans="1:8" ht="13">
      <c r="A128" s="1660" t="s">
        <v>853</v>
      </c>
      <c r="B128" s="1660"/>
      <c r="C128" s="1660"/>
      <c r="D128" s="1660"/>
      <c r="E128" s="1660"/>
      <c r="F128" s="1660"/>
      <c r="G128" s="1660"/>
      <c r="H128" s="1660"/>
    </row>
    <row r="129" spans="1:8" ht="8.25" customHeight="1" thickBot="1">
      <c r="A129" s="673"/>
      <c r="B129" s="673"/>
      <c r="C129" s="673"/>
      <c r="D129" s="673"/>
      <c r="E129" s="673"/>
      <c r="F129" s="673"/>
      <c r="G129" s="673"/>
      <c r="H129" s="673"/>
    </row>
    <row r="130" spans="1:8" ht="12" customHeight="1">
      <c r="A130" s="684"/>
      <c r="B130" s="684"/>
      <c r="C130" s="684"/>
      <c r="D130" s="684"/>
      <c r="E130" s="684"/>
      <c r="F130" s="684" t="s">
        <v>781</v>
      </c>
      <c r="G130" s="684"/>
      <c r="H130" s="684" t="s">
        <v>799</v>
      </c>
    </row>
    <row r="131" spans="1:8">
      <c r="A131" s="678"/>
      <c r="B131" s="678" t="s">
        <v>800</v>
      </c>
      <c r="C131" s="1659" t="s">
        <v>801</v>
      </c>
      <c r="D131" s="1659"/>
      <c r="E131" s="1659"/>
      <c r="F131" s="678" t="s">
        <v>802</v>
      </c>
      <c r="G131" s="678" t="s">
        <v>803</v>
      </c>
      <c r="H131" s="678" t="s">
        <v>804</v>
      </c>
    </row>
    <row r="132" spans="1:8">
      <c r="A132" s="674" t="s">
        <v>18</v>
      </c>
      <c r="B132" s="674" t="s">
        <v>805</v>
      </c>
      <c r="C132" s="674" t="s">
        <v>806</v>
      </c>
      <c r="D132" s="674" t="s">
        <v>807</v>
      </c>
      <c r="E132" s="674" t="s">
        <v>808</v>
      </c>
      <c r="F132" s="674" t="s">
        <v>809</v>
      </c>
      <c r="G132" s="674" t="s">
        <v>781</v>
      </c>
      <c r="H132" s="674" t="s">
        <v>306</v>
      </c>
    </row>
    <row r="133" spans="1:8" ht="9" customHeight="1">
      <c r="B133" s="676"/>
      <c r="C133" s="675"/>
      <c r="D133" s="675"/>
      <c r="E133" s="676"/>
      <c r="F133" s="676"/>
      <c r="G133" s="686"/>
      <c r="H133" s="675"/>
    </row>
    <row r="134" spans="1:8">
      <c r="A134" s="672" t="s">
        <v>152</v>
      </c>
      <c r="B134" s="685">
        <v>4835927501</v>
      </c>
      <c r="C134" s="652">
        <v>272865000</v>
      </c>
      <c r="D134" s="652">
        <v>513802300</v>
      </c>
      <c r="E134" s="685">
        <v>786667300</v>
      </c>
      <c r="F134" s="685">
        <v>5622594801</v>
      </c>
      <c r="G134" s="686">
        <v>0.13991178945708274</v>
      </c>
      <c r="H134" s="652">
        <v>4956003.99</v>
      </c>
    </row>
    <row r="135" spans="1:8">
      <c r="A135" s="672" t="s">
        <v>154</v>
      </c>
      <c r="B135" s="676">
        <v>2647085400</v>
      </c>
      <c r="C135" s="675">
        <v>67034800</v>
      </c>
      <c r="D135" s="675">
        <v>67902300</v>
      </c>
      <c r="E135" s="676">
        <v>134937100</v>
      </c>
      <c r="F135" s="676">
        <v>2782022500</v>
      </c>
      <c r="G135" s="686">
        <v>4.8503238201703977E-2</v>
      </c>
      <c r="H135" s="675">
        <v>840948.91999999993</v>
      </c>
    </row>
    <row r="136" spans="1:8">
      <c r="A136" s="672" t="s">
        <v>156</v>
      </c>
      <c r="B136" s="676">
        <v>1894338921</v>
      </c>
      <c r="C136" s="675">
        <v>462294015</v>
      </c>
      <c r="D136" s="675">
        <v>523302780</v>
      </c>
      <c r="E136" s="676">
        <v>985596795</v>
      </c>
      <c r="F136" s="676">
        <v>2879935716</v>
      </c>
      <c r="G136" s="686">
        <v>0.34222874820585059</v>
      </c>
      <c r="H136" s="675">
        <v>6800617.8854999989</v>
      </c>
    </row>
    <row r="137" spans="1:8">
      <c r="A137" s="672" t="s">
        <v>158</v>
      </c>
      <c r="B137" s="676">
        <v>2599551500</v>
      </c>
      <c r="C137" s="675">
        <v>235451700</v>
      </c>
      <c r="D137" s="675">
        <v>155032200</v>
      </c>
      <c r="E137" s="676">
        <v>390483900</v>
      </c>
      <c r="F137" s="676">
        <v>2990035400</v>
      </c>
      <c r="G137" s="686">
        <v>0.13059507589776362</v>
      </c>
      <c r="H137" s="675">
        <v>2108613.06</v>
      </c>
    </row>
    <row r="138" spans="1:8">
      <c r="A138" s="672" t="s">
        <v>160</v>
      </c>
      <c r="B138" s="676">
        <v>9256819569</v>
      </c>
      <c r="C138" s="675">
        <v>4659507400</v>
      </c>
      <c r="D138" s="675">
        <v>508779100</v>
      </c>
      <c r="E138" s="676">
        <v>5168286500</v>
      </c>
      <c r="F138" s="676">
        <v>14425106069</v>
      </c>
      <c r="G138" s="686">
        <v>0.35828412458656422</v>
      </c>
      <c r="H138" s="675">
        <v>41087877.674999997</v>
      </c>
    </row>
    <row r="139" spans="1:8" ht="8.25" customHeight="1">
      <c r="B139" s="652"/>
      <c r="C139" s="652"/>
      <c r="D139" s="652"/>
      <c r="E139" s="652"/>
      <c r="F139" s="652"/>
      <c r="G139" s="652"/>
      <c r="H139" s="652"/>
    </row>
    <row r="140" spans="1:8" ht="12.75" customHeight="1">
      <c r="A140" s="688" t="s">
        <v>19</v>
      </c>
      <c r="B140" s="677">
        <v>910276017429</v>
      </c>
      <c r="C140" s="677">
        <v>66099368047</v>
      </c>
      <c r="D140" s="677">
        <v>33103623360</v>
      </c>
      <c r="E140" s="677">
        <v>99202991407</v>
      </c>
      <c r="F140" s="677">
        <v>1009479008836</v>
      </c>
      <c r="G140" s="689">
        <v>9.8271475225015323E-2</v>
      </c>
      <c r="H140" s="677">
        <v>768270608.84052575</v>
      </c>
    </row>
    <row r="141" spans="1:8" ht="7.5" customHeight="1">
      <c r="A141" s="690"/>
      <c r="B141" s="691"/>
      <c r="C141" s="691"/>
      <c r="D141" s="691"/>
      <c r="E141" s="691"/>
      <c r="F141" s="691"/>
      <c r="G141" s="692"/>
      <c r="H141" s="691"/>
    </row>
    <row r="142" spans="1:8" ht="9" customHeight="1" thickBot="1">
      <c r="A142" s="693"/>
      <c r="B142" s="693"/>
      <c r="C142" s="693"/>
      <c r="D142" s="693"/>
      <c r="E142" s="693"/>
      <c r="F142" s="693"/>
      <c r="G142" s="693"/>
      <c r="H142" s="693"/>
    </row>
    <row r="143" spans="1:8" ht="14.25" customHeight="1">
      <c r="A143" s="684"/>
      <c r="B143" s="684"/>
      <c r="C143" s="684"/>
      <c r="D143" s="684"/>
      <c r="E143" s="684"/>
      <c r="F143" s="684" t="s">
        <v>781</v>
      </c>
      <c r="G143" s="684"/>
      <c r="H143" s="684" t="s">
        <v>799</v>
      </c>
    </row>
    <row r="144" spans="1:8" ht="12.75" customHeight="1">
      <c r="A144" s="678"/>
      <c r="B144" s="678" t="s">
        <v>800</v>
      </c>
      <c r="C144" s="1659" t="s">
        <v>801</v>
      </c>
      <c r="D144" s="1659"/>
      <c r="E144" s="1659"/>
      <c r="F144" s="678" t="s">
        <v>802</v>
      </c>
      <c r="G144" s="678" t="s">
        <v>803</v>
      </c>
      <c r="H144" s="678" t="s">
        <v>804</v>
      </c>
    </row>
    <row r="145" spans="1:8">
      <c r="A145" s="674" t="s">
        <v>20</v>
      </c>
      <c r="B145" s="674" t="s">
        <v>805</v>
      </c>
      <c r="C145" s="674" t="s">
        <v>806</v>
      </c>
      <c r="D145" s="674" t="s">
        <v>807</v>
      </c>
      <c r="E145" s="674" t="s">
        <v>808</v>
      </c>
      <c r="F145" s="674" t="s">
        <v>809</v>
      </c>
      <c r="G145" s="674" t="s">
        <v>781</v>
      </c>
      <c r="H145" s="674" t="s">
        <v>306</v>
      </c>
    </row>
    <row r="146" spans="1:8" ht="9" customHeight="1">
      <c r="A146" s="678"/>
      <c r="B146" s="678"/>
      <c r="C146" s="678"/>
      <c r="D146" s="678"/>
      <c r="E146" s="678"/>
      <c r="F146" s="678"/>
      <c r="G146" s="678"/>
      <c r="H146" s="678"/>
    </row>
    <row r="147" spans="1:8" ht="12" customHeight="1">
      <c r="A147" s="672" t="s">
        <v>386</v>
      </c>
      <c r="B147" s="652">
        <v>39501128321</v>
      </c>
      <c r="C147" s="652">
        <v>3887055419</v>
      </c>
      <c r="D147" s="652">
        <v>1249195434</v>
      </c>
      <c r="E147" s="652">
        <v>5136250853</v>
      </c>
      <c r="F147" s="652">
        <v>44637379174</v>
      </c>
      <c r="G147" s="687">
        <v>0.11506613847059641</v>
      </c>
      <c r="H147" s="652">
        <v>58039634.638899997</v>
      </c>
    </row>
    <row r="148" spans="1:8" ht="12" customHeight="1">
      <c r="A148" s="672" t="s">
        <v>167</v>
      </c>
      <c r="B148" s="675">
        <v>1186847670</v>
      </c>
      <c r="C148" s="675">
        <v>156128550</v>
      </c>
      <c r="D148" s="675">
        <v>87258900</v>
      </c>
      <c r="E148" s="675">
        <v>243387450</v>
      </c>
      <c r="F148" s="675">
        <v>1430235120</v>
      </c>
      <c r="G148" s="687">
        <v>0.17017303420713092</v>
      </c>
      <c r="H148" s="675">
        <v>2847633.17</v>
      </c>
    </row>
    <row r="149" spans="1:8" ht="12" customHeight="1">
      <c r="A149" s="672" t="s">
        <v>169</v>
      </c>
      <c r="B149" s="675">
        <v>328615450</v>
      </c>
      <c r="C149" s="675">
        <v>43255300</v>
      </c>
      <c r="D149" s="675">
        <v>87951300</v>
      </c>
      <c r="E149" s="675">
        <v>131206600</v>
      </c>
      <c r="F149" s="675">
        <v>459822050</v>
      </c>
      <c r="G149" s="687">
        <v>0.2853421231104511</v>
      </c>
      <c r="H149" s="675">
        <v>1587598.7599999998</v>
      </c>
    </row>
    <row r="150" spans="1:8" ht="12" customHeight="1">
      <c r="A150" s="672" t="s">
        <v>171</v>
      </c>
      <c r="B150" s="675">
        <v>7647893000</v>
      </c>
      <c r="C150" s="675">
        <v>958398900</v>
      </c>
      <c r="D150" s="675">
        <v>1088276900</v>
      </c>
      <c r="E150" s="675">
        <v>2046675800</v>
      </c>
      <c r="F150" s="675">
        <v>9694568800</v>
      </c>
      <c r="G150" s="687">
        <v>0.21111571254205758</v>
      </c>
      <c r="H150" s="675">
        <v>19443420.099999998</v>
      </c>
    </row>
    <row r="151" spans="1:8" ht="12" customHeight="1">
      <c r="A151" s="672" t="s">
        <v>116</v>
      </c>
      <c r="B151" s="675">
        <v>28062056400</v>
      </c>
      <c r="C151" s="675">
        <v>2105752600</v>
      </c>
      <c r="D151" s="675">
        <v>1042367500</v>
      </c>
      <c r="E151" s="675">
        <v>3148120100</v>
      </c>
      <c r="F151" s="675">
        <v>31210176500</v>
      </c>
      <c r="G151" s="687">
        <v>0.10086838502819745</v>
      </c>
      <c r="H151" s="675">
        <v>33055261.050000001</v>
      </c>
    </row>
    <row r="152" spans="1:8" ht="5.25" customHeight="1">
      <c r="B152" s="675"/>
      <c r="C152" s="675"/>
      <c r="D152" s="675"/>
      <c r="E152" s="675"/>
      <c r="F152" s="675"/>
      <c r="G152" s="687"/>
      <c r="H152" s="675"/>
    </row>
    <row r="153" spans="1:8" ht="12" customHeight="1">
      <c r="A153" s="672" t="s">
        <v>118</v>
      </c>
      <c r="B153" s="675">
        <v>1694461870</v>
      </c>
      <c r="C153" s="675">
        <v>70572900</v>
      </c>
      <c r="D153" s="675">
        <v>63426800</v>
      </c>
      <c r="E153" s="675">
        <v>133999700</v>
      </c>
      <c r="F153" s="675">
        <v>1828461570</v>
      </c>
      <c r="G153" s="687">
        <v>7.328548884951408E-2</v>
      </c>
      <c r="H153" s="675">
        <v>1607996.4</v>
      </c>
    </row>
    <row r="154" spans="1:8" ht="12" customHeight="1">
      <c r="A154" s="672" t="s">
        <v>120</v>
      </c>
      <c r="B154" s="675">
        <v>299114968</v>
      </c>
      <c r="C154" s="675">
        <v>52267500</v>
      </c>
      <c r="D154" s="675">
        <v>61834700</v>
      </c>
      <c r="E154" s="675">
        <v>114102200</v>
      </c>
      <c r="F154" s="675">
        <v>413217168</v>
      </c>
      <c r="G154" s="687">
        <v>0.27613131504739413</v>
      </c>
      <c r="H154" s="675">
        <v>912817.60000000009</v>
      </c>
    </row>
    <row r="155" spans="1:8" ht="12" customHeight="1">
      <c r="A155" s="672" t="s">
        <v>122</v>
      </c>
      <c r="B155" s="675">
        <v>2264173900</v>
      </c>
      <c r="C155" s="675">
        <v>345829000</v>
      </c>
      <c r="D155" s="675">
        <v>193638600</v>
      </c>
      <c r="E155" s="675">
        <v>539467600</v>
      </c>
      <c r="F155" s="675">
        <v>2803641500</v>
      </c>
      <c r="G155" s="687">
        <v>0.19241675513791617</v>
      </c>
      <c r="H155" s="675">
        <v>4531527.84</v>
      </c>
    </row>
    <row r="156" spans="1:8" ht="12" customHeight="1">
      <c r="A156" s="672" t="s">
        <v>124</v>
      </c>
      <c r="B156" s="675">
        <v>347503600</v>
      </c>
      <c r="C156" s="675">
        <v>39419000</v>
      </c>
      <c r="D156" s="675">
        <v>33125700</v>
      </c>
      <c r="E156" s="675">
        <v>72544700</v>
      </c>
      <c r="F156" s="675">
        <v>420048300</v>
      </c>
      <c r="G156" s="687">
        <v>0.17270561504474605</v>
      </c>
      <c r="H156" s="675">
        <v>689174.64999999991</v>
      </c>
    </row>
    <row r="157" spans="1:8" ht="12" customHeight="1">
      <c r="A157" s="672" t="s">
        <v>859</v>
      </c>
      <c r="B157" s="675">
        <v>6239184700</v>
      </c>
      <c r="C157" s="675">
        <v>238946300</v>
      </c>
      <c r="D157" s="675">
        <v>343970900</v>
      </c>
      <c r="E157" s="675">
        <v>582917200</v>
      </c>
      <c r="F157" s="675">
        <v>6822101900</v>
      </c>
      <c r="G157" s="687">
        <v>8.5445396234846621E-2</v>
      </c>
      <c r="H157" s="675">
        <v>6266359.9000000004</v>
      </c>
    </row>
    <row r="158" spans="1:8" ht="5.25" customHeight="1">
      <c r="B158" s="675"/>
      <c r="C158" s="675"/>
      <c r="D158" s="675"/>
      <c r="E158" s="675"/>
      <c r="F158" s="675"/>
      <c r="G158" s="687"/>
      <c r="H158" s="675"/>
    </row>
    <row r="159" spans="1:8" ht="12" customHeight="1">
      <c r="A159" s="672" t="s">
        <v>417</v>
      </c>
      <c r="B159" s="675">
        <v>4144519800</v>
      </c>
      <c r="C159" s="675">
        <v>160142300</v>
      </c>
      <c r="D159" s="675">
        <v>140260100</v>
      </c>
      <c r="E159" s="675">
        <v>300402400</v>
      </c>
      <c r="F159" s="675">
        <v>4444922200</v>
      </c>
      <c r="G159" s="687">
        <v>6.7583275135839269E-2</v>
      </c>
      <c r="H159" s="675">
        <v>4010372.04</v>
      </c>
    </row>
    <row r="160" spans="1:8" ht="12" customHeight="1">
      <c r="A160" s="672" t="s">
        <v>21</v>
      </c>
      <c r="B160" s="675">
        <v>571192990</v>
      </c>
      <c r="C160" s="675">
        <v>38997600</v>
      </c>
      <c r="D160" s="675">
        <v>65437500</v>
      </c>
      <c r="E160" s="675">
        <v>104435100</v>
      </c>
      <c r="F160" s="675">
        <v>675628090</v>
      </c>
      <c r="G160" s="687">
        <v>0.15457483421093401</v>
      </c>
      <c r="H160" s="675">
        <v>1075681.53</v>
      </c>
    </row>
    <row r="161" spans="1:8" ht="12" customHeight="1">
      <c r="A161" s="672" t="s">
        <v>129</v>
      </c>
      <c r="B161" s="675">
        <v>4099237700</v>
      </c>
      <c r="C161" s="675">
        <v>791868300</v>
      </c>
      <c r="D161" s="675">
        <v>429376500</v>
      </c>
      <c r="E161" s="675">
        <v>1221244800</v>
      </c>
      <c r="F161" s="675">
        <v>5320482500</v>
      </c>
      <c r="G161" s="687">
        <v>0.22953647531027496</v>
      </c>
      <c r="H161" s="675">
        <v>10380580.800000001</v>
      </c>
    </row>
    <row r="162" spans="1:8" ht="12" customHeight="1">
      <c r="A162" s="672" t="s">
        <v>131</v>
      </c>
      <c r="B162" s="675">
        <v>444892350</v>
      </c>
      <c r="C162" s="675">
        <v>41934300</v>
      </c>
      <c r="D162" s="675">
        <v>25493200</v>
      </c>
      <c r="E162" s="675">
        <v>67427500</v>
      </c>
      <c r="F162" s="675">
        <v>512319850</v>
      </c>
      <c r="G162" s="687">
        <v>0.13161211692266073</v>
      </c>
      <c r="H162" s="675">
        <v>569762.375</v>
      </c>
    </row>
    <row r="163" spans="1:8" ht="12" customHeight="1">
      <c r="A163" s="672" t="s">
        <v>863</v>
      </c>
      <c r="B163" s="675">
        <v>10870556100</v>
      </c>
      <c r="C163" s="675">
        <v>3034547000</v>
      </c>
      <c r="D163" s="675">
        <v>559630800</v>
      </c>
      <c r="E163" s="675">
        <v>3594177800</v>
      </c>
      <c r="F163" s="675">
        <v>14464733900</v>
      </c>
      <c r="G163" s="687">
        <v>0.24847866713953168</v>
      </c>
      <c r="H163" s="675">
        <v>44567804.719999999</v>
      </c>
    </row>
    <row r="164" spans="1:8" ht="5.25" customHeight="1">
      <c r="B164" s="675"/>
      <c r="C164" s="675"/>
      <c r="D164" s="675"/>
      <c r="E164" s="675"/>
      <c r="F164" s="675"/>
      <c r="G164" s="687"/>
      <c r="H164" s="675"/>
    </row>
    <row r="165" spans="1:8" ht="12" customHeight="1">
      <c r="A165" s="672" t="s">
        <v>787</v>
      </c>
      <c r="B165" s="675">
        <v>4372278453</v>
      </c>
      <c r="C165" s="675">
        <v>1198552230</v>
      </c>
      <c r="D165" s="675">
        <v>338276400</v>
      </c>
      <c r="E165" s="675">
        <v>1536828630</v>
      </c>
      <c r="F165" s="675">
        <v>5909107083</v>
      </c>
      <c r="G165" s="687">
        <v>0.26007797936533011</v>
      </c>
      <c r="H165" s="675">
        <v>13216726.218000002</v>
      </c>
    </row>
    <row r="166" spans="1:8" ht="12" customHeight="1">
      <c r="A166" s="672" t="s">
        <v>137</v>
      </c>
      <c r="B166" s="675">
        <v>1364498700</v>
      </c>
      <c r="C166" s="675">
        <v>168391000</v>
      </c>
      <c r="D166" s="675">
        <v>40025900</v>
      </c>
      <c r="E166" s="675">
        <v>208416900</v>
      </c>
      <c r="F166" s="675">
        <v>1572915600</v>
      </c>
      <c r="G166" s="687">
        <v>0.13250354945936069</v>
      </c>
      <c r="H166" s="675">
        <v>2355110.9699999997</v>
      </c>
    </row>
    <row r="167" spans="1:8" ht="12" customHeight="1">
      <c r="A167" s="672" t="s">
        <v>788</v>
      </c>
      <c r="B167" s="675">
        <v>575280400</v>
      </c>
      <c r="C167" s="675">
        <v>531387900</v>
      </c>
      <c r="D167" s="675">
        <v>543230900</v>
      </c>
      <c r="E167" s="675">
        <v>1074618800</v>
      </c>
      <c r="F167" s="675">
        <v>1649899200</v>
      </c>
      <c r="G167" s="687">
        <v>0.65132391118196797</v>
      </c>
      <c r="H167" s="675">
        <v>11390959.280000001</v>
      </c>
    </row>
    <row r="168" spans="1:8" ht="12" customHeight="1">
      <c r="A168" s="672" t="s">
        <v>141</v>
      </c>
      <c r="B168" s="675">
        <v>5626575300</v>
      </c>
      <c r="C168" s="675">
        <v>462701600</v>
      </c>
      <c r="D168" s="675">
        <v>1357092800</v>
      </c>
      <c r="E168" s="675">
        <v>1819794400</v>
      </c>
      <c r="F168" s="675">
        <v>7446369700</v>
      </c>
      <c r="G168" s="687">
        <v>0.24438679159322427</v>
      </c>
      <c r="H168" s="675">
        <v>20199717.840000004</v>
      </c>
    </row>
    <row r="169" spans="1:8" ht="12" customHeight="1">
      <c r="A169" s="672" t="s">
        <v>789</v>
      </c>
      <c r="B169" s="675">
        <v>5063746000</v>
      </c>
      <c r="C169" s="675">
        <v>571514000</v>
      </c>
      <c r="D169" s="675">
        <v>237596800</v>
      </c>
      <c r="E169" s="675">
        <v>809110800</v>
      </c>
      <c r="F169" s="675">
        <v>5872856800</v>
      </c>
      <c r="G169" s="687">
        <v>0.13777124618465073</v>
      </c>
      <c r="H169" s="675">
        <v>11974839.84</v>
      </c>
    </row>
    <row r="170" spans="1:8" ht="14">
      <c r="A170" s="671" t="s">
        <v>810</v>
      </c>
      <c r="B170" s="683"/>
      <c r="C170" s="683"/>
      <c r="D170" s="683"/>
      <c r="E170" s="683"/>
      <c r="F170" s="683"/>
      <c r="G170" s="683"/>
      <c r="H170" s="683"/>
    </row>
    <row r="171" spans="1:8" ht="13">
      <c r="A171" s="1660" t="s">
        <v>853</v>
      </c>
      <c r="B171" s="1660"/>
      <c r="C171" s="1660"/>
      <c r="D171" s="1660"/>
      <c r="E171" s="1660"/>
      <c r="F171" s="1660"/>
      <c r="G171" s="1660"/>
      <c r="H171" s="1660"/>
    </row>
    <row r="172" spans="1:8" ht="12" thickBot="1">
      <c r="A172" s="673"/>
      <c r="B172" s="673"/>
      <c r="C172" s="673"/>
      <c r="D172" s="673"/>
      <c r="E172" s="673"/>
      <c r="F172" s="673"/>
      <c r="G172" s="673"/>
      <c r="H172" s="673"/>
    </row>
    <row r="173" spans="1:8" ht="14.25" customHeight="1">
      <c r="A173" s="684"/>
      <c r="B173" s="684"/>
      <c r="C173" s="684"/>
      <c r="D173" s="684"/>
      <c r="E173" s="684"/>
      <c r="F173" s="684" t="s">
        <v>781</v>
      </c>
      <c r="G173" s="684"/>
      <c r="H173" s="684" t="s">
        <v>799</v>
      </c>
    </row>
    <row r="174" spans="1:8">
      <c r="A174" s="678"/>
      <c r="B174" s="678" t="s">
        <v>800</v>
      </c>
      <c r="C174" s="1659" t="s">
        <v>801</v>
      </c>
      <c r="D174" s="1659"/>
      <c r="E174" s="1659"/>
      <c r="F174" s="678" t="s">
        <v>802</v>
      </c>
      <c r="G174" s="678" t="s">
        <v>803</v>
      </c>
      <c r="H174" s="678" t="s">
        <v>804</v>
      </c>
    </row>
    <row r="175" spans="1:8">
      <c r="A175" s="674" t="s">
        <v>20</v>
      </c>
      <c r="B175" s="674" t="s">
        <v>805</v>
      </c>
      <c r="C175" s="674" t="s">
        <v>806</v>
      </c>
      <c r="D175" s="674" t="s">
        <v>807</v>
      </c>
      <c r="E175" s="674" t="s">
        <v>808</v>
      </c>
      <c r="F175" s="674" t="s">
        <v>809</v>
      </c>
      <c r="G175" s="674" t="s">
        <v>781</v>
      </c>
      <c r="H175" s="674" t="s">
        <v>306</v>
      </c>
    </row>
    <row r="176" spans="1:8" ht="8.25" customHeight="1"/>
    <row r="177" spans="1:8" ht="12" customHeight="1">
      <c r="A177" s="672" t="s">
        <v>862</v>
      </c>
      <c r="B177" s="685">
        <v>1625685700</v>
      </c>
      <c r="C177" s="652">
        <v>131520000</v>
      </c>
      <c r="D177" s="652">
        <v>2666400</v>
      </c>
      <c r="E177" s="685">
        <v>134186400</v>
      </c>
      <c r="F177" s="685">
        <v>1759872100</v>
      </c>
      <c r="G177" s="686">
        <v>7.6247813690551711E-2</v>
      </c>
      <c r="H177" s="652">
        <v>2079889.2</v>
      </c>
    </row>
    <row r="178" spans="1:8" ht="12" customHeight="1">
      <c r="A178" s="672" t="s">
        <v>147</v>
      </c>
      <c r="B178" s="675">
        <v>638496000</v>
      </c>
      <c r="C178" s="675">
        <v>49198600</v>
      </c>
      <c r="D178" s="675">
        <v>97526700</v>
      </c>
      <c r="E178" s="675">
        <v>146725300</v>
      </c>
      <c r="F178" s="675">
        <v>785221300</v>
      </c>
      <c r="G178" s="687">
        <v>0.18685853274739236</v>
      </c>
      <c r="H178" s="675">
        <v>1558369.4113</v>
      </c>
    </row>
    <row r="179" spans="1:8" ht="12" customHeight="1">
      <c r="A179" s="672" t="s">
        <v>149</v>
      </c>
      <c r="B179" s="675">
        <v>16006199700</v>
      </c>
      <c r="C179" s="675">
        <v>18124814900</v>
      </c>
      <c r="D179" s="675">
        <v>823363300</v>
      </c>
      <c r="E179" s="675">
        <v>18948178200</v>
      </c>
      <c r="F179" s="675">
        <v>34954377900</v>
      </c>
      <c r="G179" s="687">
        <v>0.54208311915057716</v>
      </c>
      <c r="H179" s="675">
        <v>231167774.03999999</v>
      </c>
    </row>
    <row r="180" spans="1:8" ht="12" customHeight="1">
      <c r="A180" s="672" t="s">
        <v>151</v>
      </c>
      <c r="B180" s="675">
        <v>21076783700</v>
      </c>
      <c r="C180" s="675">
        <v>9362472000</v>
      </c>
      <c r="D180" s="675">
        <v>2341912500</v>
      </c>
      <c r="E180" s="675">
        <v>11704384500</v>
      </c>
      <c r="F180" s="675">
        <v>32781168200</v>
      </c>
      <c r="G180" s="687">
        <v>0.35704598532275611</v>
      </c>
      <c r="H180" s="675">
        <v>146304806.25</v>
      </c>
    </row>
    <row r="181" spans="1:8" ht="12" customHeight="1">
      <c r="A181" s="672" t="s">
        <v>790</v>
      </c>
      <c r="B181" s="675">
        <v>233537200</v>
      </c>
      <c r="C181" s="675">
        <v>34723000</v>
      </c>
      <c r="D181" s="675">
        <v>38810600</v>
      </c>
      <c r="E181" s="675">
        <v>73533600</v>
      </c>
      <c r="F181" s="675">
        <v>307070800</v>
      </c>
      <c r="G181" s="687">
        <v>0.23946790121366149</v>
      </c>
      <c r="H181" s="675">
        <v>661802.4</v>
      </c>
    </row>
    <row r="182" spans="1:8" ht="9" customHeight="1">
      <c r="B182" s="675"/>
      <c r="C182" s="675"/>
      <c r="D182" s="675"/>
      <c r="E182" s="675"/>
      <c r="F182" s="675"/>
      <c r="G182" s="687"/>
      <c r="H182" s="675"/>
    </row>
    <row r="183" spans="1:8" ht="12" customHeight="1">
      <c r="A183" s="672" t="s">
        <v>861</v>
      </c>
      <c r="B183" s="675">
        <v>1922080749</v>
      </c>
      <c r="C183" s="675">
        <v>212048307</v>
      </c>
      <c r="D183" s="675">
        <v>184754128</v>
      </c>
      <c r="E183" s="675">
        <v>396802435</v>
      </c>
      <c r="F183" s="675">
        <v>2318883184</v>
      </c>
      <c r="G183" s="687">
        <v>0.17111790612734892</v>
      </c>
      <c r="H183" s="675">
        <v>5356832.8725000005</v>
      </c>
    </row>
    <row r="184" spans="1:8" ht="12" customHeight="1">
      <c r="A184" s="672" t="s">
        <v>860</v>
      </c>
      <c r="B184" s="675">
        <v>1602049325</v>
      </c>
      <c r="C184" s="675">
        <v>40651900</v>
      </c>
      <c r="D184" s="675">
        <v>63077000</v>
      </c>
      <c r="E184" s="675">
        <v>103728900</v>
      </c>
      <c r="F184" s="675">
        <v>1705778225</v>
      </c>
      <c r="G184" s="687">
        <v>6.0810308444405194E-2</v>
      </c>
      <c r="H184" s="675">
        <v>1182509.46</v>
      </c>
    </row>
    <row r="185" spans="1:8" ht="12" customHeight="1">
      <c r="A185" s="672" t="s">
        <v>847</v>
      </c>
      <c r="B185" s="675">
        <v>7494771402</v>
      </c>
      <c r="C185" s="675">
        <v>4972003421</v>
      </c>
      <c r="D185" s="675">
        <v>563378830</v>
      </c>
      <c r="E185" s="675">
        <v>5535382251</v>
      </c>
      <c r="F185" s="675">
        <v>13030153653</v>
      </c>
      <c r="G185" s="687">
        <v>0.42481327530052265</v>
      </c>
      <c r="H185" s="675">
        <v>71959969.263000011</v>
      </c>
    </row>
    <row r="186" spans="1:8" ht="12" customHeight="1">
      <c r="A186" s="672" t="s">
        <v>161</v>
      </c>
      <c r="B186" s="675">
        <v>822947600</v>
      </c>
      <c r="C186" s="675">
        <v>573466200</v>
      </c>
      <c r="D186" s="675">
        <v>29477600</v>
      </c>
      <c r="E186" s="675">
        <v>602943800</v>
      </c>
      <c r="F186" s="675">
        <v>1425891400</v>
      </c>
      <c r="G186" s="687">
        <v>0.42285394245312091</v>
      </c>
      <c r="H186" s="675">
        <v>4944139.16</v>
      </c>
    </row>
    <row r="187" spans="1:8" ht="12" customHeight="1">
      <c r="A187" s="672" t="s">
        <v>867</v>
      </c>
      <c r="B187" s="675">
        <v>22710883000</v>
      </c>
      <c r="C187" s="675">
        <v>5582978000</v>
      </c>
      <c r="D187" s="675">
        <v>1952875000</v>
      </c>
      <c r="E187" s="675">
        <v>7535853000</v>
      </c>
      <c r="F187" s="675">
        <v>30246736000</v>
      </c>
      <c r="G187" s="687">
        <v>0.24914599049629685</v>
      </c>
      <c r="H187" s="675">
        <v>90430236</v>
      </c>
    </row>
    <row r="188" spans="1:8" ht="11.25" customHeight="1">
      <c r="B188" s="675"/>
      <c r="C188" s="675"/>
      <c r="D188" s="675"/>
      <c r="E188" s="675"/>
      <c r="F188" s="675"/>
      <c r="G188" s="687"/>
      <c r="H188" s="675"/>
    </row>
    <row r="189" spans="1:8" ht="12" customHeight="1">
      <c r="A189" s="672" t="s">
        <v>22</v>
      </c>
      <c r="B189" s="675">
        <v>7962115600</v>
      </c>
      <c r="C189" s="675">
        <v>1064329900</v>
      </c>
      <c r="D189" s="675">
        <v>1115859800</v>
      </c>
      <c r="E189" s="675">
        <v>2180189700</v>
      </c>
      <c r="F189" s="675">
        <v>10142305300</v>
      </c>
      <c r="G189" s="687">
        <v>0.2149599756181664</v>
      </c>
      <c r="H189" s="675">
        <v>26598314.34</v>
      </c>
    </row>
    <row r="190" spans="1:8" ht="12" customHeight="1">
      <c r="A190" s="672" t="s">
        <v>162</v>
      </c>
      <c r="B190" s="675">
        <v>2277666100</v>
      </c>
      <c r="C190" s="675">
        <v>342704400</v>
      </c>
      <c r="D190" s="675">
        <v>199441800</v>
      </c>
      <c r="E190" s="675">
        <v>542146200</v>
      </c>
      <c r="F190" s="675">
        <v>2819812300</v>
      </c>
      <c r="G190" s="687">
        <v>0.19226322262655568</v>
      </c>
      <c r="H190" s="675">
        <v>6505754.4000000004</v>
      </c>
    </row>
    <row r="191" spans="1:8" ht="12" customHeight="1">
      <c r="A191" s="672" t="s">
        <v>163</v>
      </c>
      <c r="B191" s="675">
        <v>2043064069</v>
      </c>
      <c r="C191" s="675">
        <v>256336765</v>
      </c>
      <c r="D191" s="675">
        <v>153955422</v>
      </c>
      <c r="E191" s="675">
        <v>410292187</v>
      </c>
      <c r="F191" s="675">
        <v>2453356256</v>
      </c>
      <c r="G191" s="687">
        <v>0.16723710060313393</v>
      </c>
      <c r="H191" s="675">
        <v>3979834.2138999999</v>
      </c>
    </row>
    <row r="192" spans="1:8" ht="12" customHeight="1">
      <c r="A192" s="672" t="s">
        <v>164</v>
      </c>
      <c r="B192" s="675">
        <v>10513127400</v>
      </c>
      <c r="C192" s="675">
        <v>747181400</v>
      </c>
      <c r="D192" s="675">
        <v>370483700</v>
      </c>
      <c r="E192" s="675">
        <v>1117665100</v>
      </c>
      <c r="F192" s="675">
        <v>11630792500</v>
      </c>
      <c r="G192" s="687">
        <v>9.6095352057910075E-2</v>
      </c>
      <c r="H192" s="675">
        <v>12406082.610000001</v>
      </c>
    </row>
    <row r="193" spans="1:8" ht="12" customHeight="1">
      <c r="A193" s="672" t="s">
        <v>586</v>
      </c>
      <c r="B193" s="675">
        <v>59558551700</v>
      </c>
      <c r="C193" s="675">
        <v>9705359000</v>
      </c>
      <c r="D193" s="675">
        <v>1716477500</v>
      </c>
      <c r="E193" s="675">
        <v>11421836500</v>
      </c>
      <c r="F193" s="675">
        <v>70980388200</v>
      </c>
      <c r="G193" s="687">
        <v>0.16091538507533831</v>
      </c>
      <c r="H193" s="675">
        <v>116217186.3875</v>
      </c>
    </row>
    <row r="194" spans="1:8" ht="9" customHeight="1">
      <c r="B194" s="675"/>
      <c r="C194" s="675"/>
      <c r="D194" s="675"/>
      <c r="E194" s="675"/>
      <c r="F194" s="675"/>
      <c r="G194" s="687"/>
      <c r="H194" s="675"/>
    </row>
    <row r="195" spans="1:8">
      <c r="A195" s="672" t="s">
        <v>166</v>
      </c>
      <c r="B195" s="675">
        <v>1908479700</v>
      </c>
      <c r="C195" s="675">
        <v>116586000</v>
      </c>
      <c r="D195" s="675">
        <v>197620400</v>
      </c>
      <c r="E195" s="675">
        <v>314206400</v>
      </c>
      <c r="F195" s="675">
        <v>2222686100</v>
      </c>
      <c r="G195" s="687">
        <v>0.14136337110309907</v>
      </c>
      <c r="H195" s="675">
        <v>2827857.6</v>
      </c>
    </row>
    <row r="196" spans="1:8">
      <c r="A196" s="672" t="s">
        <v>791</v>
      </c>
      <c r="B196" s="675">
        <v>1996684300</v>
      </c>
      <c r="C196" s="675">
        <v>118622200</v>
      </c>
      <c r="D196" s="675">
        <v>924575700</v>
      </c>
      <c r="E196" s="675">
        <v>1043197900</v>
      </c>
      <c r="F196" s="675">
        <v>3039882200</v>
      </c>
      <c r="G196" s="687">
        <v>0.34317050180431335</v>
      </c>
      <c r="H196" s="675">
        <v>6259187.4000000004</v>
      </c>
    </row>
    <row r="197" spans="1:8">
      <c r="A197" s="672" t="s">
        <v>170</v>
      </c>
      <c r="B197" s="675">
        <v>3191648489</v>
      </c>
      <c r="C197" s="675">
        <v>139017900</v>
      </c>
      <c r="D197" s="675">
        <v>827135701</v>
      </c>
      <c r="E197" s="675">
        <v>966153601</v>
      </c>
      <c r="F197" s="675">
        <v>4157802090</v>
      </c>
      <c r="G197" s="687">
        <v>0.23237123366783435</v>
      </c>
      <c r="H197" s="675">
        <v>8985228.4892999995</v>
      </c>
    </row>
    <row r="198" spans="1:8" ht="12" customHeight="1">
      <c r="E198" s="675"/>
      <c r="G198" s="687"/>
    </row>
    <row r="199" spans="1:8" ht="12.75" customHeight="1">
      <c r="A199" s="677" t="s">
        <v>24</v>
      </c>
      <c r="B199" s="677">
        <v>288288529406</v>
      </c>
      <c r="C199" s="677">
        <v>66471675592</v>
      </c>
      <c r="D199" s="677">
        <v>19590859715</v>
      </c>
      <c r="E199" s="677">
        <v>86062535307</v>
      </c>
      <c r="F199" s="677">
        <v>374351064713</v>
      </c>
      <c r="G199" s="689">
        <v>0.22989793116517701</v>
      </c>
      <c r="H199" s="677">
        <v>988148753.21939993</v>
      </c>
    </row>
    <row r="200" spans="1:8" ht="12.75" customHeight="1">
      <c r="A200" s="677" t="s">
        <v>19</v>
      </c>
      <c r="B200" s="677">
        <v>910276017429</v>
      </c>
      <c r="C200" s="677">
        <v>66099368047</v>
      </c>
      <c r="D200" s="677">
        <v>33103623360</v>
      </c>
      <c r="E200" s="677">
        <v>99202991407</v>
      </c>
      <c r="F200" s="677">
        <v>1009479008836</v>
      </c>
      <c r="G200" s="689">
        <v>9.8271475225015323E-2</v>
      </c>
      <c r="H200" s="677">
        <v>768270608.84052575</v>
      </c>
    </row>
    <row r="201" spans="1:8">
      <c r="A201" s="694"/>
      <c r="B201" s="694"/>
      <c r="C201" s="694"/>
      <c r="D201" s="694"/>
      <c r="E201" s="694"/>
      <c r="F201" s="694"/>
      <c r="G201" s="694"/>
      <c r="H201" s="694"/>
    </row>
    <row r="202" spans="1:8" ht="12.75" customHeight="1">
      <c r="A202" s="677" t="s">
        <v>25</v>
      </c>
      <c r="B202" s="677">
        <v>1198564546835</v>
      </c>
      <c r="C202" s="677">
        <v>132571043639</v>
      </c>
      <c r="D202" s="677">
        <v>52694483075</v>
      </c>
      <c r="E202" s="677">
        <v>185265526714</v>
      </c>
      <c r="F202" s="677">
        <v>1383830073549</v>
      </c>
      <c r="G202" s="689">
        <v>0.13387881233052271</v>
      </c>
      <c r="H202" s="677">
        <v>1756419362.0599256</v>
      </c>
    </row>
    <row r="203" spans="1:8">
      <c r="A203" s="694"/>
      <c r="B203" s="694"/>
      <c r="C203" s="694"/>
      <c r="D203" s="694"/>
      <c r="E203" s="694"/>
      <c r="F203" s="694"/>
      <c r="G203" s="695"/>
      <c r="H203" s="694"/>
    </row>
    <row r="204" spans="1:8">
      <c r="A204" s="694"/>
      <c r="B204" s="694"/>
      <c r="C204" s="694"/>
      <c r="D204" s="694"/>
      <c r="E204" s="694"/>
      <c r="F204" s="694"/>
      <c r="G204" s="694"/>
      <c r="H204" s="694"/>
    </row>
    <row r="205" spans="1:8">
      <c r="A205" s="672" t="s">
        <v>1</v>
      </c>
      <c r="B205" s="652"/>
      <c r="C205" s="652"/>
      <c r="D205" s="652"/>
      <c r="E205" s="652"/>
      <c r="F205" s="652"/>
      <c r="G205" s="652"/>
      <c r="H205" s="652"/>
    </row>
    <row r="206" spans="1:8">
      <c r="A206" s="672" t="s">
        <v>792</v>
      </c>
      <c r="F206" s="652"/>
      <c r="G206" s="696"/>
    </row>
    <row r="207" spans="1:8">
      <c r="A207" s="672" t="s">
        <v>811</v>
      </c>
      <c r="G207" s="696"/>
    </row>
    <row r="208" spans="1:8">
      <c r="A208" s="672" t="s">
        <v>812</v>
      </c>
      <c r="G208" s="696"/>
    </row>
    <row r="209" spans="1:8">
      <c r="A209" s="681" t="s">
        <v>857</v>
      </c>
    </row>
    <row r="210" spans="1:8">
      <c r="B210" s="681"/>
      <c r="C210" s="681"/>
      <c r="D210" s="681"/>
      <c r="E210" s="681"/>
      <c r="F210" s="681"/>
      <c r="G210" s="696"/>
      <c r="H210" s="681"/>
    </row>
    <row r="211" spans="1:8">
      <c r="B211" s="681">
        <v>1197482687329</v>
      </c>
      <c r="C211" s="681">
        <v>132613911494</v>
      </c>
      <c r="D211" s="681">
        <v>52531008029</v>
      </c>
      <c r="E211" s="681">
        <v>185144919523</v>
      </c>
      <c r="F211" s="681">
        <v>1382627606852</v>
      </c>
      <c r="G211" s="696">
        <v>0.13390801587170853</v>
      </c>
      <c r="H211" s="681">
        <v>1845670812.4442854</v>
      </c>
    </row>
    <row r="212" spans="1:8">
      <c r="B212" s="681">
        <v>1081859506</v>
      </c>
      <c r="C212" s="681">
        <v>-42867855</v>
      </c>
      <c r="D212" s="681">
        <v>163475046</v>
      </c>
      <c r="E212" s="681">
        <v>120607191</v>
      </c>
      <c r="F212" s="681">
        <v>1202466697</v>
      </c>
      <c r="G212" s="681">
        <v>-2.92035411858238E-5</v>
      </c>
      <c r="H212" s="681">
        <v>-89251450.384359837</v>
      </c>
    </row>
    <row r="213" spans="1:8">
      <c r="B213" s="681"/>
      <c r="C213" s="681"/>
      <c r="D213" s="681"/>
      <c r="E213" s="681"/>
      <c r="F213" s="681"/>
      <c r="G213" s="696"/>
      <c r="H213" s="681"/>
    </row>
    <row r="215" spans="1:8">
      <c r="B215" s="682"/>
      <c r="C215" s="682"/>
      <c r="D215" s="682"/>
      <c r="E215" s="682"/>
      <c r="F215" s="682"/>
      <c r="G215" s="682"/>
      <c r="H215" s="682"/>
    </row>
    <row r="216" spans="1:8">
      <c r="B216" s="682"/>
      <c r="C216" s="682"/>
      <c r="D216" s="682"/>
      <c r="E216" s="682"/>
      <c r="F216" s="682"/>
      <c r="G216" s="682"/>
      <c r="H216" s="682"/>
    </row>
    <row r="218" spans="1:8">
      <c r="B218" s="682"/>
      <c r="C218" s="682"/>
      <c r="D218" s="682"/>
      <c r="E218" s="682"/>
      <c r="F218" s="682"/>
      <c r="G218" s="682"/>
      <c r="H218" s="682"/>
    </row>
  </sheetData>
  <mergeCells count="11">
    <mergeCell ref="A171:H171"/>
    <mergeCell ref="C174:E174"/>
    <mergeCell ref="A128:H128"/>
    <mergeCell ref="C131:E131"/>
    <mergeCell ref="C144:E144"/>
    <mergeCell ref="C47:E47"/>
    <mergeCell ref="A86:H86"/>
    <mergeCell ref="C89:E89"/>
    <mergeCell ref="A2:H2"/>
    <mergeCell ref="C5:E5"/>
    <mergeCell ref="A44:H44"/>
  </mergeCells>
  <printOptions horizontalCentered="1"/>
  <pageMargins left="0.25" right="0.25" top="0.75" bottom="1.25" header="0.25" footer="0.4"/>
  <pageSetup fitToHeight="5"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84"/>
  <sheetViews>
    <sheetView zoomScaleNormal="100" workbookViewId="0"/>
  </sheetViews>
  <sheetFormatPr defaultColWidth="10.81640625" defaultRowHeight="11.5"/>
  <cols>
    <col min="1" max="1" width="14.7265625" style="620" customWidth="1"/>
    <col min="2" max="2" width="16.7265625" style="626" customWidth="1"/>
    <col min="3" max="3" width="15.7265625" style="626" customWidth="1"/>
    <col min="4" max="4" width="0.54296875" style="620" customWidth="1"/>
    <col min="5" max="5" width="15.7265625" style="626" customWidth="1"/>
    <col min="6" max="6" width="13.7265625" style="626" customWidth="1"/>
    <col min="7" max="7" width="0.54296875" style="620" customWidth="1"/>
    <col min="8" max="8" width="14.7265625" style="626" customWidth="1"/>
    <col min="9" max="9" width="12.7265625" style="626" customWidth="1"/>
    <col min="10" max="10" width="0.54296875" style="620" customWidth="1"/>
    <col min="11" max="11" width="15.7265625" style="626" customWidth="1"/>
    <col min="12" max="12" width="13.7265625" style="626" customWidth="1"/>
    <col min="13" max="13" width="7" style="653" bestFit="1" customWidth="1"/>
    <col min="14" max="16384" width="10.81640625" style="620"/>
  </cols>
  <sheetData>
    <row r="1" spans="1:13" s="634" customFormat="1" ht="15" customHeight="1">
      <c r="A1" s="781" t="s">
        <v>813</v>
      </c>
      <c r="B1" s="644"/>
      <c r="C1" s="644"/>
      <c r="E1" s="644"/>
      <c r="F1" s="644"/>
      <c r="H1" s="644"/>
      <c r="I1" s="644"/>
      <c r="K1" s="644"/>
      <c r="L1" s="644"/>
      <c r="M1" s="811" t="s">
        <v>954</v>
      </c>
    </row>
    <row r="2" spans="1:13" s="634" customFormat="1" ht="15" customHeight="1">
      <c r="A2" s="890" t="s">
        <v>1319</v>
      </c>
      <c r="B2" s="645"/>
      <c r="C2" s="645"/>
      <c r="D2" s="645"/>
      <c r="E2" s="645"/>
      <c r="F2" s="645"/>
      <c r="G2" s="645"/>
      <c r="H2" s="645"/>
      <c r="I2" s="645"/>
      <c r="J2" s="645"/>
      <c r="K2" s="645"/>
      <c r="L2" s="645"/>
      <c r="M2" s="646"/>
    </row>
    <row r="3" spans="1:13" ht="5.15" customHeight="1" thickBot="1">
      <c r="A3" s="623"/>
      <c r="B3" s="622"/>
      <c r="C3" s="622"/>
      <c r="D3" s="622"/>
      <c r="E3" s="622"/>
      <c r="F3" s="622"/>
      <c r="G3" s="622"/>
      <c r="H3" s="622"/>
      <c r="I3" s="622"/>
      <c r="J3" s="622"/>
      <c r="K3" s="622"/>
      <c r="L3" s="622"/>
      <c r="M3" s="647"/>
    </row>
    <row r="4" spans="1:13" ht="12.75" customHeight="1">
      <c r="A4" s="641"/>
      <c r="B4" s="891" t="s">
        <v>815</v>
      </c>
      <c r="C4" s="891"/>
      <c r="D4" s="641"/>
      <c r="E4" s="892" t="s">
        <v>816</v>
      </c>
      <c r="F4" s="892"/>
      <c r="G4" s="641"/>
      <c r="H4" s="892" t="s">
        <v>817</v>
      </c>
      <c r="I4" s="892"/>
      <c r="J4" s="641"/>
      <c r="K4" s="892" t="s">
        <v>818</v>
      </c>
      <c r="L4" s="892"/>
      <c r="M4" s="646"/>
    </row>
    <row r="5" spans="1:13" s="887" customFormat="1" ht="12.75" customHeight="1">
      <c r="A5" s="1228" t="s">
        <v>18</v>
      </c>
      <c r="B5" s="1226" t="s">
        <v>819</v>
      </c>
      <c r="C5" s="1226" t="s">
        <v>820</v>
      </c>
      <c r="D5" s="738"/>
      <c r="E5" s="1226" t="s">
        <v>819</v>
      </c>
      <c r="F5" s="1226" t="s">
        <v>820</v>
      </c>
      <c r="G5" s="738"/>
      <c r="H5" s="1225" t="s">
        <v>819</v>
      </c>
      <c r="I5" s="1225" t="s">
        <v>820</v>
      </c>
      <c r="J5" s="738"/>
      <c r="K5" s="1227" t="s">
        <v>819</v>
      </c>
      <c r="L5" s="1226" t="s">
        <v>820</v>
      </c>
      <c r="M5" s="888"/>
    </row>
    <row r="6" spans="1:13" ht="18" customHeight="1">
      <c r="A6" s="620" t="s">
        <v>311</v>
      </c>
      <c r="B6" s="1343">
        <v>528059930</v>
      </c>
      <c r="C6" s="1343">
        <v>15869884.26</v>
      </c>
      <c r="D6" s="1344"/>
      <c r="E6" s="1343">
        <v>22464372</v>
      </c>
      <c r="F6" s="1343">
        <v>840312.86</v>
      </c>
      <c r="G6" s="1344"/>
      <c r="H6" s="1343">
        <v>0</v>
      </c>
      <c r="I6" s="1343">
        <v>0</v>
      </c>
      <c r="J6" s="1344"/>
      <c r="K6" s="1343">
        <v>329258683</v>
      </c>
      <c r="L6" s="1343">
        <v>2407910.54</v>
      </c>
      <c r="M6" s="715"/>
    </row>
    <row r="7" spans="1:13" ht="11.25" customHeight="1">
      <c r="A7" s="620" t="s">
        <v>49</v>
      </c>
      <c r="B7" s="1345">
        <v>1656751259</v>
      </c>
      <c r="C7" s="1345">
        <v>41134789.109999999</v>
      </c>
      <c r="D7" s="1346"/>
      <c r="E7" s="1345">
        <v>20902776</v>
      </c>
      <c r="F7" s="1345">
        <v>685799.16</v>
      </c>
      <c r="G7" s="1346"/>
      <c r="H7" s="1345">
        <v>0</v>
      </c>
      <c r="I7" s="1345">
        <v>0</v>
      </c>
      <c r="J7" s="1346"/>
      <c r="K7" s="1345">
        <v>622065289</v>
      </c>
      <c r="L7" s="1345">
        <v>5325776</v>
      </c>
      <c r="M7" s="715"/>
    </row>
    <row r="8" spans="1:13" ht="11.25" customHeight="1">
      <c r="A8" s="620" t="s">
        <v>51</v>
      </c>
      <c r="B8" s="1345">
        <v>174143569</v>
      </c>
      <c r="C8" s="1345">
        <v>5105959.49</v>
      </c>
      <c r="D8" s="1346"/>
      <c r="E8" s="1345">
        <v>216179587</v>
      </c>
      <c r="F8" s="1345">
        <v>6442151.6900000004</v>
      </c>
      <c r="G8" s="1346"/>
      <c r="H8" s="1345">
        <v>0</v>
      </c>
      <c r="I8" s="1345">
        <v>0</v>
      </c>
      <c r="J8" s="1346"/>
      <c r="K8" s="1345">
        <v>148422866</v>
      </c>
      <c r="L8" s="1345">
        <v>1084489.77</v>
      </c>
      <c r="M8" s="715"/>
    </row>
    <row r="9" spans="1:13" ht="11.25" customHeight="1">
      <c r="A9" s="620" t="s">
        <v>53</v>
      </c>
      <c r="B9" s="1345">
        <v>170322346</v>
      </c>
      <c r="C9" s="1345">
        <v>6037545.54</v>
      </c>
      <c r="D9" s="1346"/>
      <c r="E9" s="1345">
        <v>21958831</v>
      </c>
      <c r="F9" s="1345">
        <v>219588.31</v>
      </c>
      <c r="G9" s="1346"/>
      <c r="H9" s="1345">
        <v>0</v>
      </c>
      <c r="I9" s="1345">
        <v>0</v>
      </c>
      <c r="J9" s="1346"/>
      <c r="K9" s="1345">
        <v>57971448</v>
      </c>
      <c r="L9" s="1345">
        <v>224159.07</v>
      </c>
      <c r="M9" s="715"/>
    </row>
    <row r="10" spans="1:13" ht="11.25" customHeight="1">
      <c r="A10" s="620" t="s">
        <v>55</v>
      </c>
      <c r="B10" s="1345">
        <v>330744182</v>
      </c>
      <c r="C10" s="1345">
        <v>10890446.49</v>
      </c>
      <c r="D10" s="1346"/>
      <c r="E10" s="1345">
        <v>114140016</v>
      </c>
      <c r="F10" s="1345">
        <v>2282800.3199999998</v>
      </c>
      <c r="G10" s="1346"/>
      <c r="H10" s="1345">
        <v>0</v>
      </c>
      <c r="I10" s="1345">
        <v>0</v>
      </c>
      <c r="J10" s="1346"/>
      <c r="K10" s="1345">
        <v>126963722</v>
      </c>
      <c r="L10" s="1345">
        <v>774702.38</v>
      </c>
      <c r="M10" s="715"/>
    </row>
    <row r="11" spans="1:13" ht="18" customHeight="1">
      <c r="A11" s="620" t="s">
        <v>57</v>
      </c>
      <c r="B11" s="1345">
        <v>217064605</v>
      </c>
      <c r="C11" s="1345">
        <v>6390243.4400000004</v>
      </c>
      <c r="D11" s="1346"/>
      <c r="E11" s="1345">
        <v>5304710</v>
      </c>
      <c r="F11" s="1345">
        <v>177707.84</v>
      </c>
      <c r="G11" s="1346"/>
      <c r="H11" s="1345">
        <v>14323306</v>
      </c>
      <c r="I11" s="1345">
        <v>143233.06</v>
      </c>
      <c r="J11" s="1346"/>
      <c r="K11" s="1345">
        <v>113053199</v>
      </c>
      <c r="L11" s="1345">
        <v>731371.8</v>
      </c>
      <c r="M11" s="715"/>
    </row>
    <row r="12" spans="1:13" ht="11.25" customHeight="1">
      <c r="A12" s="620" t="s">
        <v>59</v>
      </c>
      <c r="B12" s="1345">
        <v>3131097355.5999999</v>
      </c>
      <c r="C12" s="1345">
        <v>110992150</v>
      </c>
      <c r="D12" s="1346"/>
      <c r="E12" s="1345">
        <v>5621584</v>
      </c>
      <c r="F12" s="1345">
        <v>281079.2</v>
      </c>
      <c r="G12" s="1346"/>
      <c r="H12" s="1345">
        <v>0</v>
      </c>
      <c r="I12" s="1345">
        <v>0</v>
      </c>
      <c r="J12" s="1346"/>
      <c r="K12" s="1345">
        <v>856261724.33000004</v>
      </c>
      <c r="L12" s="1345">
        <v>8677473.8800000008</v>
      </c>
      <c r="M12" s="715"/>
    </row>
    <row r="13" spans="1:13" ht="11.25" customHeight="1">
      <c r="A13" s="620" t="s">
        <v>61</v>
      </c>
      <c r="B13" s="1345">
        <v>1053872760</v>
      </c>
      <c r="C13" s="1345">
        <v>25692024.879999999</v>
      </c>
      <c r="D13" s="1346"/>
      <c r="E13" s="1345">
        <v>287090160</v>
      </c>
      <c r="F13" s="1345">
        <v>5741803.2000000002</v>
      </c>
      <c r="G13" s="1346"/>
      <c r="H13" s="1345">
        <v>0</v>
      </c>
      <c r="I13" s="1345">
        <v>0</v>
      </c>
      <c r="J13" s="1346"/>
      <c r="K13" s="1345">
        <v>425913110</v>
      </c>
      <c r="L13" s="1345">
        <v>2697126.74</v>
      </c>
      <c r="M13" s="715"/>
    </row>
    <row r="14" spans="1:13" ht="11.25" customHeight="1">
      <c r="A14" s="620" t="s">
        <v>63</v>
      </c>
      <c r="B14" s="1345">
        <v>90325250</v>
      </c>
      <c r="C14" s="1345">
        <v>489406.33</v>
      </c>
      <c r="D14" s="1346"/>
      <c r="E14" s="1345">
        <v>6562060</v>
      </c>
      <c r="F14" s="1345">
        <v>36091.33</v>
      </c>
      <c r="G14" s="1346"/>
      <c r="H14" s="1345">
        <v>0</v>
      </c>
      <c r="I14" s="1345">
        <v>0</v>
      </c>
      <c r="J14" s="1346"/>
      <c r="K14" s="1345">
        <v>1190787137</v>
      </c>
      <c r="L14" s="1345">
        <v>7144376.4500000002</v>
      </c>
      <c r="M14" s="715"/>
    </row>
    <row r="15" spans="1:13" ht="11.25" customHeight="1">
      <c r="A15" s="620" t="s">
        <v>785</v>
      </c>
      <c r="B15" s="1345">
        <v>1577424952.99</v>
      </c>
      <c r="C15" s="1345">
        <v>31463706.949999999</v>
      </c>
      <c r="D15" s="1346"/>
      <c r="E15" s="1345">
        <v>255970196</v>
      </c>
      <c r="F15" s="1345">
        <v>3071642.35</v>
      </c>
      <c r="G15" s="1346"/>
      <c r="H15" s="1345">
        <v>0</v>
      </c>
      <c r="I15" s="1345">
        <v>0</v>
      </c>
      <c r="J15" s="1346"/>
      <c r="K15" s="1345">
        <v>359835902</v>
      </c>
      <c r="L15" s="1345">
        <v>1475982.22</v>
      </c>
      <c r="M15" s="715"/>
    </row>
    <row r="16" spans="1:13" ht="18" customHeight="1">
      <c r="A16" s="620" t="s">
        <v>66</v>
      </c>
      <c r="B16" s="1345">
        <v>90505569</v>
      </c>
      <c r="C16" s="1345">
        <v>2022067.19</v>
      </c>
      <c r="D16" s="1346"/>
      <c r="E16" s="1345">
        <v>28911499</v>
      </c>
      <c r="F16" s="1345">
        <v>303570.76</v>
      </c>
      <c r="G16" s="1346"/>
      <c r="H16" s="1345">
        <v>23042357</v>
      </c>
      <c r="I16" s="1345">
        <v>168209.24</v>
      </c>
      <c r="J16" s="1346"/>
      <c r="K16" s="1345">
        <v>93884091</v>
      </c>
      <c r="L16" s="1345">
        <v>563304.54</v>
      </c>
      <c r="M16" s="715"/>
    </row>
    <row r="17" spans="1:13" ht="11.25" customHeight="1">
      <c r="A17" s="620" t="s">
        <v>68</v>
      </c>
      <c r="B17" s="1345">
        <v>567526581</v>
      </c>
      <c r="C17" s="1345">
        <v>15206423.16</v>
      </c>
      <c r="D17" s="1346"/>
      <c r="E17" s="1345">
        <v>287230645</v>
      </c>
      <c r="F17" s="1345">
        <v>5170151.62</v>
      </c>
      <c r="G17" s="1346"/>
      <c r="H17" s="1345">
        <v>0</v>
      </c>
      <c r="I17" s="1345">
        <v>0</v>
      </c>
      <c r="J17" s="1346"/>
      <c r="K17" s="1345">
        <v>442115165</v>
      </c>
      <c r="L17" s="1345">
        <v>3497615.78</v>
      </c>
      <c r="M17" s="715"/>
    </row>
    <row r="18" spans="1:13" ht="11.25" customHeight="1">
      <c r="A18" s="620" t="s">
        <v>70</v>
      </c>
      <c r="B18" s="1345">
        <v>187961570</v>
      </c>
      <c r="C18" s="1345">
        <v>6795419.3899999997</v>
      </c>
      <c r="D18" s="1346"/>
      <c r="E18" s="1345">
        <v>10497780</v>
      </c>
      <c r="F18" s="1345">
        <v>356924.52</v>
      </c>
      <c r="G18" s="1346"/>
      <c r="H18" s="1345">
        <v>0</v>
      </c>
      <c r="I18" s="1345">
        <v>0</v>
      </c>
      <c r="J18" s="1346"/>
      <c r="K18" s="1345">
        <v>852055415</v>
      </c>
      <c r="L18" s="1345">
        <v>5540693.54</v>
      </c>
      <c r="M18" s="715"/>
    </row>
    <row r="19" spans="1:13" ht="11.25" customHeight="1">
      <c r="A19" s="620" t="s">
        <v>72</v>
      </c>
      <c r="B19" s="1345">
        <v>304749073</v>
      </c>
      <c r="C19" s="1345">
        <v>5700695.4299999997</v>
      </c>
      <c r="D19" s="1346"/>
      <c r="E19" s="1345">
        <v>247158372</v>
      </c>
      <c r="F19" s="1345">
        <v>4819588.25</v>
      </c>
      <c r="G19" s="1346"/>
      <c r="H19" s="1345">
        <v>3788905</v>
      </c>
      <c r="I19" s="1345">
        <v>75778.100000000006</v>
      </c>
      <c r="J19" s="1346"/>
      <c r="K19" s="1345">
        <v>151878532</v>
      </c>
      <c r="L19" s="1345">
        <v>596703.13</v>
      </c>
      <c r="M19" s="715"/>
    </row>
    <row r="20" spans="1:13" ht="11.25" customHeight="1">
      <c r="A20" s="620" t="s">
        <v>74</v>
      </c>
      <c r="B20" s="1345">
        <v>164387052</v>
      </c>
      <c r="C20" s="1345">
        <v>6295875.2699999996</v>
      </c>
      <c r="D20" s="1346"/>
      <c r="E20" s="1345">
        <v>12503360</v>
      </c>
      <c r="F20" s="1345">
        <v>362597.44</v>
      </c>
      <c r="G20" s="1346"/>
      <c r="H20" s="1345">
        <v>17563620</v>
      </c>
      <c r="I20" s="1345">
        <v>175636.2</v>
      </c>
      <c r="J20" s="1346"/>
      <c r="K20" s="1345">
        <v>446096963</v>
      </c>
      <c r="L20" s="1345">
        <v>2454904.71</v>
      </c>
      <c r="M20" s="715"/>
    </row>
    <row r="21" spans="1:13" ht="18" customHeight="1">
      <c r="A21" s="620" t="s">
        <v>76</v>
      </c>
      <c r="B21" s="1345">
        <v>385274383</v>
      </c>
      <c r="C21" s="1345">
        <v>14315305.869999999</v>
      </c>
      <c r="D21" s="1346"/>
      <c r="E21" s="1345">
        <v>210330717</v>
      </c>
      <c r="F21" s="1345">
        <v>6730285.9400000004</v>
      </c>
      <c r="G21" s="1346"/>
      <c r="H21" s="1345">
        <v>0</v>
      </c>
      <c r="I21" s="1345">
        <v>0</v>
      </c>
      <c r="J21" s="1346"/>
      <c r="K21" s="1345">
        <v>512673712</v>
      </c>
      <c r="L21" s="1345">
        <v>2353412.7000000002</v>
      </c>
      <c r="M21" s="715"/>
    </row>
    <row r="22" spans="1:13" ht="11.25" customHeight="1">
      <c r="A22" s="620" t="s">
        <v>78</v>
      </c>
      <c r="B22" s="1345">
        <v>483825933</v>
      </c>
      <c r="C22" s="1345">
        <v>16348454.84</v>
      </c>
      <c r="D22" s="1346"/>
      <c r="E22" s="1345">
        <v>11801494</v>
      </c>
      <c r="F22" s="1345">
        <v>413052.35</v>
      </c>
      <c r="G22" s="1346"/>
      <c r="H22" s="1345">
        <v>0</v>
      </c>
      <c r="I22" s="1345">
        <v>0</v>
      </c>
      <c r="J22" s="1346"/>
      <c r="K22" s="1345">
        <v>368722373</v>
      </c>
      <c r="L22" s="1345">
        <v>2933314.28</v>
      </c>
      <c r="M22" s="715"/>
    </row>
    <row r="23" spans="1:13" ht="11.25" customHeight="1">
      <c r="A23" s="620" t="s">
        <v>80</v>
      </c>
      <c r="B23" s="1345">
        <v>385799300</v>
      </c>
      <c r="C23" s="1345">
        <v>8705911.6300000008</v>
      </c>
      <c r="D23" s="1346"/>
      <c r="E23" s="1345">
        <v>74465880</v>
      </c>
      <c r="F23" s="1345">
        <v>1489317.6</v>
      </c>
      <c r="G23" s="1346"/>
      <c r="H23" s="1345">
        <v>46359320</v>
      </c>
      <c r="I23" s="1345">
        <v>319879.31</v>
      </c>
      <c r="J23" s="1346"/>
      <c r="K23" s="1345">
        <v>128086843</v>
      </c>
      <c r="L23" s="1345">
        <v>760604.6</v>
      </c>
      <c r="M23" s="715"/>
    </row>
    <row r="24" spans="1:13" ht="11.25" customHeight="1">
      <c r="A24" s="620" t="s">
        <v>82</v>
      </c>
      <c r="B24" s="1345">
        <v>127231172</v>
      </c>
      <c r="C24" s="1345">
        <v>4663182.0599999996</v>
      </c>
      <c r="D24" s="1346"/>
      <c r="E24" s="1345">
        <v>2358030</v>
      </c>
      <c r="F24" s="1345">
        <v>70740.899999999994</v>
      </c>
      <c r="G24" s="1346"/>
      <c r="H24" s="1345">
        <v>2659934</v>
      </c>
      <c r="I24" s="1345">
        <v>74478.149999999994</v>
      </c>
      <c r="J24" s="1346"/>
      <c r="K24" s="1345">
        <v>128809764</v>
      </c>
      <c r="L24" s="1345">
        <v>850144.44</v>
      </c>
      <c r="M24" s="715"/>
    </row>
    <row r="25" spans="1:13" ht="11.25" customHeight="1">
      <c r="A25" s="620" t="s">
        <v>84</v>
      </c>
      <c r="B25" s="1345">
        <v>156891409.56999999</v>
      </c>
      <c r="C25" s="1345">
        <v>4979082.74</v>
      </c>
      <c r="D25" s="1346"/>
      <c r="E25" s="1345">
        <v>23798858</v>
      </c>
      <c r="F25" s="1345">
        <v>713965.74</v>
      </c>
      <c r="G25" s="1346"/>
      <c r="H25" s="1345">
        <v>1534885.8</v>
      </c>
      <c r="I25" s="1345">
        <v>49116.35</v>
      </c>
      <c r="J25" s="1346"/>
      <c r="K25" s="1345">
        <v>116366714</v>
      </c>
      <c r="L25" s="1345">
        <v>721473.63</v>
      </c>
      <c r="M25" s="715"/>
    </row>
    <row r="26" spans="1:13" ht="18" customHeight="1">
      <c r="A26" s="620" t="s">
        <v>86</v>
      </c>
      <c r="B26" s="1345">
        <v>5130688743</v>
      </c>
      <c r="C26" s="1345">
        <v>185145201</v>
      </c>
      <c r="D26" s="1346"/>
      <c r="E26" s="1345">
        <v>578488200</v>
      </c>
      <c r="F26" s="1345">
        <v>5784882</v>
      </c>
      <c r="G26" s="1346"/>
      <c r="H26" s="1345">
        <v>0</v>
      </c>
      <c r="I26" s="1345">
        <v>0</v>
      </c>
      <c r="J26" s="1346"/>
      <c r="K26" s="1345">
        <v>1757506417</v>
      </c>
      <c r="L26" s="1345">
        <v>15991782</v>
      </c>
      <c r="M26" s="715"/>
    </row>
    <row r="27" spans="1:13" ht="11.25" customHeight="1">
      <c r="A27" s="620" t="s">
        <v>387</v>
      </c>
      <c r="B27" s="1345">
        <v>242337455</v>
      </c>
      <c r="C27" s="1345">
        <v>10885976</v>
      </c>
      <c r="D27" s="1346"/>
      <c r="E27" s="1345">
        <v>16331722</v>
      </c>
      <c r="F27" s="1345">
        <v>204146.53</v>
      </c>
      <c r="G27" s="1346"/>
      <c r="H27" s="1345">
        <v>0</v>
      </c>
      <c r="I27" s="1345">
        <v>0</v>
      </c>
      <c r="J27" s="1346"/>
      <c r="K27" s="1345">
        <v>86593351</v>
      </c>
      <c r="L27" s="1345">
        <v>519560.11</v>
      </c>
      <c r="M27" s="715"/>
    </row>
    <row r="28" spans="1:13" ht="11.25" customHeight="1">
      <c r="A28" s="620" t="s">
        <v>90</v>
      </c>
      <c r="B28" s="1345">
        <v>57539572</v>
      </c>
      <c r="C28" s="1345">
        <v>1909865.54</v>
      </c>
      <c r="D28" s="1346"/>
      <c r="E28" s="1345">
        <v>740366</v>
      </c>
      <c r="F28" s="1345">
        <v>25912.86</v>
      </c>
      <c r="G28" s="1346"/>
      <c r="H28" s="1345">
        <v>673014</v>
      </c>
      <c r="I28" s="1345">
        <v>23555.52</v>
      </c>
      <c r="J28" s="1346"/>
      <c r="K28" s="1345">
        <v>19363315</v>
      </c>
      <c r="L28" s="1345">
        <v>134342.79</v>
      </c>
      <c r="M28" s="715"/>
    </row>
    <row r="29" spans="1:13" ht="11.25" customHeight="1">
      <c r="A29" s="620" t="s">
        <v>92</v>
      </c>
      <c r="B29" s="1345">
        <v>1323827567</v>
      </c>
      <c r="C29" s="1345">
        <v>37582963.68</v>
      </c>
      <c r="D29" s="1346"/>
      <c r="E29" s="1345">
        <v>104453094</v>
      </c>
      <c r="F29" s="1345">
        <v>2089061.88</v>
      </c>
      <c r="G29" s="1346"/>
      <c r="H29" s="1345">
        <v>0</v>
      </c>
      <c r="I29" s="1345">
        <v>0</v>
      </c>
      <c r="J29" s="1346"/>
      <c r="K29" s="1345">
        <v>315784785</v>
      </c>
      <c r="L29" s="1345">
        <v>1596661.73</v>
      </c>
      <c r="M29" s="715"/>
    </row>
    <row r="30" spans="1:13" ht="11.25" customHeight="1">
      <c r="A30" s="620" t="s">
        <v>94</v>
      </c>
      <c r="B30" s="1345">
        <v>95057801</v>
      </c>
      <c r="C30" s="1345">
        <v>4074250.05</v>
      </c>
      <c r="D30" s="1346"/>
      <c r="E30" s="1345">
        <v>5446718</v>
      </c>
      <c r="F30" s="1345">
        <v>204251.93</v>
      </c>
      <c r="G30" s="1346"/>
      <c r="H30" s="1345">
        <v>0</v>
      </c>
      <c r="I30" s="1345">
        <v>0</v>
      </c>
      <c r="J30" s="1346"/>
      <c r="K30" s="1345">
        <v>112895787</v>
      </c>
      <c r="L30" s="1345">
        <v>862273.52</v>
      </c>
      <c r="M30" s="715"/>
    </row>
    <row r="31" spans="1:13" ht="18" customHeight="1">
      <c r="A31" s="620" t="s">
        <v>96</v>
      </c>
      <c r="B31" s="1345">
        <v>163091298</v>
      </c>
      <c r="C31" s="1345">
        <v>2878509.9</v>
      </c>
      <c r="D31" s="1346"/>
      <c r="E31" s="1345">
        <v>76884812</v>
      </c>
      <c r="F31" s="1345">
        <v>1422369.02</v>
      </c>
      <c r="G31" s="1346"/>
      <c r="H31" s="1345">
        <v>1385330</v>
      </c>
      <c r="I31" s="1345">
        <v>145459.65</v>
      </c>
      <c r="J31" s="1346"/>
      <c r="K31" s="1345">
        <v>105793556</v>
      </c>
      <c r="L31" s="1345">
        <v>635436.35</v>
      </c>
      <c r="M31" s="715"/>
    </row>
    <row r="32" spans="1:13" ht="11.25" customHeight="1">
      <c r="A32" s="620" t="s">
        <v>98</v>
      </c>
      <c r="B32" s="1345">
        <v>410464237.38</v>
      </c>
      <c r="C32" s="1345">
        <v>13515762.710000001</v>
      </c>
      <c r="D32" s="1346"/>
      <c r="E32" s="1345">
        <v>94923460.019999996</v>
      </c>
      <c r="F32" s="1345">
        <v>3132474.21</v>
      </c>
      <c r="G32" s="1346"/>
      <c r="H32" s="1345">
        <v>0</v>
      </c>
      <c r="I32" s="1345">
        <v>0</v>
      </c>
      <c r="J32" s="1346"/>
      <c r="K32" s="1345">
        <v>206028512</v>
      </c>
      <c r="L32" s="1345">
        <v>1652625.1</v>
      </c>
      <c r="M32" s="715"/>
    </row>
    <row r="33" spans="1:13" ht="11.25" customHeight="1">
      <c r="A33" s="620" t="s">
        <v>100</v>
      </c>
      <c r="B33" s="1345">
        <v>184811467</v>
      </c>
      <c r="C33" s="1345">
        <v>4556145.08</v>
      </c>
      <c r="D33" s="1346"/>
      <c r="E33" s="1345">
        <v>13350068</v>
      </c>
      <c r="F33" s="1345">
        <v>160200.82</v>
      </c>
      <c r="G33" s="1346"/>
      <c r="H33" s="1345">
        <v>2360175</v>
      </c>
      <c r="I33" s="1345">
        <v>88506.77</v>
      </c>
      <c r="J33" s="1346"/>
      <c r="K33" s="1345">
        <v>51543521.899999999</v>
      </c>
      <c r="L33" s="1345">
        <v>376267.71</v>
      </c>
      <c r="M33" s="715"/>
    </row>
    <row r="34" spans="1:13" ht="11.25" customHeight="1">
      <c r="A34" s="620" t="s">
        <v>722</v>
      </c>
      <c r="B34" s="1345">
        <v>17984017249</v>
      </c>
      <c r="C34" s="1345">
        <v>702736702</v>
      </c>
      <c r="D34" s="1346"/>
      <c r="E34" s="1345">
        <v>11737516</v>
      </c>
      <c r="F34" s="1345">
        <v>239367</v>
      </c>
      <c r="G34" s="1346"/>
      <c r="H34" s="1345">
        <v>0</v>
      </c>
      <c r="I34" s="1345">
        <v>0</v>
      </c>
      <c r="J34" s="1346"/>
      <c r="K34" s="1345">
        <v>4522266569</v>
      </c>
      <c r="L34" s="1345">
        <v>50449750.9221</v>
      </c>
      <c r="M34" s="715"/>
    </row>
    <row r="35" spans="1:13" ht="11.25" customHeight="1">
      <c r="A35" s="620" t="s">
        <v>104</v>
      </c>
      <c r="B35" s="1345">
        <v>1649857494</v>
      </c>
      <c r="C35" s="1345">
        <v>52443198.990000002</v>
      </c>
      <c r="D35" s="1346"/>
      <c r="E35" s="1345">
        <v>18391702</v>
      </c>
      <c r="F35" s="1345">
        <v>634513.77</v>
      </c>
      <c r="G35" s="1346"/>
      <c r="H35" s="1345">
        <v>0</v>
      </c>
      <c r="I35" s="1345">
        <v>0</v>
      </c>
      <c r="J35" s="1346"/>
      <c r="K35" s="1345">
        <v>809592828</v>
      </c>
      <c r="L35" s="1345">
        <v>7639854.9299999997</v>
      </c>
      <c r="M35" s="715"/>
    </row>
    <row r="36" spans="1:13" ht="15" customHeight="1">
      <c r="A36" s="781" t="s">
        <v>821</v>
      </c>
      <c r="B36" s="644"/>
      <c r="C36" s="644"/>
      <c r="D36" s="634"/>
      <c r="E36" s="644"/>
      <c r="F36" s="644"/>
      <c r="G36" s="634"/>
      <c r="H36" s="644"/>
      <c r="I36" s="644"/>
      <c r="J36" s="634"/>
      <c r="K36" s="644"/>
      <c r="L36" s="644"/>
      <c r="M36" s="646"/>
    </row>
    <row r="37" spans="1:13" ht="15" customHeight="1">
      <c r="A37" s="890" t="str">
        <f>A2</f>
        <v>Tangible Personal Property, Machinery &amp; Tools, Merchants' Capital, and Public Service Corporations:  Assessed Values &amp; Levies by Locality - Tax Year 2023</v>
      </c>
      <c r="B37" s="645"/>
      <c r="C37" s="645"/>
      <c r="D37" s="645"/>
      <c r="E37" s="645"/>
      <c r="F37" s="645"/>
      <c r="G37" s="645"/>
      <c r="H37" s="645"/>
      <c r="I37" s="645"/>
      <c r="J37" s="645"/>
      <c r="K37" s="645"/>
      <c r="L37" s="645"/>
      <c r="M37" s="646"/>
    </row>
    <row r="38" spans="1:13" ht="5.15" customHeight="1" thickBot="1">
      <c r="A38" s="622"/>
      <c r="B38" s="622"/>
      <c r="C38" s="622"/>
      <c r="D38" s="622"/>
      <c r="E38" s="622"/>
      <c r="F38" s="622"/>
      <c r="G38" s="622"/>
      <c r="H38" s="622"/>
      <c r="I38" s="622"/>
      <c r="J38" s="622"/>
      <c r="K38" s="622"/>
      <c r="L38" s="622"/>
      <c r="M38" s="647"/>
    </row>
    <row r="39" spans="1:13" ht="12.75" customHeight="1">
      <c r="A39" s="641"/>
      <c r="B39" s="891" t="s">
        <v>815</v>
      </c>
      <c r="C39" s="891"/>
      <c r="D39" s="641"/>
      <c r="E39" s="892" t="s">
        <v>816</v>
      </c>
      <c r="F39" s="892"/>
      <c r="G39" s="641"/>
      <c r="H39" s="892" t="s">
        <v>817</v>
      </c>
      <c r="I39" s="892"/>
      <c r="J39" s="641"/>
      <c r="K39" s="892" t="s">
        <v>818</v>
      </c>
      <c r="L39" s="892"/>
      <c r="M39" s="646"/>
    </row>
    <row r="40" spans="1:13" ht="12.75" customHeight="1">
      <c r="A40" s="1228" t="s">
        <v>18</v>
      </c>
      <c r="B40" s="1226" t="s">
        <v>819</v>
      </c>
      <c r="C40" s="1226" t="s">
        <v>820</v>
      </c>
      <c r="D40" s="738"/>
      <c r="E40" s="1226" t="s">
        <v>819</v>
      </c>
      <c r="F40" s="1226" t="s">
        <v>820</v>
      </c>
      <c r="G40" s="738"/>
      <c r="H40" s="1225" t="s">
        <v>819</v>
      </c>
      <c r="I40" s="1225" t="s">
        <v>820</v>
      </c>
      <c r="J40" s="738"/>
      <c r="K40" s="1227" t="s">
        <v>819</v>
      </c>
      <c r="L40" s="1226" t="s">
        <v>820</v>
      </c>
      <c r="M40" s="647"/>
    </row>
    <row r="41" spans="1:13" ht="18" customHeight="1">
      <c r="A41" s="620" t="s">
        <v>106</v>
      </c>
      <c r="B41" s="1343">
        <v>185897366</v>
      </c>
      <c r="C41" s="1343">
        <v>5692287.0999999996</v>
      </c>
      <c r="D41" s="1344"/>
      <c r="E41" s="1343">
        <v>20309336</v>
      </c>
      <c r="F41" s="1343">
        <v>314794.71000000002</v>
      </c>
      <c r="G41" s="1344"/>
      <c r="H41" s="1343">
        <v>2378644</v>
      </c>
      <c r="I41" s="1343">
        <v>83252.539999999994</v>
      </c>
      <c r="J41" s="1344"/>
      <c r="K41" s="1343">
        <v>65251133</v>
      </c>
      <c r="L41" s="1343">
        <v>433606.74</v>
      </c>
      <c r="M41" s="715"/>
    </row>
    <row r="42" spans="1:13" ht="11.25" customHeight="1">
      <c r="A42" s="620" t="s">
        <v>108</v>
      </c>
      <c r="B42" s="1345">
        <v>343145616</v>
      </c>
      <c r="C42" s="1345">
        <v>14002060.76</v>
      </c>
      <c r="D42" s="1346"/>
      <c r="E42" s="1345">
        <v>1724217</v>
      </c>
      <c r="F42" s="1345">
        <v>32760.13</v>
      </c>
      <c r="G42" s="1346"/>
      <c r="H42" s="1345">
        <v>14697942</v>
      </c>
      <c r="I42" s="1345">
        <v>426241.26</v>
      </c>
      <c r="J42" s="1346"/>
      <c r="K42" s="1345">
        <v>506847447</v>
      </c>
      <c r="L42" s="1345">
        <v>4328205.55</v>
      </c>
      <c r="M42" s="715"/>
    </row>
    <row r="43" spans="1:13" s="649" customFormat="1" ht="11.25" customHeight="1">
      <c r="A43" s="649" t="s">
        <v>418</v>
      </c>
      <c r="B43" s="1345">
        <v>933371270</v>
      </c>
      <c r="C43" s="1345">
        <v>21269921.609999999</v>
      </c>
      <c r="D43" s="1347"/>
      <c r="E43" s="1345">
        <v>170363036</v>
      </c>
      <c r="F43" s="1345">
        <v>1192541.32</v>
      </c>
      <c r="G43" s="1347"/>
      <c r="H43" s="1345">
        <v>77837224</v>
      </c>
      <c r="I43" s="1345">
        <v>840642.06</v>
      </c>
      <c r="J43" s="1347"/>
      <c r="K43" s="1345">
        <v>154474502</v>
      </c>
      <c r="L43" s="1345">
        <v>947488.45</v>
      </c>
      <c r="M43" s="715"/>
    </row>
    <row r="44" spans="1:13" ht="11.25" customHeight="1">
      <c r="A44" s="620" t="s">
        <v>111</v>
      </c>
      <c r="B44" s="1345">
        <v>1708940777</v>
      </c>
      <c r="C44" s="1345">
        <v>70164646.321899995</v>
      </c>
      <c r="D44" s="1346"/>
      <c r="E44" s="1345">
        <v>483983582.5</v>
      </c>
      <c r="F44" s="1345">
        <v>9679671.6500000004</v>
      </c>
      <c r="G44" s="1346"/>
      <c r="H44" s="1345">
        <v>0</v>
      </c>
      <c r="I44" s="1345">
        <v>0</v>
      </c>
      <c r="J44" s="1346"/>
      <c r="K44" s="1345">
        <v>446161529</v>
      </c>
      <c r="L44" s="1345">
        <v>2328448.87</v>
      </c>
      <c r="M44" s="715"/>
    </row>
    <row r="45" spans="1:13">
      <c r="A45" s="620" t="s">
        <v>113</v>
      </c>
      <c r="B45" s="1345">
        <v>258533971</v>
      </c>
      <c r="C45" s="1345">
        <v>5134111.9000000004</v>
      </c>
      <c r="D45" s="1346"/>
      <c r="E45" s="1345">
        <v>296347906</v>
      </c>
      <c r="F45" s="1345">
        <v>6075132.0700000003</v>
      </c>
      <c r="G45" s="1346"/>
      <c r="H45" s="1345">
        <v>28829412</v>
      </c>
      <c r="I45" s="1345">
        <v>247932.94</v>
      </c>
      <c r="J45" s="1346"/>
      <c r="K45" s="1345">
        <v>102458470</v>
      </c>
      <c r="L45" s="1345">
        <v>699339.63</v>
      </c>
      <c r="M45" s="715"/>
    </row>
    <row r="46" spans="1:13" s="648" customFormat="1" ht="18" customHeight="1">
      <c r="A46" s="650" t="s">
        <v>426</v>
      </c>
      <c r="B46" s="1345">
        <v>705341107</v>
      </c>
      <c r="C46" s="1345">
        <v>18277525.48</v>
      </c>
      <c r="D46" s="1347"/>
      <c r="E46" s="1345">
        <v>10250770</v>
      </c>
      <c r="F46" s="1345">
        <v>302397.71999999997</v>
      </c>
      <c r="G46" s="1347"/>
      <c r="H46" s="1345">
        <v>0</v>
      </c>
      <c r="I46" s="1345">
        <v>0</v>
      </c>
      <c r="J46" s="1347"/>
      <c r="K46" s="1345">
        <v>169136541</v>
      </c>
      <c r="L46" s="1345">
        <v>989567.71</v>
      </c>
      <c r="M46" s="715"/>
    </row>
    <row r="47" spans="1:13" s="648" customFormat="1" ht="11.25" customHeight="1">
      <c r="A47" s="650" t="s">
        <v>428</v>
      </c>
      <c r="B47" s="1345">
        <v>639842656</v>
      </c>
      <c r="C47" s="1345">
        <v>20197905.899999999</v>
      </c>
      <c r="D47" s="1347"/>
      <c r="E47" s="1345">
        <v>67270315</v>
      </c>
      <c r="F47" s="1345">
        <v>672703.15</v>
      </c>
      <c r="G47" s="1347"/>
      <c r="H47" s="1345">
        <v>0</v>
      </c>
      <c r="I47" s="1345">
        <v>0</v>
      </c>
      <c r="J47" s="1347"/>
      <c r="K47" s="1345">
        <v>198083636</v>
      </c>
      <c r="L47" s="1345">
        <v>1070832.73</v>
      </c>
      <c r="M47" s="715"/>
    </row>
    <row r="48" spans="1:13" s="648" customFormat="1" ht="11.25" customHeight="1">
      <c r="A48" s="650" t="s">
        <v>430</v>
      </c>
      <c r="B48" s="1345">
        <v>167958936</v>
      </c>
      <c r="C48" s="1345">
        <v>3239637.16</v>
      </c>
      <c r="D48" s="1347"/>
      <c r="E48" s="1345">
        <v>19579213</v>
      </c>
      <c r="F48" s="1345">
        <v>342636.26</v>
      </c>
      <c r="G48" s="1347"/>
      <c r="H48" s="1345">
        <v>796778</v>
      </c>
      <c r="I48" s="1345">
        <v>53384.13</v>
      </c>
      <c r="J48" s="1347"/>
      <c r="K48" s="1345">
        <v>65062268</v>
      </c>
      <c r="L48" s="1345">
        <v>351336.26</v>
      </c>
      <c r="M48" s="715"/>
    </row>
    <row r="49" spans="1:13" ht="11.25" customHeight="1">
      <c r="A49" s="620" t="s">
        <v>54</v>
      </c>
      <c r="B49" s="1345">
        <v>222557724</v>
      </c>
      <c r="C49" s="1345">
        <v>11127886.199999999</v>
      </c>
      <c r="D49" s="1346"/>
      <c r="E49" s="1345">
        <v>12848416</v>
      </c>
      <c r="F49" s="1345">
        <v>321210.40000000002</v>
      </c>
      <c r="G49" s="1346"/>
      <c r="H49" s="1345">
        <v>0</v>
      </c>
      <c r="I49" s="1345">
        <v>0</v>
      </c>
      <c r="J49" s="1346"/>
      <c r="K49" s="1345">
        <v>70793082</v>
      </c>
      <c r="L49" s="1345">
        <v>516924.05</v>
      </c>
      <c r="M49" s="715"/>
    </row>
    <row r="50" spans="1:13" ht="11.25" customHeight="1">
      <c r="A50" s="620" t="s">
        <v>56</v>
      </c>
      <c r="B50" s="1345">
        <v>92413330</v>
      </c>
      <c r="C50" s="1345">
        <v>4403641.59</v>
      </c>
      <c r="D50" s="1347"/>
      <c r="E50" s="1345">
        <v>27705860</v>
      </c>
      <c r="F50" s="1345">
        <v>1108234.3999999999</v>
      </c>
      <c r="G50" s="1347"/>
      <c r="H50" s="1345">
        <v>0</v>
      </c>
      <c r="I50" s="1345">
        <v>0</v>
      </c>
      <c r="J50" s="1348"/>
      <c r="K50" s="1345">
        <v>884485103</v>
      </c>
      <c r="L50" s="1345">
        <v>5954970.4299999997</v>
      </c>
      <c r="M50" s="715"/>
    </row>
    <row r="51" spans="1:13" ht="18" customHeight="1">
      <c r="A51" s="620" t="s">
        <v>312</v>
      </c>
      <c r="B51" s="1345">
        <v>377507600</v>
      </c>
      <c r="C51" s="1345">
        <v>13707122.85</v>
      </c>
      <c r="D51" s="1345"/>
      <c r="E51" s="1345">
        <v>136409900</v>
      </c>
      <c r="F51" s="1345">
        <v>1718764.74</v>
      </c>
      <c r="G51" s="1345"/>
      <c r="H51" s="1345">
        <v>0</v>
      </c>
      <c r="I51" s="1345">
        <v>0</v>
      </c>
      <c r="J51" s="1349"/>
      <c r="K51" s="1345">
        <v>1040086066</v>
      </c>
      <c r="L51" s="1345">
        <v>5215465.13</v>
      </c>
      <c r="M51" s="715"/>
    </row>
    <row r="52" spans="1:13" ht="11.25" customHeight="1">
      <c r="A52" s="620" t="s">
        <v>60</v>
      </c>
      <c r="B52" s="1345">
        <v>2601502428.4499998</v>
      </c>
      <c r="C52" s="1345">
        <v>80221270.170000002</v>
      </c>
      <c r="D52" s="1347"/>
      <c r="E52" s="1345">
        <v>67106440.030000001</v>
      </c>
      <c r="F52" s="1345">
        <v>2395936.56</v>
      </c>
      <c r="G52" s="1347"/>
      <c r="H52" s="1345">
        <v>115475130.76000001</v>
      </c>
      <c r="I52" s="1345">
        <v>2194308.64</v>
      </c>
      <c r="J52" s="1347"/>
      <c r="K52" s="1345">
        <v>793622178</v>
      </c>
      <c r="L52" s="1345">
        <v>6442765.2199999997</v>
      </c>
      <c r="M52" s="715"/>
    </row>
    <row r="53" spans="1:13" ht="11.25" customHeight="1">
      <c r="A53" s="620" t="s">
        <v>62</v>
      </c>
      <c r="B53" s="1345">
        <v>6953539216</v>
      </c>
      <c r="C53" s="1345">
        <v>180683453.34</v>
      </c>
      <c r="D53" s="1347"/>
      <c r="E53" s="1345">
        <v>368806780</v>
      </c>
      <c r="F53" s="1345">
        <v>1109607.32</v>
      </c>
      <c r="G53" s="1347"/>
      <c r="H53" s="1345">
        <v>0</v>
      </c>
      <c r="I53" s="1345">
        <v>0</v>
      </c>
      <c r="J53" s="1348"/>
      <c r="K53" s="1345">
        <v>1462556683</v>
      </c>
      <c r="L53" s="1345">
        <v>12476708.17</v>
      </c>
      <c r="M53" s="715"/>
    </row>
    <row r="54" spans="1:13" ht="11.25" customHeight="1">
      <c r="A54" s="620" t="s">
        <v>64</v>
      </c>
      <c r="B54" s="1345">
        <v>509415945</v>
      </c>
      <c r="C54" s="1345">
        <v>7696974.0800000001</v>
      </c>
      <c r="D54" s="1347"/>
      <c r="E54" s="1345">
        <v>595433685</v>
      </c>
      <c r="F54" s="1345">
        <v>9229222.7300000004</v>
      </c>
      <c r="G54" s="1347"/>
      <c r="H54" s="1345">
        <v>0</v>
      </c>
      <c r="I54" s="1345">
        <v>0</v>
      </c>
      <c r="J54" s="1348"/>
      <c r="K54" s="1345">
        <v>238621070</v>
      </c>
      <c r="L54" s="1345">
        <v>1325850.8899999999</v>
      </c>
      <c r="M54" s="715"/>
    </row>
    <row r="55" spans="1:13" ht="10.5" customHeight="1">
      <c r="A55" s="620" t="s">
        <v>65</v>
      </c>
      <c r="B55" s="1345">
        <v>31927196</v>
      </c>
      <c r="C55" s="1345">
        <v>857354.6</v>
      </c>
      <c r="D55" s="1346"/>
      <c r="E55" s="1345">
        <v>103384</v>
      </c>
      <c r="F55" s="1345">
        <v>1033.8399999999999</v>
      </c>
      <c r="G55" s="1346"/>
      <c r="H55" s="1345">
        <v>470934</v>
      </c>
      <c r="I55" s="1345">
        <v>4709.34</v>
      </c>
      <c r="J55" s="1346"/>
      <c r="K55" s="1345">
        <v>23303080</v>
      </c>
      <c r="L55" s="1345">
        <v>116135.34</v>
      </c>
      <c r="M55" s="715"/>
    </row>
    <row r="56" spans="1:13" ht="18" customHeight="1">
      <c r="A56" s="620" t="s">
        <v>67</v>
      </c>
      <c r="B56" s="1345">
        <v>563356655</v>
      </c>
      <c r="C56" s="1345">
        <v>24048333.982500002</v>
      </c>
      <c r="D56" s="1346"/>
      <c r="E56" s="1345">
        <v>306581068</v>
      </c>
      <c r="F56" s="1345">
        <v>5978330.8260000004</v>
      </c>
      <c r="G56" s="1346"/>
      <c r="H56" s="1345">
        <v>0</v>
      </c>
      <c r="I56" s="1345">
        <v>0</v>
      </c>
      <c r="J56" s="1346"/>
      <c r="K56" s="1345">
        <v>168856192</v>
      </c>
      <c r="L56" s="1345">
        <v>1466107.1015000001</v>
      </c>
      <c r="M56" s="715"/>
    </row>
    <row r="57" spans="1:13" ht="11.25" customHeight="1">
      <c r="A57" s="620" t="s">
        <v>336</v>
      </c>
      <c r="B57" s="1345">
        <v>1250592833</v>
      </c>
      <c r="C57" s="1345">
        <v>49576871.939999998</v>
      </c>
      <c r="D57" s="1346"/>
      <c r="E57" s="1345">
        <v>165055235</v>
      </c>
      <c r="F57" s="1345">
        <v>6602209.4000000004</v>
      </c>
      <c r="G57" s="1346"/>
      <c r="H57" s="1345">
        <v>0</v>
      </c>
      <c r="I57" s="1345">
        <v>0</v>
      </c>
      <c r="J57" s="1346"/>
      <c r="K57" s="1345">
        <v>510430407</v>
      </c>
      <c r="L57" s="1345">
        <v>4241415.63</v>
      </c>
      <c r="M57" s="715"/>
    </row>
    <row r="58" spans="1:13" ht="11.25" customHeight="1">
      <c r="A58" s="620" t="s">
        <v>71</v>
      </c>
      <c r="B58" s="1345">
        <v>143550640</v>
      </c>
      <c r="C58" s="1345">
        <v>4232267.2</v>
      </c>
      <c r="D58" s="1346"/>
      <c r="E58" s="1345">
        <v>10575377</v>
      </c>
      <c r="F58" s="1345">
        <v>116329.36</v>
      </c>
      <c r="G58" s="1346"/>
      <c r="H58" s="1345">
        <v>8352168</v>
      </c>
      <c r="I58" s="1345">
        <v>54289.120000000003</v>
      </c>
      <c r="J58" s="1346"/>
      <c r="K58" s="1345">
        <v>64340389</v>
      </c>
      <c r="L58" s="1345">
        <v>309043.02</v>
      </c>
      <c r="M58" s="715"/>
    </row>
    <row r="59" spans="1:13" ht="11.25" customHeight="1">
      <c r="A59" s="620" t="s">
        <v>73</v>
      </c>
      <c r="B59" s="1345">
        <v>398569844</v>
      </c>
      <c r="C59" s="1345">
        <v>12847889.300000001</v>
      </c>
      <c r="D59" s="1347"/>
      <c r="E59" s="1345">
        <v>6753736</v>
      </c>
      <c r="F59" s="1345">
        <v>168843.48</v>
      </c>
      <c r="G59" s="1347"/>
      <c r="H59" s="1345">
        <v>0</v>
      </c>
      <c r="I59" s="1345">
        <v>0</v>
      </c>
      <c r="J59" s="1348"/>
      <c r="K59" s="1345">
        <v>117434276</v>
      </c>
      <c r="L59" s="1345">
        <v>801785.43</v>
      </c>
      <c r="M59" s="715"/>
    </row>
    <row r="60" spans="1:13" ht="11.25" customHeight="1">
      <c r="A60" s="620" t="s">
        <v>75</v>
      </c>
      <c r="B60" s="1345">
        <v>203678928</v>
      </c>
      <c r="C60" s="1345">
        <v>6526419.3799999999</v>
      </c>
      <c r="D60" s="1347"/>
      <c r="E60" s="1345">
        <v>28860621</v>
      </c>
      <c r="F60" s="1345">
        <v>649363.97</v>
      </c>
      <c r="G60" s="1347"/>
      <c r="H60" s="1345">
        <v>0</v>
      </c>
      <c r="I60" s="1345">
        <v>0</v>
      </c>
      <c r="J60" s="1347"/>
      <c r="K60" s="1345">
        <v>59097361</v>
      </c>
      <c r="L60" s="1345">
        <v>343075.44</v>
      </c>
      <c r="M60" s="715"/>
    </row>
    <row r="61" spans="1:13" ht="18" customHeight="1">
      <c r="A61" s="620" t="s">
        <v>77</v>
      </c>
      <c r="B61" s="1345">
        <v>180693075</v>
      </c>
      <c r="C61" s="1345">
        <v>3487756.85</v>
      </c>
      <c r="D61" s="1347"/>
      <c r="E61" s="1345">
        <v>780850</v>
      </c>
      <c r="F61" s="1345">
        <v>11868.92</v>
      </c>
      <c r="G61" s="1347"/>
      <c r="H61" s="1345">
        <v>13364534</v>
      </c>
      <c r="I61" s="1345">
        <v>133645.34</v>
      </c>
      <c r="J61" s="1347"/>
      <c r="K61" s="1345">
        <v>76171984</v>
      </c>
      <c r="L61" s="1345">
        <v>480302.48</v>
      </c>
      <c r="M61" s="715"/>
    </row>
    <row r="62" spans="1:13" ht="11.25" customHeight="1">
      <c r="A62" s="620" t="s">
        <v>79</v>
      </c>
      <c r="B62" s="1345">
        <v>224557928</v>
      </c>
      <c r="C62" s="1345">
        <v>4000848.09</v>
      </c>
      <c r="D62" s="1347"/>
      <c r="E62" s="1345">
        <v>13596337</v>
      </c>
      <c r="F62" s="1345">
        <v>271926.74</v>
      </c>
      <c r="G62" s="1348"/>
      <c r="H62" s="1345">
        <v>5893322</v>
      </c>
      <c r="I62" s="1345">
        <v>83095.839999999997</v>
      </c>
      <c r="J62" s="1347"/>
      <c r="K62" s="1345">
        <v>76128333</v>
      </c>
      <c r="L62" s="1345">
        <v>472999.53</v>
      </c>
      <c r="M62" s="715"/>
    </row>
    <row r="63" spans="1:13" ht="11.25" customHeight="1">
      <c r="A63" s="620" t="s">
        <v>81</v>
      </c>
      <c r="B63" s="1345">
        <v>23170137573</v>
      </c>
      <c r="C63" s="1345">
        <v>930960433.58000004</v>
      </c>
      <c r="D63" s="1347"/>
      <c r="E63" s="1345">
        <v>73841019</v>
      </c>
      <c r="F63" s="1345">
        <v>2030628.22</v>
      </c>
      <c r="G63" s="1347"/>
      <c r="H63" s="1345">
        <v>0</v>
      </c>
      <c r="I63" s="1345">
        <v>0</v>
      </c>
      <c r="J63" s="1348"/>
      <c r="K63" s="1345">
        <v>3792749748</v>
      </c>
      <c r="L63" s="1345">
        <v>33238433.809999999</v>
      </c>
      <c r="M63" s="715"/>
    </row>
    <row r="64" spans="1:13" ht="11.25" customHeight="1">
      <c r="A64" s="620" t="s">
        <v>83</v>
      </c>
      <c r="B64" s="1345">
        <v>720930995</v>
      </c>
      <c r="C64" s="1345">
        <v>16377787.48</v>
      </c>
      <c r="D64" s="1347"/>
      <c r="E64" s="1345">
        <v>20322105</v>
      </c>
      <c r="F64" s="1345">
        <v>386120</v>
      </c>
      <c r="G64" s="1347"/>
      <c r="H64" s="1345">
        <v>85121650</v>
      </c>
      <c r="I64" s="1345">
        <v>553290.73</v>
      </c>
      <c r="J64" s="1347"/>
      <c r="K64" s="1345">
        <v>2268126360</v>
      </c>
      <c r="L64" s="1345">
        <v>16345982.720000001</v>
      </c>
      <c r="M64" s="715"/>
    </row>
    <row r="65" spans="1:13" ht="11.25" customHeight="1">
      <c r="A65" s="620" t="s">
        <v>85</v>
      </c>
      <c r="B65" s="1345">
        <v>122177359</v>
      </c>
      <c r="C65" s="1345">
        <v>4424840.0999999996</v>
      </c>
      <c r="D65" s="1347"/>
      <c r="E65" s="1345">
        <v>21733247</v>
      </c>
      <c r="F65" s="1345">
        <v>309517.14</v>
      </c>
      <c r="G65" s="1347"/>
      <c r="H65" s="1345">
        <v>12119941</v>
      </c>
      <c r="I65" s="1345">
        <v>145439.29</v>
      </c>
      <c r="J65" s="1347"/>
      <c r="K65" s="1345">
        <v>54229967</v>
      </c>
      <c r="L65" s="1345">
        <v>206073.87</v>
      </c>
      <c r="M65" s="715"/>
    </row>
    <row r="66" spans="1:13" ht="18" customHeight="1">
      <c r="A66" s="620" t="s">
        <v>87</v>
      </c>
      <c r="B66" s="1345">
        <v>209267510.55000001</v>
      </c>
      <c r="C66" s="1345">
        <v>6319047.3200000003</v>
      </c>
      <c r="D66" s="1347"/>
      <c r="E66" s="1345">
        <v>8518946.8900000006</v>
      </c>
      <c r="F66" s="1345">
        <v>142266.41</v>
      </c>
      <c r="G66" s="1347"/>
      <c r="H66" s="1345">
        <v>28641826.57</v>
      </c>
      <c r="I66" s="1345">
        <v>246319.72</v>
      </c>
      <c r="J66" s="1347"/>
      <c r="K66" s="1345">
        <v>40669741</v>
      </c>
      <c r="L66" s="1345">
        <v>300956.09999999998</v>
      </c>
      <c r="M66" s="715"/>
    </row>
    <row r="67" spans="1:13" ht="11.25" customHeight="1">
      <c r="A67" s="620" t="s">
        <v>89</v>
      </c>
      <c r="B67" s="1349">
        <v>182776724</v>
      </c>
      <c r="C67" s="1349">
        <v>4909366.38</v>
      </c>
      <c r="D67" s="1346"/>
      <c r="E67" s="1349">
        <v>0</v>
      </c>
      <c r="F67" s="1349">
        <v>0</v>
      </c>
      <c r="G67" s="1346"/>
      <c r="H67" s="1349">
        <v>0</v>
      </c>
      <c r="I67" s="1349">
        <v>0</v>
      </c>
      <c r="J67" s="1346"/>
      <c r="K67" s="1349">
        <v>26062496</v>
      </c>
      <c r="L67" s="1349">
        <v>145981.12</v>
      </c>
      <c r="M67" s="715"/>
    </row>
    <row r="68" spans="1:13" ht="11.25" customHeight="1">
      <c r="A68" s="620" t="s">
        <v>91</v>
      </c>
      <c r="B68" s="1345">
        <v>2565114896</v>
      </c>
      <c r="C68" s="1345">
        <v>85672103.819999993</v>
      </c>
      <c r="D68" s="1347"/>
      <c r="E68" s="1345">
        <v>59294103</v>
      </c>
      <c r="F68" s="1345">
        <v>391343.34</v>
      </c>
      <c r="G68" s="1347"/>
      <c r="H68" s="1345">
        <v>75736892</v>
      </c>
      <c r="I68" s="1345">
        <v>545307.06000000006</v>
      </c>
      <c r="J68" s="1347"/>
      <c r="K68" s="1345">
        <v>347726062</v>
      </c>
      <c r="L68" s="1345">
        <v>1448220.07</v>
      </c>
      <c r="M68" s="715"/>
    </row>
    <row r="69" spans="1:13" ht="11.25" customHeight="1">
      <c r="A69" s="620" t="s">
        <v>93</v>
      </c>
      <c r="B69" s="1345">
        <v>336042651</v>
      </c>
      <c r="C69" s="1345">
        <v>6576632.4000000004</v>
      </c>
      <c r="D69" s="1347"/>
      <c r="E69" s="1345">
        <v>0</v>
      </c>
      <c r="F69" s="1345">
        <v>0</v>
      </c>
      <c r="G69" s="1347"/>
      <c r="H69" s="1345">
        <v>0</v>
      </c>
      <c r="I69" s="1345">
        <v>0</v>
      </c>
      <c r="J69" s="1347"/>
      <c r="K69" s="1345">
        <v>114917365</v>
      </c>
      <c r="L69" s="1345">
        <v>702439.91</v>
      </c>
      <c r="M69" s="715"/>
    </row>
    <row r="70" spans="1:13" ht="11.25" customHeight="1">
      <c r="A70" s="620" t="s">
        <v>95</v>
      </c>
      <c r="B70" s="1345">
        <v>1064732389</v>
      </c>
      <c r="C70" s="1345">
        <v>26534580.670000002</v>
      </c>
      <c r="D70" s="1346"/>
      <c r="E70" s="1345">
        <v>178394402</v>
      </c>
      <c r="F70" s="1345">
        <v>3246778.17</v>
      </c>
      <c r="G70" s="1346"/>
      <c r="H70" s="1345">
        <v>0</v>
      </c>
      <c r="I70" s="1345">
        <v>0</v>
      </c>
      <c r="J70" s="1346"/>
      <c r="K70" s="1345">
        <v>196039129</v>
      </c>
      <c r="L70" s="1345">
        <v>1378176.703</v>
      </c>
      <c r="M70" s="715"/>
    </row>
    <row r="71" spans="1:13" ht="15" customHeight="1">
      <c r="A71" s="781" t="s">
        <v>821</v>
      </c>
      <c r="B71" s="644"/>
      <c r="C71" s="644"/>
      <c r="D71" s="634"/>
      <c r="E71" s="644"/>
      <c r="F71" s="644"/>
      <c r="G71" s="634"/>
      <c r="H71" s="644"/>
      <c r="I71" s="644"/>
      <c r="J71" s="634"/>
      <c r="K71" s="644"/>
      <c r="L71" s="644"/>
      <c r="M71" s="646"/>
    </row>
    <row r="72" spans="1:13" ht="15" customHeight="1">
      <c r="A72" s="890" t="str">
        <f>A2</f>
        <v>Tangible Personal Property, Machinery &amp; Tools, Merchants' Capital, and Public Service Corporations:  Assessed Values &amp; Levies by Locality - Tax Year 2023</v>
      </c>
      <c r="B72" s="645"/>
      <c r="C72" s="645"/>
      <c r="D72" s="645"/>
      <c r="E72" s="645"/>
      <c r="F72" s="645"/>
      <c r="G72" s="645"/>
      <c r="H72" s="645"/>
      <c r="I72" s="645"/>
      <c r="J72" s="645"/>
      <c r="K72" s="645"/>
      <c r="L72" s="645"/>
      <c r="M72" s="646"/>
    </row>
    <row r="73" spans="1:13" ht="5.15" customHeight="1" thickBot="1">
      <c r="A73" s="622"/>
      <c r="B73" s="622"/>
      <c r="C73" s="622"/>
      <c r="D73" s="622"/>
      <c r="E73" s="622"/>
      <c r="F73" s="622"/>
      <c r="G73" s="622"/>
      <c r="H73" s="622"/>
      <c r="I73" s="622"/>
      <c r="J73" s="622"/>
      <c r="K73" s="622"/>
      <c r="L73" s="622"/>
      <c r="M73" s="647"/>
    </row>
    <row r="74" spans="1:13" ht="12.75" customHeight="1">
      <c r="A74" s="641"/>
      <c r="B74" s="891" t="s">
        <v>815</v>
      </c>
      <c r="C74" s="891"/>
      <c r="D74" s="641"/>
      <c r="E74" s="892" t="s">
        <v>816</v>
      </c>
      <c r="F74" s="892"/>
      <c r="G74" s="641"/>
      <c r="H74" s="892" t="s">
        <v>817</v>
      </c>
      <c r="I74" s="892"/>
      <c r="J74" s="641"/>
      <c r="K74" s="892" t="s">
        <v>818</v>
      </c>
      <c r="L74" s="892"/>
      <c r="M74" s="646"/>
    </row>
    <row r="75" spans="1:13" ht="12.75" customHeight="1">
      <c r="A75" s="1228" t="s">
        <v>18</v>
      </c>
      <c r="B75" s="1226" t="s">
        <v>819</v>
      </c>
      <c r="C75" s="1226" t="s">
        <v>820</v>
      </c>
      <c r="D75" s="738"/>
      <c r="E75" s="1226" t="s">
        <v>819</v>
      </c>
      <c r="F75" s="1226" t="s">
        <v>820</v>
      </c>
      <c r="G75" s="738"/>
      <c r="H75" s="1225" t="s">
        <v>819</v>
      </c>
      <c r="I75" s="1225" t="s">
        <v>820</v>
      </c>
      <c r="J75" s="738"/>
      <c r="K75" s="1227" t="s">
        <v>819</v>
      </c>
      <c r="L75" s="1226" t="s">
        <v>820</v>
      </c>
      <c r="M75" s="647"/>
    </row>
    <row r="76" spans="1:13" ht="18" customHeight="1">
      <c r="A76" s="620" t="s">
        <v>97</v>
      </c>
      <c r="B76" s="1343">
        <v>261086084</v>
      </c>
      <c r="C76" s="1343">
        <v>4718544.84</v>
      </c>
      <c r="D76" s="1344"/>
      <c r="E76" s="1343">
        <v>6769360</v>
      </c>
      <c r="F76" s="1343">
        <v>84617.07</v>
      </c>
      <c r="G76" s="1344"/>
      <c r="H76" s="1343">
        <v>0</v>
      </c>
      <c r="I76" s="1343">
        <v>0</v>
      </c>
      <c r="J76" s="1344"/>
      <c r="K76" s="1343">
        <v>140044069</v>
      </c>
      <c r="L76" s="1343">
        <v>948048.82</v>
      </c>
      <c r="M76" s="715"/>
    </row>
    <row r="77" spans="1:13" ht="11.25" customHeight="1">
      <c r="A77" s="620" t="s">
        <v>99</v>
      </c>
      <c r="B77" s="1346">
        <v>426180360</v>
      </c>
      <c r="C77" s="1346">
        <v>13378236.23</v>
      </c>
      <c r="D77" s="1346"/>
      <c r="E77" s="1346">
        <v>7743388</v>
      </c>
      <c r="F77" s="1346">
        <v>58075.69</v>
      </c>
      <c r="G77" s="1346"/>
      <c r="H77" s="1346">
        <v>0</v>
      </c>
      <c r="I77" s="1346">
        <v>0</v>
      </c>
      <c r="J77" s="1346"/>
      <c r="K77" s="1346">
        <v>208798223</v>
      </c>
      <c r="L77" s="1346">
        <v>1401501</v>
      </c>
      <c r="M77" s="715"/>
    </row>
    <row r="78" spans="1:13" ht="11.25" customHeight="1">
      <c r="A78" s="620" t="s">
        <v>101</v>
      </c>
      <c r="B78" s="1346">
        <v>191421411</v>
      </c>
      <c r="C78" s="1346">
        <v>6995699.0599999996</v>
      </c>
      <c r="D78" s="1345"/>
      <c r="E78" s="1346">
        <v>6197800</v>
      </c>
      <c r="F78" s="1346">
        <v>123956</v>
      </c>
      <c r="G78" s="1345"/>
      <c r="H78" s="1346">
        <v>0</v>
      </c>
      <c r="I78" s="1346">
        <v>0</v>
      </c>
      <c r="J78" s="1345"/>
      <c r="K78" s="1346">
        <v>56603200</v>
      </c>
      <c r="L78" s="1346">
        <v>430184.32</v>
      </c>
      <c r="M78" s="715"/>
    </row>
    <row r="79" spans="1:13" ht="11.25" customHeight="1">
      <c r="A79" s="620" t="s">
        <v>103</v>
      </c>
      <c r="B79" s="1346">
        <v>151019387</v>
      </c>
      <c r="C79" s="1346">
        <v>5286428.8499999996</v>
      </c>
      <c r="D79" s="1345"/>
      <c r="E79" s="1346">
        <v>5611873</v>
      </c>
      <c r="F79" s="1346">
        <v>202027.42</v>
      </c>
      <c r="G79" s="1345"/>
      <c r="H79" s="1346">
        <v>5184996</v>
      </c>
      <c r="I79" s="1346">
        <v>51849.96</v>
      </c>
      <c r="J79" s="1345"/>
      <c r="K79" s="1346">
        <v>45271909</v>
      </c>
      <c r="L79" s="1346">
        <v>277333.52</v>
      </c>
      <c r="M79" s="715"/>
    </row>
    <row r="80" spans="1:13" ht="11.25" customHeight="1">
      <c r="A80" s="620" t="s">
        <v>105</v>
      </c>
      <c r="B80" s="1346">
        <v>130856246</v>
      </c>
      <c r="C80" s="1346">
        <v>4126690.04</v>
      </c>
      <c r="D80" s="1345"/>
      <c r="E80" s="1346">
        <v>12787810</v>
      </c>
      <c r="F80" s="1346">
        <v>172635.44</v>
      </c>
      <c r="G80" s="1345"/>
      <c r="H80" s="1346">
        <v>0</v>
      </c>
      <c r="I80" s="1346">
        <v>0</v>
      </c>
      <c r="J80" s="1349"/>
      <c r="K80" s="1346">
        <v>84467225</v>
      </c>
      <c r="L80" s="1346">
        <v>435843.14</v>
      </c>
      <c r="M80" s="715"/>
    </row>
    <row r="81" spans="1:13" ht="18" customHeight="1">
      <c r="A81" s="620" t="s">
        <v>107</v>
      </c>
      <c r="B81" s="1346">
        <v>558614858</v>
      </c>
      <c r="C81" s="1346">
        <v>19267476.600000001</v>
      </c>
      <c r="D81" s="1345"/>
      <c r="E81" s="1346">
        <v>61875930</v>
      </c>
      <c r="F81" s="1346">
        <v>1132948.28</v>
      </c>
      <c r="G81" s="1345"/>
      <c r="H81" s="1346">
        <v>60872680</v>
      </c>
      <c r="I81" s="1346">
        <v>243490.72</v>
      </c>
      <c r="J81" s="1345"/>
      <c r="K81" s="1346">
        <v>206666499</v>
      </c>
      <c r="L81" s="1346">
        <v>1551655.07</v>
      </c>
      <c r="M81" s="715"/>
    </row>
    <row r="82" spans="1:13" ht="11.25" customHeight="1">
      <c r="A82" s="620" t="s">
        <v>109</v>
      </c>
      <c r="B82" s="1346">
        <v>260588900</v>
      </c>
      <c r="C82" s="1346">
        <v>10616791.869999999</v>
      </c>
      <c r="D82" s="1345"/>
      <c r="E82" s="1346">
        <v>25122620</v>
      </c>
      <c r="F82" s="1346">
        <v>376839.3</v>
      </c>
      <c r="G82" s="1345"/>
      <c r="H82" s="1346">
        <v>0</v>
      </c>
      <c r="I82" s="1346">
        <v>0</v>
      </c>
      <c r="J82" s="1349"/>
      <c r="K82" s="1346">
        <v>97213875</v>
      </c>
      <c r="L82" s="1346">
        <v>731283.85</v>
      </c>
      <c r="M82" s="715"/>
    </row>
    <row r="83" spans="1:13" ht="11.25" customHeight="1">
      <c r="A83" s="620" t="s">
        <v>110</v>
      </c>
      <c r="B83" s="1346">
        <v>247759168</v>
      </c>
      <c r="C83" s="1346">
        <v>4087568.17</v>
      </c>
      <c r="D83" s="1345"/>
      <c r="E83" s="1346">
        <v>47908073</v>
      </c>
      <c r="F83" s="1346">
        <v>819228.05</v>
      </c>
      <c r="G83" s="1345"/>
      <c r="H83" s="1345">
        <v>0</v>
      </c>
      <c r="I83" s="1346">
        <v>0</v>
      </c>
      <c r="J83" s="1349"/>
      <c r="K83" s="1346">
        <v>63546846</v>
      </c>
      <c r="L83" s="1346">
        <v>465036.02</v>
      </c>
      <c r="M83" s="715"/>
    </row>
    <row r="84" spans="1:13" ht="11.25" customHeight="1">
      <c r="A84" s="620" t="s">
        <v>112</v>
      </c>
      <c r="B84" s="1346">
        <v>246164426</v>
      </c>
      <c r="C84" s="1346">
        <v>18265213.129999999</v>
      </c>
      <c r="D84" s="1345"/>
      <c r="E84" s="1346">
        <v>40193920</v>
      </c>
      <c r="F84" s="1346">
        <v>1808726.4</v>
      </c>
      <c r="G84" s="1345"/>
      <c r="H84" s="1346">
        <v>15773550</v>
      </c>
      <c r="I84" s="1346">
        <v>433772.63</v>
      </c>
      <c r="J84" s="1345"/>
      <c r="K84" s="1346">
        <v>392708632</v>
      </c>
      <c r="L84" s="1346">
        <v>4321558.4000000004</v>
      </c>
      <c r="M84" s="715"/>
    </row>
    <row r="85" spans="1:13" ht="11.25" customHeight="1">
      <c r="A85" s="620" t="s">
        <v>114</v>
      </c>
      <c r="B85" s="1346">
        <v>412949391</v>
      </c>
      <c r="C85" s="1346">
        <v>14697253.09</v>
      </c>
      <c r="D85" s="1345"/>
      <c r="E85" s="1346">
        <v>18497711</v>
      </c>
      <c r="F85" s="1346">
        <v>665917.59</v>
      </c>
      <c r="G85" s="1345"/>
      <c r="H85" s="1346">
        <v>0</v>
      </c>
      <c r="I85" s="1346">
        <v>0</v>
      </c>
      <c r="J85" s="1345"/>
      <c r="K85" s="1346">
        <v>115263037</v>
      </c>
      <c r="L85" s="1346">
        <v>822937.1</v>
      </c>
      <c r="M85" s="715"/>
    </row>
    <row r="86" spans="1:13" ht="18" customHeight="1">
      <c r="A86" s="620" t="s">
        <v>115</v>
      </c>
      <c r="B86" s="1346">
        <v>192078890</v>
      </c>
      <c r="C86" s="1346">
        <v>7859504.0499999998</v>
      </c>
      <c r="D86" s="1346"/>
      <c r="E86" s="1346">
        <v>0</v>
      </c>
      <c r="F86" s="1346">
        <v>0</v>
      </c>
      <c r="G86" s="1346"/>
      <c r="H86" s="1346">
        <v>58323095</v>
      </c>
      <c r="I86" s="1346">
        <v>408261.67</v>
      </c>
      <c r="J86" s="1346"/>
      <c r="K86" s="1346">
        <v>108023279</v>
      </c>
      <c r="L86" s="1346">
        <v>590982.31999999995</v>
      </c>
      <c r="M86" s="715"/>
    </row>
    <row r="87" spans="1:13" ht="11.25" customHeight="1">
      <c r="A87" s="620" t="s">
        <v>117</v>
      </c>
      <c r="B87" s="1346">
        <v>443737772</v>
      </c>
      <c r="C87" s="1346">
        <v>16471166.029999999</v>
      </c>
      <c r="D87" s="1345"/>
      <c r="E87" s="1346">
        <v>60573608</v>
      </c>
      <c r="F87" s="1346">
        <v>908604.12</v>
      </c>
      <c r="G87" s="1345"/>
      <c r="H87" s="1346">
        <v>0</v>
      </c>
      <c r="I87" s="1346">
        <v>0</v>
      </c>
      <c r="J87" s="1349"/>
      <c r="K87" s="1346">
        <v>328343724</v>
      </c>
      <c r="L87" s="1346">
        <v>2693228.33</v>
      </c>
      <c r="M87" s="715"/>
    </row>
    <row r="88" spans="1:13" ht="11.25" customHeight="1">
      <c r="A88" s="620" t="s">
        <v>119</v>
      </c>
      <c r="B88" s="1346">
        <v>8105304310.7700005</v>
      </c>
      <c r="C88" s="1346">
        <v>241432257.24000001</v>
      </c>
      <c r="D88" s="1345"/>
      <c r="E88" s="1346">
        <v>0</v>
      </c>
      <c r="F88" s="1346">
        <v>0</v>
      </c>
      <c r="G88" s="1345"/>
      <c r="H88" s="1346">
        <v>0</v>
      </c>
      <c r="I88" s="1346">
        <v>0</v>
      </c>
      <c r="J88" s="1349"/>
      <c r="K88" s="1346">
        <v>2328071115.0300002</v>
      </c>
      <c r="L88" s="1346">
        <v>22614337.350000001</v>
      </c>
      <c r="M88" s="715"/>
    </row>
    <row r="89" spans="1:13" ht="11.25" customHeight="1">
      <c r="A89" s="620" t="s">
        <v>121</v>
      </c>
      <c r="B89" s="1346">
        <v>496305040</v>
      </c>
      <c r="C89" s="1346">
        <v>11448689.699999999</v>
      </c>
      <c r="D89" s="1345"/>
      <c r="E89" s="1346">
        <v>359740008</v>
      </c>
      <c r="F89" s="1346">
        <v>5396100.25</v>
      </c>
      <c r="G89" s="1345"/>
      <c r="H89" s="1346">
        <v>0</v>
      </c>
      <c r="I89" s="1346">
        <v>0</v>
      </c>
      <c r="J89" s="1345"/>
      <c r="K89" s="1346">
        <v>118145568</v>
      </c>
      <c r="L89" s="1346">
        <v>877487.83</v>
      </c>
      <c r="M89" s="715"/>
    </row>
    <row r="90" spans="1:13" ht="11.25" customHeight="1">
      <c r="A90" s="620" t="s">
        <v>123</v>
      </c>
      <c r="B90" s="1346">
        <v>90330669</v>
      </c>
      <c r="C90" s="1346">
        <v>3322232.87</v>
      </c>
      <c r="D90" s="1345"/>
      <c r="E90" s="1346">
        <v>0</v>
      </c>
      <c r="F90" s="1346">
        <v>0</v>
      </c>
      <c r="G90" s="1349"/>
      <c r="H90" s="1346">
        <v>0</v>
      </c>
      <c r="I90" s="1346">
        <v>0</v>
      </c>
      <c r="J90" s="1349"/>
      <c r="K90" s="1346">
        <v>52438056</v>
      </c>
      <c r="L90" s="1346">
        <v>319872.19</v>
      </c>
      <c r="M90" s="715"/>
    </row>
    <row r="91" spans="1:13" ht="18" customHeight="1">
      <c r="A91" s="620" t="s">
        <v>1207</v>
      </c>
      <c r="B91" s="1346">
        <v>103057640</v>
      </c>
      <c r="C91" s="1346">
        <v>3803116.47</v>
      </c>
      <c r="D91" s="1345"/>
      <c r="E91" s="1346">
        <v>17314800</v>
      </c>
      <c r="F91" s="1346">
        <v>69259.199999999997</v>
      </c>
      <c r="G91" s="1345"/>
      <c r="H91" s="1346">
        <v>3476380</v>
      </c>
      <c r="I91" s="1346">
        <v>121673.3</v>
      </c>
      <c r="J91" s="1345"/>
      <c r="K91" s="1346">
        <v>71789317</v>
      </c>
      <c r="L91" s="1346">
        <v>537684.85</v>
      </c>
      <c r="M91" s="715"/>
    </row>
    <row r="92" spans="1:13" ht="11.25" customHeight="1">
      <c r="A92" s="620" t="s">
        <v>22</v>
      </c>
      <c r="B92" s="1346">
        <v>1262880724</v>
      </c>
      <c r="C92" s="1346">
        <v>42642295.189999998</v>
      </c>
      <c r="D92" s="1346"/>
      <c r="E92" s="1346">
        <v>98342690</v>
      </c>
      <c r="F92" s="1346">
        <v>2753595.32</v>
      </c>
      <c r="G92" s="1346"/>
      <c r="H92" s="1346">
        <v>0</v>
      </c>
      <c r="I92" s="1346">
        <v>0</v>
      </c>
      <c r="J92" s="1346"/>
      <c r="K92" s="1346">
        <v>492577360</v>
      </c>
      <c r="L92" s="1346">
        <v>5233041.08</v>
      </c>
      <c r="M92" s="715"/>
    </row>
    <row r="93" spans="1:13" ht="11.25" customHeight="1">
      <c r="A93" s="620" t="s">
        <v>127</v>
      </c>
      <c r="B93" s="1346">
        <v>313191561</v>
      </c>
      <c r="C93" s="1346">
        <v>12162258.34</v>
      </c>
      <c r="D93" s="1346"/>
      <c r="E93" s="1346">
        <v>20180950</v>
      </c>
      <c r="F93" s="1346">
        <v>514614.49</v>
      </c>
      <c r="G93" s="1346"/>
      <c r="H93" s="1346">
        <v>0</v>
      </c>
      <c r="I93" s="1346">
        <v>0</v>
      </c>
      <c r="J93" s="1346"/>
      <c r="K93" s="1346">
        <v>325474797</v>
      </c>
      <c r="L93" s="1346">
        <v>1985396.26</v>
      </c>
      <c r="M93" s="715"/>
    </row>
    <row r="94" spans="1:13" ht="11.25" customHeight="1">
      <c r="A94" s="620" t="s">
        <v>128</v>
      </c>
      <c r="B94" s="1346">
        <v>1302244036</v>
      </c>
      <c r="C94" s="1346">
        <v>31285131.25</v>
      </c>
      <c r="D94" s="1346"/>
      <c r="E94" s="1346">
        <v>831236015</v>
      </c>
      <c r="F94" s="1346">
        <v>21196518.379999999</v>
      </c>
      <c r="G94" s="1346"/>
      <c r="H94" s="1346">
        <v>203256319</v>
      </c>
      <c r="I94" s="1346">
        <v>1768329.398</v>
      </c>
      <c r="J94" s="1346"/>
      <c r="K94" s="1346">
        <v>361080613</v>
      </c>
      <c r="L94" s="1346">
        <v>2486884.1800000002</v>
      </c>
      <c r="M94" s="715"/>
    </row>
    <row r="95" spans="1:13" ht="11.25" customHeight="1">
      <c r="A95" s="620" t="s">
        <v>130</v>
      </c>
      <c r="B95" s="1346">
        <v>406192933</v>
      </c>
      <c r="C95" s="1346">
        <v>7734023.8099999996</v>
      </c>
      <c r="D95" s="1345"/>
      <c r="E95" s="1346">
        <v>63927586</v>
      </c>
      <c r="F95" s="1346">
        <v>1246587.93</v>
      </c>
      <c r="G95" s="1345"/>
      <c r="H95" s="1346">
        <v>8154560</v>
      </c>
      <c r="I95" s="1346">
        <v>53004.639999999999</v>
      </c>
      <c r="J95" s="1345"/>
      <c r="K95" s="1346">
        <v>279911034</v>
      </c>
      <c r="L95" s="1346">
        <v>1769946.27</v>
      </c>
      <c r="M95" s="715"/>
    </row>
    <row r="96" spans="1:13" ht="18" customHeight="1">
      <c r="A96" s="620" t="s">
        <v>132</v>
      </c>
      <c r="B96" s="1345">
        <v>215682414</v>
      </c>
      <c r="C96" s="1345">
        <v>3262841.43</v>
      </c>
      <c r="D96" s="1345"/>
      <c r="E96" s="1345">
        <v>52871883</v>
      </c>
      <c r="F96" s="1345">
        <v>608026.64</v>
      </c>
      <c r="G96" s="1345"/>
      <c r="H96" s="1345">
        <v>14851935</v>
      </c>
      <c r="I96" s="1345">
        <v>106933.96</v>
      </c>
      <c r="J96" s="1349"/>
      <c r="K96" s="1345">
        <v>945008</v>
      </c>
      <c r="L96" s="1345">
        <v>15592.63</v>
      </c>
      <c r="M96" s="715"/>
    </row>
    <row r="97" spans="1:13" ht="11.25" customHeight="1">
      <c r="A97" s="620" t="s">
        <v>134</v>
      </c>
      <c r="B97" s="1346">
        <v>655769834</v>
      </c>
      <c r="C97" s="1346">
        <v>25721567.09</v>
      </c>
      <c r="D97" s="1346"/>
      <c r="E97" s="1346">
        <v>79756319</v>
      </c>
      <c r="F97" s="1346">
        <v>2512324.0499999998</v>
      </c>
      <c r="G97" s="1346"/>
      <c r="H97" s="1346">
        <v>63094934</v>
      </c>
      <c r="I97" s="1346">
        <v>378569.6</v>
      </c>
      <c r="J97" s="1346"/>
      <c r="K97" s="1346">
        <v>313679570</v>
      </c>
      <c r="L97" s="1346">
        <v>1906192.78</v>
      </c>
      <c r="M97" s="715"/>
    </row>
    <row r="98" spans="1:13" ht="11.25" customHeight="1">
      <c r="A98" s="620" t="s">
        <v>136</v>
      </c>
      <c r="B98" s="1346">
        <v>330812535</v>
      </c>
      <c r="C98" s="1346">
        <v>7271786.46</v>
      </c>
      <c r="D98" s="1346"/>
      <c r="E98" s="1346">
        <v>137726043</v>
      </c>
      <c r="F98" s="1346">
        <v>2134753.7000000002</v>
      </c>
      <c r="G98" s="1346"/>
      <c r="H98" s="1346">
        <v>107729868</v>
      </c>
      <c r="I98" s="1346">
        <v>430919.47</v>
      </c>
      <c r="J98" s="1346"/>
      <c r="K98" s="1346">
        <v>480742348</v>
      </c>
      <c r="L98" s="1346">
        <v>3566924.51</v>
      </c>
      <c r="M98" s="715"/>
    </row>
    <row r="99" spans="1:13" ht="11.25" customHeight="1">
      <c r="A99" s="620" t="s">
        <v>138</v>
      </c>
      <c r="B99" s="1346">
        <v>290746398</v>
      </c>
      <c r="C99" s="1346">
        <v>10743719.460000001</v>
      </c>
      <c r="D99" s="1346"/>
      <c r="E99" s="1346">
        <v>120666320</v>
      </c>
      <c r="F99" s="1346">
        <v>2895991.68</v>
      </c>
      <c r="G99" s="1346"/>
      <c r="H99" s="1346">
        <v>23011985</v>
      </c>
      <c r="I99" s="1346">
        <v>115060.07</v>
      </c>
      <c r="J99" s="1346"/>
      <c r="K99" s="1346">
        <v>178427426</v>
      </c>
      <c r="L99" s="1346">
        <v>1591010.09</v>
      </c>
      <c r="M99" s="715"/>
    </row>
    <row r="100" spans="1:13" ht="11.25" customHeight="1">
      <c r="A100" s="620" t="s">
        <v>140</v>
      </c>
      <c r="B100" s="1346">
        <v>1669610021.04</v>
      </c>
      <c r="C100" s="1346">
        <v>77245446.840000004</v>
      </c>
      <c r="D100" s="1345"/>
      <c r="E100" s="1346">
        <v>49658840.729999997</v>
      </c>
      <c r="F100" s="1346">
        <v>910066.62</v>
      </c>
      <c r="G100" s="1345"/>
      <c r="H100" s="1346">
        <v>0</v>
      </c>
      <c r="I100" s="1346">
        <v>0</v>
      </c>
      <c r="J100" s="1349"/>
      <c r="K100" s="1346">
        <v>912012431</v>
      </c>
      <c r="L100" s="1346">
        <v>4012511.22</v>
      </c>
      <c r="M100" s="715"/>
    </row>
    <row r="101" spans="1:13" ht="18" customHeight="1">
      <c r="A101" s="620" t="s">
        <v>142</v>
      </c>
      <c r="B101" s="1346">
        <v>1829731540</v>
      </c>
      <c r="C101" s="1346">
        <v>81392201.209999993</v>
      </c>
      <c r="D101" s="1346"/>
      <c r="E101" s="1346">
        <v>0</v>
      </c>
      <c r="F101" s="1346">
        <v>0</v>
      </c>
      <c r="G101" s="1346"/>
      <c r="H101" s="1346">
        <v>214042440</v>
      </c>
      <c r="I101" s="1346">
        <v>1074431.73</v>
      </c>
      <c r="J101" s="1346"/>
      <c r="K101" s="1346">
        <v>490983500</v>
      </c>
      <c r="L101" s="1346">
        <v>4589948.99</v>
      </c>
      <c r="M101" s="715"/>
    </row>
    <row r="102" spans="1:13" ht="11.25" customHeight="1">
      <c r="A102" s="620" t="s">
        <v>144</v>
      </c>
      <c r="B102" s="1346">
        <v>84427208</v>
      </c>
      <c r="C102" s="1346">
        <v>2596346.12</v>
      </c>
      <c r="D102" s="1345"/>
      <c r="E102" s="1346">
        <v>2147435</v>
      </c>
      <c r="F102" s="1346">
        <v>21474.35</v>
      </c>
      <c r="G102" s="1345"/>
      <c r="H102" s="1346">
        <v>0</v>
      </c>
      <c r="I102" s="1346">
        <v>0</v>
      </c>
      <c r="J102" s="1349"/>
      <c r="K102" s="1346">
        <v>2189660277</v>
      </c>
      <c r="L102" s="1346">
        <v>15564022.24</v>
      </c>
      <c r="M102" s="715"/>
    </row>
    <row r="103" spans="1:13" ht="11.25" customHeight="1">
      <c r="A103" s="620" t="s">
        <v>146</v>
      </c>
      <c r="B103" s="1346">
        <v>125466455</v>
      </c>
      <c r="C103" s="1346">
        <v>5969249.9900000002</v>
      </c>
      <c r="D103" s="1346"/>
      <c r="E103" s="1346">
        <v>32368837</v>
      </c>
      <c r="F103" s="1346">
        <v>786562.74</v>
      </c>
      <c r="G103" s="1346"/>
      <c r="H103" s="1346">
        <v>16311931</v>
      </c>
      <c r="I103" s="1346">
        <v>163119.31</v>
      </c>
      <c r="J103" s="1346"/>
      <c r="K103" s="1346">
        <v>124768642</v>
      </c>
      <c r="L103" s="1346">
        <v>631400.67000000004</v>
      </c>
      <c r="M103" s="715"/>
    </row>
    <row r="104" spans="1:13" ht="11.25" customHeight="1">
      <c r="A104" s="620" t="s">
        <v>148</v>
      </c>
      <c r="B104" s="1346">
        <v>535852090</v>
      </c>
      <c r="C104" s="1346">
        <v>13026533.67</v>
      </c>
      <c r="D104" s="1345"/>
      <c r="E104" s="1346">
        <v>57940500</v>
      </c>
      <c r="F104" s="1346">
        <v>1158810</v>
      </c>
      <c r="G104" s="1345"/>
      <c r="H104" s="1346">
        <v>29077950</v>
      </c>
      <c r="I104" s="1346">
        <v>1250351.8500000001</v>
      </c>
      <c r="J104" s="1345"/>
      <c r="K104" s="1346">
        <v>256231925</v>
      </c>
      <c r="L104" s="1346">
        <v>1495100.76</v>
      </c>
      <c r="M104" s="715"/>
    </row>
    <row r="105" spans="1:13" ht="11.25" customHeight="1">
      <c r="A105" s="620" t="s">
        <v>150</v>
      </c>
      <c r="B105" s="1346">
        <v>738485795</v>
      </c>
      <c r="C105" s="1346">
        <v>25261308.140000001</v>
      </c>
      <c r="D105" s="1345"/>
      <c r="E105" s="1346">
        <v>79973050</v>
      </c>
      <c r="F105" s="1346">
        <v>1639587.75</v>
      </c>
      <c r="G105" s="1345"/>
      <c r="H105" s="1346">
        <v>0</v>
      </c>
      <c r="I105" s="1346">
        <v>0</v>
      </c>
      <c r="J105" s="1345"/>
      <c r="K105" s="1346">
        <v>1071842210</v>
      </c>
      <c r="L105" s="1346">
        <v>5377038.9900000002</v>
      </c>
      <c r="M105" s="715"/>
    </row>
    <row r="106" spans="1:13" ht="18" customHeight="1">
      <c r="A106" s="620" t="s">
        <v>152</v>
      </c>
      <c r="B106" s="1345">
        <v>783980213.20000005</v>
      </c>
      <c r="C106" s="1345">
        <v>9468502.0099999998</v>
      </c>
      <c r="D106" s="1346"/>
      <c r="E106" s="1345">
        <v>218818528.78999999</v>
      </c>
      <c r="F106" s="1345">
        <v>3364440.08</v>
      </c>
      <c r="G106" s="1346"/>
      <c r="H106" s="1345">
        <v>0</v>
      </c>
      <c r="I106" s="1345">
        <v>0</v>
      </c>
      <c r="J106" s="1346"/>
      <c r="K106" s="1345">
        <v>225067815</v>
      </c>
      <c r="L106" s="1345">
        <v>1359989.41</v>
      </c>
      <c r="M106" s="715"/>
    </row>
    <row r="107" spans="1:13" ht="12" customHeight="1">
      <c r="A107" s="620" t="s">
        <v>154</v>
      </c>
      <c r="B107" s="1346">
        <v>256415920</v>
      </c>
      <c r="C107" s="1346">
        <v>8798653.4299999997</v>
      </c>
      <c r="D107" s="1345"/>
      <c r="E107" s="1346">
        <v>13518280</v>
      </c>
      <c r="F107" s="1346">
        <v>252304.27</v>
      </c>
      <c r="G107" s="1345"/>
      <c r="H107" s="1346">
        <v>11950640</v>
      </c>
      <c r="I107" s="1346">
        <v>95566.32</v>
      </c>
      <c r="J107" s="1345"/>
      <c r="K107" s="1346">
        <v>67542350</v>
      </c>
      <c r="L107" s="1346">
        <v>407429.34</v>
      </c>
      <c r="M107" s="715"/>
    </row>
    <row r="108" spans="1:13" ht="12" customHeight="1">
      <c r="A108" s="620" t="s">
        <v>156</v>
      </c>
      <c r="B108" s="1346">
        <v>449035395</v>
      </c>
      <c r="C108" s="1346">
        <v>5839089.4800000004</v>
      </c>
      <c r="D108" s="1345"/>
      <c r="E108" s="1346">
        <v>46103230</v>
      </c>
      <c r="F108" s="1346">
        <v>650055.54</v>
      </c>
      <c r="G108" s="1345"/>
      <c r="H108" s="1346">
        <v>26265495</v>
      </c>
      <c r="I108" s="1346">
        <v>748566.61</v>
      </c>
      <c r="J108" s="1345"/>
      <c r="K108" s="1346">
        <v>1384491363</v>
      </c>
      <c r="L108" s="1346">
        <v>9553929.1899999995</v>
      </c>
      <c r="M108" s="715"/>
    </row>
    <row r="109" spans="1:13" ht="12" customHeight="1">
      <c r="A109" s="620" t="s">
        <v>158</v>
      </c>
      <c r="B109" s="1346">
        <v>408753641</v>
      </c>
      <c r="C109" s="1346">
        <v>8793814.2699999996</v>
      </c>
      <c r="D109" s="1345"/>
      <c r="E109" s="1346">
        <v>204379048</v>
      </c>
      <c r="F109" s="1346">
        <v>3065685.72</v>
      </c>
      <c r="G109" s="1345"/>
      <c r="H109" s="1346">
        <v>75783237</v>
      </c>
      <c r="I109" s="1346">
        <v>424386.11</v>
      </c>
      <c r="J109" s="1345"/>
      <c r="K109" s="1346">
        <v>371776077</v>
      </c>
      <c r="L109" s="1346">
        <v>1901304.23</v>
      </c>
      <c r="M109" s="715"/>
    </row>
    <row r="110" spans="1:13" ht="12" customHeight="1">
      <c r="A110" s="620" t="s">
        <v>160</v>
      </c>
      <c r="B110" s="1346">
        <v>783063950</v>
      </c>
      <c r="C110" s="1346">
        <v>28237797.120000001</v>
      </c>
      <c r="D110" s="1345"/>
      <c r="E110" s="1346">
        <v>104290880</v>
      </c>
      <c r="F110" s="1346">
        <v>4163123.82</v>
      </c>
      <c r="G110" s="1345"/>
      <c r="H110" s="1346">
        <v>0</v>
      </c>
      <c r="I110" s="1346">
        <v>0</v>
      </c>
      <c r="J110" s="1349"/>
      <c r="K110" s="1346">
        <v>397904720</v>
      </c>
      <c r="L110" s="1346">
        <v>3064736.5466</v>
      </c>
      <c r="M110" s="715"/>
    </row>
    <row r="111" spans="1:13" ht="5.15" customHeight="1"/>
    <row r="112" spans="1:13" ht="12.75" customHeight="1">
      <c r="A112" s="637" t="s">
        <v>19</v>
      </c>
      <c r="B112" s="637">
        <f>SUM(B6:B35,B41:B70,B76:B105,B106:B110)</f>
        <v>110853523490.54999</v>
      </c>
      <c r="C112" s="637">
        <f t="shared" ref="C112:L112" si="0">SUM(C6:D35,C41:C70,C76:C105,C106:C110)</f>
        <v>3791227560.1244001</v>
      </c>
      <c r="D112" s="637">
        <f t="shared" si="0"/>
        <v>2785998585.02</v>
      </c>
      <c r="E112" s="637">
        <f>SUM(E6:E35,E41:E70,E76:E105,E106:E110)</f>
        <v>8842791808.9599991</v>
      </c>
      <c r="F112" s="637">
        <f t="shared" si="0"/>
        <v>170601982.26600006</v>
      </c>
      <c r="G112" s="637">
        <f t="shared" si="0"/>
        <v>113690846.8</v>
      </c>
      <c r="H112" s="637">
        <f>SUM(H6:H35,H41:H70,H76:H105,H106:H110)</f>
        <v>1520569240.1300001</v>
      </c>
      <c r="I112" s="637">
        <f t="shared" si="0"/>
        <v>14743997.708000001</v>
      </c>
      <c r="J112" s="637">
        <f t="shared" si="0"/>
        <v>15458591294.23</v>
      </c>
      <c r="K112" s="637">
        <f>SUM(K6:K35,K41:K70,K76:K105,K106:K110)</f>
        <v>43935027932.259995</v>
      </c>
      <c r="L112" s="637">
        <f t="shared" si="0"/>
        <v>341284106.96319991</v>
      </c>
      <c r="M112" s="647"/>
    </row>
    <row r="113" spans="1:13" ht="15" customHeight="1">
      <c r="A113" s="781" t="s">
        <v>821</v>
      </c>
      <c r="B113" s="643"/>
      <c r="C113" s="643"/>
      <c r="D113" s="643"/>
      <c r="E113" s="643"/>
      <c r="F113" s="643"/>
      <c r="G113" s="643"/>
      <c r="H113" s="643"/>
      <c r="I113" s="643"/>
      <c r="J113" s="643"/>
      <c r="K113" s="643"/>
      <c r="L113" s="643"/>
      <c r="M113" s="647"/>
    </row>
    <row r="114" spans="1:13" ht="14.15" customHeight="1">
      <c r="A114" s="890" t="str">
        <f>A2</f>
        <v>Tangible Personal Property, Machinery &amp; Tools, Merchants' Capital, and Public Service Corporations:  Assessed Values &amp; Levies by Locality - Tax Year 2023</v>
      </c>
    </row>
    <row r="115" spans="1:13" ht="5.15" customHeight="1" thickBot="1">
      <c r="A115" s="880"/>
      <c r="D115" s="651"/>
      <c r="E115" s="651"/>
      <c r="F115" s="651"/>
      <c r="G115" s="651"/>
      <c r="H115" s="651"/>
      <c r="I115" s="651"/>
      <c r="J115" s="651"/>
      <c r="K115" s="651"/>
      <c r="L115" s="651"/>
      <c r="M115" s="721"/>
    </row>
    <row r="116" spans="1:13" ht="12.65" customHeight="1">
      <c r="A116" s="889"/>
      <c r="B116" s="891" t="s">
        <v>815</v>
      </c>
      <c r="C116" s="891"/>
      <c r="D116" s="641"/>
      <c r="E116" s="892" t="s">
        <v>816</v>
      </c>
      <c r="F116" s="892"/>
      <c r="G116" s="641"/>
      <c r="H116" s="892" t="s">
        <v>817</v>
      </c>
      <c r="I116" s="892"/>
      <c r="J116" s="641"/>
      <c r="K116" s="892" t="s">
        <v>818</v>
      </c>
      <c r="L116" s="892"/>
      <c r="M116" s="646"/>
    </row>
    <row r="117" spans="1:13" ht="12.65" customHeight="1">
      <c r="A117" s="1228" t="s">
        <v>20</v>
      </c>
      <c r="B117" s="1226" t="s">
        <v>819</v>
      </c>
      <c r="C117" s="1226" t="s">
        <v>820</v>
      </c>
      <c r="D117" s="738"/>
      <c r="E117" s="1226" t="s">
        <v>819</v>
      </c>
      <c r="F117" s="1226" t="s">
        <v>820</v>
      </c>
      <c r="G117" s="738"/>
      <c r="H117" s="1225" t="s">
        <v>819</v>
      </c>
      <c r="I117" s="1225" t="s">
        <v>820</v>
      </c>
      <c r="J117" s="738"/>
      <c r="K117" s="1227" t="s">
        <v>819</v>
      </c>
      <c r="L117" s="1226" t="s">
        <v>820</v>
      </c>
      <c r="M117" s="647"/>
    </row>
    <row r="118" spans="1:13" ht="18" customHeight="1">
      <c r="A118" s="620" t="s">
        <v>165</v>
      </c>
      <c r="B118" s="1350">
        <v>2143066025.6800001</v>
      </c>
      <c r="C118" s="1343">
        <v>95905000.349999994</v>
      </c>
      <c r="D118" s="1345"/>
      <c r="E118" s="1350">
        <v>17119450.09</v>
      </c>
      <c r="F118" s="1350">
        <v>770375.25</v>
      </c>
      <c r="G118" s="1343"/>
      <c r="H118" s="1350">
        <v>0</v>
      </c>
      <c r="I118" s="1350">
        <v>0</v>
      </c>
      <c r="J118" s="1343"/>
      <c r="K118" s="1350">
        <v>702052411</v>
      </c>
      <c r="L118" s="1343">
        <v>7831419.2300000004</v>
      </c>
      <c r="M118" s="715"/>
    </row>
    <row r="119" spans="1:13" ht="11.25" customHeight="1">
      <c r="A119" s="620" t="s">
        <v>167</v>
      </c>
      <c r="B119" s="1345">
        <v>158940692</v>
      </c>
      <c r="C119" s="1345">
        <v>5038673.75</v>
      </c>
      <c r="D119" s="1345"/>
      <c r="E119" s="1345">
        <v>28313305</v>
      </c>
      <c r="F119" s="1345">
        <v>736145.93</v>
      </c>
      <c r="G119" s="1345"/>
      <c r="H119" s="1349">
        <v>0</v>
      </c>
      <c r="I119" s="1349">
        <v>0</v>
      </c>
      <c r="J119" s="1349"/>
      <c r="K119" s="1345">
        <v>18737597</v>
      </c>
      <c r="L119" s="1345">
        <v>219229.88</v>
      </c>
      <c r="M119" s="715"/>
    </row>
    <row r="120" spans="1:13" ht="11.25" customHeight="1">
      <c r="A120" s="620" t="s">
        <v>169</v>
      </c>
      <c r="B120" s="1345">
        <v>45615582</v>
      </c>
      <c r="C120" s="1345">
        <v>2027800.33</v>
      </c>
      <c r="D120" s="1346"/>
      <c r="E120" s="1345">
        <v>8130940</v>
      </c>
      <c r="F120" s="1345">
        <v>345564.95</v>
      </c>
      <c r="G120" s="1346"/>
      <c r="H120" s="1349">
        <v>0</v>
      </c>
      <c r="I120" s="1349">
        <v>0</v>
      </c>
      <c r="J120" s="1349"/>
      <c r="K120" s="1345">
        <v>19117528</v>
      </c>
      <c r="L120" s="1345">
        <v>243238.15</v>
      </c>
      <c r="M120" s="715"/>
    </row>
    <row r="121" spans="1:13" ht="11.25" customHeight="1">
      <c r="A121" s="620" t="s">
        <v>171</v>
      </c>
      <c r="B121" s="1345">
        <v>455711431.78570002</v>
      </c>
      <c r="C121" s="1345">
        <v>19107597.449999999</v>
      </c>
      <c r="D121" s="1345"/>
      <c r="E121" s="1345">
        <v>8012030.9523999998</v>
      </c>
      <c r="F121" s="1345">
        <v>336505.3</v>
      </c>
      <c r="G121" s="1346"/>
      <c r="H121" s="1349">
        <v>0</v>
      </c>
      <c r="I121" s="1349">
        <v>0</v>
      </c>
      <c r="J121" s="1349"/>
      <c r="K121" s="1345">
        <v>181107662.97620001</v>
      </c>
      <c r="L121" s="1345">
        <v>1746954.17</v>
      </c>
      <c r="M121" s="715"/>
    </row>
    <row r="122" spans="1:13" ht="11.25" customHeight="1">
      <c r="A122" s="620" t="s">
        <v>116</v>
      </c>
      <c r="B122" s="1345">
        <v>3336286073</v>
      </c>
      <c r="C122" s="1345">
        <v>130293014.65000001</v>
      </c>
      <c r="D122" s="1345"/>
      <c r="E122" s="1345">
        <v>112039910</v>
      </c>
      <c r="F122" s="1345">
        <v>3606593.33</v>
      </c>
      <c r="G122" s="1346"/>
      <c r="H122" s="1349">
        <v>0</v>
      </c>
      <c r="I122" s="1349">
        <v>0</v>
      </c>
      <c r="J122" s="1349"/>
      <c r="K122" s="1345">
        <v>1231536051</v>
      </c>
      <c r="L122" s="1345">
        <v>12444479.869999999</v>
      </c>
      <c r="M122" s="715"/>
    </row>
    <row r="123" spans="1:13" ht="17.149999999999999" customHeight="1">
      <c r="A123" s="620" t="s">
        <v>118</v>
      </c>
      <c r="B123" s="1345">
        <v>207697624</v>
      </c>
      <c r="C123" s="1345">
        <v>7172270.6600000001</v>
      </c>
      <c r="D123" s="1349"/>
      <c r="E123" s="1345">
        <v>7564210</v>
      </c>
      <c r="F123" s="1345">
        <v>151284.20000000001</v>
      </c>
      <c r="G123" s="1346"/>
      <c r="H123" s="1349">
        <v>0</v>
      </c>
      <c r="I123" s="1349">
        <v>0</v>
      </c>
      <c r="J123" s="1349"/>
      <c r="K123" s="1345">
        <v>36343886</v>
      </c>
      <c r="L123" s="1345">
        <v>436126.63</v>
      </c>
      <c r="M123" s="715"/>
    </row>
    <row r="124" spans="1:13" ht="11.25" customHeight="1">
      <c r="A124" s="620" t="s">
        <v>120</v>
      </c>
      <c r="B124" s="1345">
        <v>69104450</v>
      </c>
      <c r="C124" s="1345">
        <v>2107955.98</v>
      </c>
      <c r="D124" s="1345"/>
      <c r="E124" s="1345">
        <v>156819800</v>
      </c>
      <c r="F124" s="1345">
        <v>4328226.45</v>
      </c>
      <c r="G124" s="1346"/>
      <c r="H124" s="1349">
        <v>0</v>
      </c>
      <c r="I124" s="1349">
        <v>0</v>
      </c>
      <c r="J124" s="1349"/>
      <c r="K124" s="1345">
        <v>218044452</v>
      </c>
      <c r="L124" s="1345">
        <v>1853377.84</v>
      </c>
      <c r="M124" s="715"/>
    </row>
    <row r="125" spans="1:13" ht="11.25" customHeight="1">
      <c r="A125" s="620" t="s">
        <v>122</v>
      </c>
      <c r="B125" s="1345">
        <v>147337768</v>
      </c>
      <c r="C125" s="1345">
        <v>4882604.41</v>
      </c>
      <c r="D125" s="1345"/>
      <c r="E125" s="1345">
        <v>111713176</v>
      </c>
      <c r="F125" s="1345">
        <v>1675697.64</v>
      </c>
      <c r="G125" s="1346"/>
      <c r="H125" s="1349">
        <v>0</v>
      </c>
      <c r="I125" s="1349">
        <v>0</v>
      </c>
      <c r="J125" s="1349"/>
      <c r="K125" s="1345">
        <v>81934535</v>
      </c>
      <c r="L125" s="1345">
        <v>691793.35</v>
      </c>
      <c r="M125" s="715"/>
    </row>
    <row r="126" spans="1:13" ht="11.25" customHeight="1">
      <c r="A126" s="620" t="s">
        <v>124</v>
      </c>
      <c r="B126" s="1345">
        <v>48936132</v>
      </c>
      <c r="C126" s="1345">
        <v>2369389.35</v>
      </c>
      <c r="D126" s="1345"/>
      <c r="E126" s="1345">
        <v>9698686</v>
      </c>
      <c r="F126" s="1345">
        <v>484934.3</v>
      </c>
      <c r="G126" s="1346"/>
      <c r="H126" s="1349">
        <v>0</v>
      </c>
      <c r="I126" s="1349">
        <v>0</v>
      </c>
      <c r="J126" s="1349"/>
      <c r="K126" s="1345">
        <v>24494188</v>
      </c>
      <c r="L126" s="1345">
        <v>225746.04</v>
      </c>
      <c r="M126" s="715"/>
    </row>
    <row r="127" spans="1:13" ht="11.25" customHeight="1">
      <c r="A127" s="620" t="s">
        <v>102</v>
      </c>
      <c r="B127" s="1345">
        <v>519827526</v>
      </c>
      <c r="C127" s="1345">
        <v>18289153.530000001</v>
      </c>
      <c r="D127" s="1346"/>
      <c r="E127" s="1345">
        <v>936084</v>
      </c>
      <c r="F127" s="1345">
        <v>38660.26</v>
      </c>
      <c r="G127" s="1346"/>
      <c r="H127" s="1345">
        <v>0</v>
      </c>
      <c r="I127" s="1345">
        <v>0</v>
      </c>
      <c r="J127" s="1346"/>
      <c r="K127" s="1345">
        <v>236964710</v>
      </c>
      <c r="L127" s="1345">
        <v>1502868.88</v>
      </c>
      <c r="M127" s="715"/>
    </row>
    <row r="128" spans="1:13" ht="17.149999999999999" customHeight="1">
      <c r="A128" s="620" t="s">
        <v>1200</v>
      </c>
      <c r="B128" s="1345">
        <v>198453511</v>
      </c>
      <c r="C128" s="1345">
        <v>7366698</v>
      </c>
      <c r="D128" s="1346"/>
      <c r="E128" s="1345">
        <v>0</v>
      </c>
      <c r="F128" s="1345">
        <v>0</v>
      </c>
      <c r="G128" s="1346"/>
      <c r="H128" s="1345">
        <v>0</v>
      </c>
      <c r="I128" s="1345">
        <v>0</v>
      </c>
      <c r="J128" s="1346"/>
      <c r="K128" s="1345">
        <v>1700946.5</v>
      </c>
      <c r="L128" s="1345">
        <v>20959.71</v>
      </c>
      <c r="M128" s="715"/>
    </row>
    <row r="129" spans="1:13" ht="11.25" customHeight="1">
      <c r="A129" s="620" t="s">
        <v>692</v>
      </c>
      <c r="B129" s="1345">
        <v>75810449</v>
      </c>
      <c r="C129" s="1345">
        <v>3064453.11</v>
      </c>
      <c r="D129" s="1346"/>
      <c r="E129" s="1345">
        <v>1662837</v>
      </c>
      <c r="F129" s="1345">
        <v>33256.74</v>
      </c>
      <c r="G129" s="1346"/>
      <c r="H129" s="1345">
        <v>0</v>
      </c>
      <c r="I129" s="1345">
        <v>0</v>
      </c>
      <c r="J129" s="1346"/>
      <c r="K129" s="1345">
        <v>7780043</v>
      </c>
      <c r="L129" s="1345">
        <v>80239.14</v>
      </c>
      <c r="M129" s="715"/>
    </row>
    <row r="130" spans="1:13" ht="11.25" customHeight="1">
      <c r="A130" s="620" t="s">
        <v>129</v>
      </c>
      <c r="B130" s="1345">
        <v>527788135</v>
      </c>
      <c r="C130" s="1345">
        <v>17499210.48</v>
      </c>
      <c r="D130" s="1346"/>
      <c r="E130" s="1345">
        <v>7478056</v>
      </c>
      <c r="F130" s="1345">
        <v>59824.480000000003</v>
      </c>
      <c r="G130" s="1346"/>
      <c r="H130" s="1345">
        <v>0</v>
      </c>
      <c r="I130" s="1345">
        <v>0</v>
      </c>
      <c r="J130" s="1346"/>
      <c r="K130" s="1345">
        <v>105524170</v>
      </c>
      <c r="L130" s="1345">
        <v>907603.62</v>
      </c>
      <c r="M130" s="715"/>
    </row>
    <row r="131" spans="1:13" ht="11.25" customHeight="1">
      <c r="A131" s="620" t="s">
        <v>131</v>
      </c>
      <c r="B131" s="1345">
        <v>99047204</v>
      </c>
      <c r="C131" s="1345">
        <v>1744357.93</v>
      </c>
      <c r="D131" s="1345"/>
      <c r="E131" s="1345">
        <v>46962906</v>
      </c>
      <c r="F131" s="1345">
        <v>751406.5</v>
      </c>
      <c r="G131" s="1345"/>
      <c r="H131" s="1345">
        <v>0</v>
      </c>
      <c r="I131" s="1345">
        <v>0</v>
      </c>
      <c r="J131" s="1345"/>
      <c r="K131" s="1345">
        <v>21648138</v>
      </c>
      <c r="L131" s="1345">
        <v>217485.54</v>
      </c>
      <c r="M131" s="715"/>
    </row>
    <row r="132" spans="1:13" ht="11.25" customHeight="1">
      <c r="A132" s="620" t="s">
        <v>133</v>
      </c>
      <c r="B132" s="1345">
        <v>1460567552</v>
      </c>
      <c r="C132" s="1345">
        <v>60827380.509999998</v>
      </c>
      <c r="D132" s="1346"/>
      <c r="E132" s="1345">
        <v>89804132</v>
      </c>
      <c r="F132" s="1345">
        <v>2990073.76</v>
      </c>
      <c r="G132" s="1346"/>
      <c r="H132" s="1345">
        <v>0</v>
      </c>
      <c r="I132" s="1345">
        <v>0</v>
      </c>
      <c r="J132" s="1346"/>
      <c r="K132" s="1345">
        <v>425313936</v>
      </c>
      <c r="L132" s="1345">
        <v>4946340.87</v>
      </c>
      <c r="M132" s="715"/>
    </row>
    <row r="133" spans="1:13" ht="17.149999999999999" customHeight="1">
      <c r="A133" s="620" t="s">
        <v>787</v>
      </c>
      <c r="B133" s="1345">
        <v>624226133</v>
      </c>
      <c r="C133" s="1345">
        <v>17154528.02</v>
      </c>
      <c r="D133" s="1345"/>
      <c r="E133" s="1345">
        <v>139078580</v>
      </c>
      <c r="F133" s="1345">
        <v>2848465.88</v>
      </c>
      <c r="G133" s="1345"/>
      <c r="H133" s="1345">
        <v>0</v>
      </c>
      <c r="I133" s="1345">
        <v>0</v>
      </c>
      <c r="J133" s="1349"/>
      <c r="K133" s="1345">
        <v>69327275</v>
      </c>
      <c r="L133" s="1345">
        <v>666558.51</v>
      </c>
      <c r="M133" s="715"/>
    </row>
    <row r="134" spans="1:13" ht="11.25" customHeight="1">
      <c r="A134" s="620" t="s">
        <v>137</v>
      </c>
      <c r="B134" s="1345">
        <v>238088205</v>
      </c>
      <c r="C134" s="1345">
        <v>8327427.1500000004</v>
      </c>
      <c r="D134" s="1345"/>
      <c r="E134" s="1345">
        <v>327066446</v>
      </c>
      <c r="F134" s="1345">
        <v>10139059.83</v>
      </c>
      <c r="G134" s="1345"/>
      <c r="H134" s="1345">
        <v>0</v>
      </c>
      <c r="I134" s="1345">
        <v>0</v>
      </c>
      <c r="J134" s="1345"/>
      <c r="K134" s="1345">
        <v>465895061</v>
      </c>
      <c r="L134" s="1345">
        <v>5295728.38</v>
      </c>
      <c r="M134" s="715"/>
    </row>
    <row r="135" spans="1:13" ht="11.25" customHeight="1">
      <c r="A135" s="620" t="s">
        <v>788</v>
      </c>
      <c r="B135" s="1345">
        <v>55133841.579999998</v>
      </c>
      <c r="C135" s="1345">
        <v>2182654.41</v>
      </c>
      <c r="D135" s="1345"/>
      <c r="E135" s="1345">
        <v>114639.7</v>
      </c>
      <c r="F135" s="1345">
        <v>4872.2</v>
      </c>
      <c r="G135" s="1345"/>
      <c r="H135" s="1345">
        <v>0</v>
      </c>
      <c r="I135" s="1345">
        <v>0</v>
      </c>
      <c r="J135" s="1345"/>
      <c r="K135" s="1345">
        <v>22438314</v>
      </c>
      <c r="L135" s="1345">
        <v>224813.86</v>
      </c>
      <c r="M135" s="715"/>
    </row>
    <row r="136" spans="1:13" ht="11.25" customHeight="1">
      <c r="A136" s="620" t="s">
        <v>141</v>
      </c>
      <c r="B136" s="1345">
        <v>857936579</v>
      </c>
      <c r="C136" s="1345">
        <v>27434412.859999999</v>
      </c>
      <c r="D136" s="1345"/>
      <c r="E136" s="1345">
        <v>173660754</v>
      </c>
      <c r="F136" s="1345">
        <v>5209822.62</v>
      </c>
      <c r="G136" s="1345"/>
      <c r="H136" s="1345">
        <v>0</v>
      </c>
      <c r="I136" s="1345">
        <v>0</v>
      </c>
      <c r="J136" s="1349"/>
      <c r="K136" s="1345">
        <v>259638150</v>
      </c>
      <c r="L136" s="1345">
        <v>2318398.2400000002</v>
      </c>
      <c r="M136" s="715"/>
    </row>
    <row r="137" spans="1:13" ht="11.25" customHeight="1">
      <c r="A137" s="620" t="s">
        <v>789</v>
      </c>
      <c r="B137" s="1345">
        <v>610505950</v>
      </c>
      <c r="C137" s="1345">
        <v>17855440.09</v>
      </c>
      <c r="D137" s="1345"/>
      <c r="E137" s="1345">
        <v>674647590</v>
      </c>
      <c r="F137" s="1345">
        <v>5538190.4400000004</v>
      </c>
      <c r="G137" s="1345"/>
      <c r="H137" s="1345">
        <v>0</v>
      </c>
      <c r="I137" s="1345">
        <v>0</v>
      </c>
      <c r="J137" s="1349"/>
      <c r="K137" s="1345">
        <v>136641200</v>
      </c>
      <c r="L137" s="1345">
        <v>1833724.96</v>
      </c>
      <c r="M137" s="715"/>
    </row>
    <row r="138" spans="1:13" ht="17.149999999999999" customHeight="1">
      <c r="A138" s="620" t="s">
        <v>1268</v>
      </c>
      <c r="B138" s="1345">
        <v>227931393</v>
      </c>
      <c r="C138" s="1345">
        <v>7225492.21</v>
      </c>
      <c r="D138" s="1346"/>
      <c r="E138" s="1345">
        <v>417129</v>
      </c>
      <c r="F138" s="1345">
        <v>14599.53</v>
      </c>
      <c r="G138" s="1346"/>
      <c r="H138" s="1345">
        <v>0</v>
      </c>
      <c r="I138" s="1345">
        <v>0</v>
      </c>
      <c r="J138" s="1346"/>
      <c r="K138" s="1345">
        <v>31245445</v>
      </c>
      <c r="L138" s="1345">
        <v>453058.95</v>
      </c>
      <c r="M138" s="715"/>
    </row>
    <row r="139" spans="1:13" ht="11.25" customHeight="1">
      <c r="A139" s="620" t="s">
        <v>147</v>
      </c>
      <c r="B139" s="1345">
        <v>150058855</v>
      </c>
      <c r="C139" s="1345">
        <v>2795105.52</v>
      </c>
      <c r="D139" s="1345"/>
      <c r="E139" s="1345">
        <v>9197527</v>
      </c>
      <c r="F139" s="1345">
        <v>170154.23999999999</v>
      </c>
      <c r="G139" s="1345"/>
      <c r="H139" s="1345">
        <v>0</v>
      </c>
      <c r="I139" s="1345">
        <v>0</v>
      </c>
      <c r="J139" s="1345"/>
      <c r="K139" s="1345">
        <v>22469749</v>
      </c>
      <c r="L139" s="1345">
        <v>236873.33</v>
      </c>
      <c r="M139" s="715"/>
    </row>
    <row r="140" spans="1:13" ht="11.25" customHeight="1">
      <c r="A140" s="620" t="s">
        <v>149</v>
      </c>
      <c r="B140" s="1345">
        <v>1988776653</v>
      </c>
      <c r="C140" s="1345">
        <v>112033640.01000001</v>
      </c>
      <c r="D140" s="1345"/>
      <c r="E140" s="1345">
        <v>694455338</v>
      </c>
      <c r="F140" s="1345">
        <v>26042075.420000002</v>
      </c>
      <c r="G140" s="1345"/>
      <c r="H140" s="1345">
        <v>0</v>
      </c>
      <c r="I140" s="1345">
        <v>0</v>
      </c>
      <c r="J140" s="1345"/>
      <c r="K140" s="1345">
        <v>153653958</v>
      </c>
      <c r="L140" s="1345">
        <v>1959993.6</v>
      </c>
      <c r="M140" s="715"/>
    </row>
    <row r="141" spans="1:13" ht="11.25" customHeight="1">
      <c r="A141" s="620" t="s">
        <v>330</v>
      </c>
      <c r="B141" s="1345">
        <v>2818196321</v>
      </c>
      <c r="C141" s="1345">
        <v>106111617.08</v>
      </c>
      <c r="D141" s="1346"/>
      <c r="E141" s="1345">
        <v>151111110</v>
      </c>
      <c r="F141" s="1345">
        <v>6422222.1799999997</v>
      </c>
      <c r="G141" s="1346"/>
      <c r="H141" s="1345">
        <v>0</v>
      </c>
      <c r="I141" s="1345">
        <v>0</v>
      </c>
      <c r="J141" s="1346"/>
      <c r="K141" s="1345">
        <v>968788539</v>
      </c>
      <c r="L141" s="1345">
        <v>12140458.439999999</v>
      </c>
      <c r="M141" s="715"/>
    </row>
    <row r="142" spans="1:13" ht="11.25" customHeight="1">
      <c r="A142" s="620" t="s">
        <v>790</v>
      </c>
      <c r="B142" s="1345">
        <v>36509983</v>
      </c>
      <c r="C142" s="1345">
        <v>217673.24</v>
      </c>
      <c r="D142" s="1346"/>
      <c r="E142" s="1345">
        <v>3951327</v>
      </c>
      <c r="F142" s="1345">
        <v>81002.2</v>
      </c>
      <c r="G142" s="1346"/>
      <c r="H142" s="1345">
        <v>0</v>
      </c>
      <c r="I142" s="1345">
        <v>0</v>
      </c>
      <c r="J142" s="1346"/>
      <c r="K142" s="1345">
        <v>35265812</v>
      </c>
      <c r="L142" s="1345">
        <v>317392.31</v>
      </c>
      <c r="M142" s="715"/>
    </row>
    <row r="143" spans="1:13" ht="17.149999999999999" customHeight="1">
      <c r="A143" s="620" t="s">
        <v>338</v>
      </c>
      <c r="B143" s="1345">
        <v>219466876</v>
      </c>
      <c r="C143" s="1345">
        <v>10688010.859999999</v>
      </c>
      <c r="D143" s="1346"/>
      <c r="E143" s="1345">
        <v>43923635</v>
      </c>
      <c r="F143" s="1345">
        <v>1669098.13</v>
      </c>
      <c r="G143" s="1346"/>
      <c r="H143" s="1345">
        <v>0</v>
      </c>
      <c r="I143" s="1345">
        <v>0</v>
      </c>
      <c r="J143" s="1346"/>
      <c r="K143" s="1345">
        <v>211869654</v>
      </c>
      <c r="L143" s="1345">
        <v>2690744.61</v>
      </c>
      <c r="M143" s="715"/>
    </row>
    <row r="144" spans="1:13" ht="11.25" customHeight="1">
      <c r="A144" s="620" t="s">
        <v>1202</v>
      </c>
      <c r="B144" s="1345">
        <v>183810466.62</v>
      </c>
      <c r="C144" s="1345">
        <v>6338422.96</v>
      </c>
      <c r="D144" s="1346"/>
      <c r="E144" s="1345">
        <v>0</v>
      </c>
      <c r="F144" s="1345">
        <v>0</v>
      </c>
      <c r="G144" s="1346"/>
      <c r="H144" s="1345">
        <v>0</v>
      </c>
      <c r="I144" s="1345">
        <v>0</v>
      </c>
      <c r="J144" s="1346"/>
      <c r="K144" s="1345">
        <v>23586721</v>
      </c>
      <c r="L144" s="1345">
        <v>235687</v>
      </c>
      <c r="M144" s="715"/>
    </row>
    <row r="145" spans="1:13" ht="11.25" customHeight="1">
      <c r="A145" s="620" t="s">
        <v>159</v>
      </c>
      <c r="B145" s="1345">
        <v>268600130</v>
      </c>
      <c r="C145" s="1345">
        <v>13846206.529999999</v>
      </c>
      <c r="D145" s="1346"/>
      <c r="E145" s="1345">
        <v>38003795</v>
      </c>
      <c r="F145" s="1345">
        <v>1140113.8500000001</v>
      </c>
      <c r="G145" s="1346"/>
      <c r="H145" s="1345">
        <v>0</v>
      </c>
      <c r="I145" s="1345">
        <v>0</v>
      </c>
      <c r="J145" s="1346"/>
      <c r="K145" s="1345">
        <v>227735359</v>
      </c>
      <c r="L145" s="1345">
        <v>2892742.73</v>
      </c>
      <c r="M145" s="715"/>
    </row>
    <row r="146" spans="1:13" ht="11.25" customHeight="1">
      <c r="A146" s="620" t="s">
        <v>161</v>
      </c>
      <c r="B146" s="1345">
        <v>95360268</v>
      </c>
      <c r="C146" s="1345">
        <v>2320568.0699999998</v>
      </c>
      <c r="D146" s="1345"/>
      <c r="E146" s="1345">
        <v>21784325</v>
      </c>
      <c r="F146" s="1345">
        <v>383404.12</v>
      </c>
      <c r="G146" s="1345"/>
      <c r="H146" s="1345">
        <v>0</v>
      </c>
      <c r="I146" s="1345">
        <v>0</v>
      </c>
      <c r="J146" s="1345"/>
      <c r="K146" s="1345">
        <v>22436115.5</v>
      </c>
      <c r="L146" s="1345">
        <v>188463.37</v>
      </c>
      <c r="M146" s="715"/>
    </row>
    <row r="147" spans="1:13" ht="10.5" customHeight="1">
      <c r="A147" s="620" t="s">
        <v>125</v>
      </c>
      <c r="B147" s="1345">
        <v>2602074081</v>
      </c>
      <c r="C147" s="1345">
        <v>78827579.480000004</v>
      </c>
      <c r="D147" s="1345"/>
      <c r="E147" s="1345">
        <v>658156127</v>
      </c>
      <c r="F147" s="1345">
        <v>14762821.310000001</v>
      </c>
      <c r="G147" s="1345"/>
      <c r="H147" s="1345">
        <v>0</v>
      </c>
      <c r="I147" s="1345">
        <v>0</v>
      </c>
      <c r="J147" s="1345"/>
      <c r="K147" s="1345">
        <v>1284478814</v>
      </c>
      <c r="L147" s="1345">
        <v>15412596.800000001</v>
      </c>
      <c r="M147" s="715"/>
    </row>
    <row r="148" spans="1:13" ht="17.149999999999999" customHeight="1">
      <c r="A148" s="620" t="s">
        <v>22</v>
      </c>
      <c r="B148" s="1345">
        <v>1288328768</v>
      </c>
      <c r="C148" s="1345">
        <v>40473587.350000001</v>
      </c>
      <c r="D148" s="1346"/>
      <c r="E148" s="1345">
        <v>92768980</v>
      </c>
      <c r="F148" s="1345">
        <v>3200529.82</v>
      </c>
      <c r="G148" s="1346"/>
      <c r="H148" s="1345">
        <v>0</v>
      </c>
      <c r="I148" s="1345">
        <v>0</v>
      </c>
      <c r="J148" s="1346"/>
      <c r="K148" s="1345">
        <v>483846036</v>
      </c>
      <c r="L148" s="1345">
        <v>5941434.2199999997</v>
      </c>
      <c r="M148" s="715"/>
    </row>
    <row r="149" spans="1:13" ht="11.25" customHeight="1">
      <c r="A149" s="620" t="s">
        <v>162</v>
      </c>
      <c r="B149" s="1345">
        <v>485052698</v>
      </c>
      <c r="C149" s="1345">
        <v>16466186.48</v>
      </c>
      <c r="D149" s="1346"/>
      <c r="E149" s="1345">
        <v>99635421</v>
      </c>
      <c r="F149" s="1345">
        <v>3188333.47</v>
      </c>
      <c r="G149" s="1346"/>
      <c r="H149" s="1345">
        <v>0</v>
      </c>
      <c r="I149" s="1345">
        <v>0</v>
      </c>
      <c r="J149" s="1346"/>
      <c r="K149" s="1345">
        <v>66002253</v>
      </c>
      <c r="L149" s="1345">
        <v>792027.04</v>
      </c>
      <c r="M149" s="715"/>
    </row>
    <row r="150" spans="1:13" ht="11.25" customHeight="1">
      <c r="A150" s="620" t="s">
        <v>163</v>
      </c>
      <c r="B150" s="1345">
        <v>311924119</v>
      </c>
      <c r="C150" s="1345">
        <v>8987091.2799999993</v>
      </c>
      <c r="D150" s="1346"/>
      <c r="E150" s="1345">
        <v>27917828</v>
      </c>
      <c r="F150" s="1345">
        <v>346181.08</v>
      </c>
      <c r="G150" s="1346"/>
      <c r="H150" s="1345">
        <v>0</v>
      </c>
      <c r="I150" s="1345">
        <v>0</v>
      </c>
      <c r="J150" s="1346"/>
      <c r="K150" s="1345">
        <v>128891852</v>
      </c>
      <c r="L150" s="1345">
        <v>1149247.77</v>
      </c>
      <c r="M150" s="715"/>
    </row>
    <row r="151" spans="1:13" ht="11.25" customHeight="1">
      <c r="A151" s="620" t="s">
        <v>164</v>
      </c>
      <c r="B151" s="1345">
        <v>1541012500</v>
      </c>
      <c r="C151" s="1345">
        <v>51090709.909999996</v>
      </c>
      <c r="D151" s="1345"/>
      <c r="E151" s="1345">
        <v>78217860</v>
      </c>
      <c r="F151" s="1345">
        <v>2372585.15</v>
      </c>
      <c r="G151" s="1345"/>
      <c r="H151" s="1345">
        <v>0</v>
      </c>
      <c r="I151" s="1345">
        <v>0</v>
      </c>
      <c r="J151" s="1345"/>
      <c r="K151" s="1345">
        <v>489251763</v>
      </c>
      <c r="L151" s="1345">
        <v>5338750.26</v>
      </c>
      <c r="M151" s="715"/>
    </row>
    <row r="152" spans="1:13" ht="11.25" customHeight="1">
      <c r="A152" s="620" t="s">
        <v>586</v>
      </c>
      <c r="B152" s="1345">
        <v>6718837412</v>
      </c>
      <c r="C152" s="1345">
        <v>221934901.21000001</v>
      </c>
      <c r="D152" s="1345"/>
      <c r="E152" s="1345">
        <v>257150692</v>
      </c>
      <c r="F152" s="1345">
        <v>0</v>
      </c>
      <c r="G152" s="1345"/>
      <c r="H152" s="1345">
        <v>0</v>
      </c>
      <c r="I152" s="1345">
        <v>0</v>
      </c>
      <c r="J152" s="1345"/>
      <c r="K152" s="1345">
        <v>1087984848</v>
      </c>
      <c r="L152" s="1345">
        <v>5385579</v>
      </c>
      <c r="M152" s="715"/>
    </row>
    <row r="153" spans="1:13" ht="17.149999999999999" customHeight="1">
      <c r="A153" s="620" t="s">
        <v>166</v>
      </c>
      <c r="B153" s="1345">
        <v>274765557</v>
      </c>
      <c r="C153" s="1345">
        <v>8910340.2100000009</v>
      </c>
      <c r="D153" s="1345"/>
      <c r="E153" s="1345">
        <v>34801611</v>
      </c>
      <c r="F153" s="1345">
        <v>1131052.3600000001</v>
      </c>
      <c r="G153" s="1345"/>
      <c r="H153" s="1345">
        <v>0</v>
      </c>
      <c r="I153" s="1345">
        <v>0</v>
      </c>
      <c r="J153" s="1349"/>
      <c r="K153" s="1345">
        <v>120494486</v>
      </c>
      <c r="L153" s="1345">
        <v>928992.24</v>
      </c>
      <c r="M153" s="715"/>
    </row>
    <row r="154" spans="1:13" ht="11.25" customHeight="1">
      <c r="A154" s="620" t="s">
        <v>168</v>
      </c>
      <c r="B154" s="1345">
        <v>131833910</v>
      </c>
      <c r="C154" s="1345">
        <v>4599495.16</v>
      </c>
      <c r="D154" s="1346"/>
      <c r="E154" s="1345">
        <v>0</v>
      </c>
      <c r="F154" s="1345">
        <v>0</v>
      </c>
      <c r="G154" s="1346"/>
      <c r="H154" s="1345">
        <v>0</v>
      </c>
      <c r="I154" s="1345">
        <v>0</v>
      </c>
      <c r="J154" s="1346"/>
      <c r="K154" s="1345">
        <v>71456419</v>
      </c>
      <c r="L154" s="1345">
        <v>443261.41</v>
      </c>
      <c r="M154" s="715"/>
    </row>
    <row r="155" spans="1:13" ht="11.25" customHeight="1">
      <c r="A155" s="620" t="s">
        <v>170</v>
      </c>
      <c r="B155" s="1345">
        <v>621747367</v>
      </c>
      <c r="C155" s="1345">
        <v>16042839</v>
      </c>
      <c r="D155" s="1345"/>
      <c r="E155" s="1345">
        <v>186761806</v>
      </c>
      <c r="F155" s="1345">
        <v>2427903</v>
      </c>
      <c r="G155" s="1345"/>
      <c r="H155" s="1345">
        <v>0</v>
      </c>
      <c r="I155" s="1345">
        <v>0</v>
      </c>
      <c r="J155" s="1349"/>
      <c r="K155" s="1345">
        <v>101167711</v>
      </c>
      <c r="L155" s="1345">
        <v>846121</v>
      </c>
      <c r="M155" s="715"/>
    </row>
    <row r="156" spans="1:13" ht="5.15" customHeight="1">
      <c r="A156" s="636"/>
      <c r="M156" s="718"/>
    </row>
    <row r="157" spans="1:13" s="643" customFormat="1" ht="12" customHeight="1">
      <c r="A157" s="739" t="s">
        <v>24</v>
      </c>
      <c r="B157" s="637">
        <f t="shared" ref="B157:L157" si="1">SUM(B118:B137,B138:B155)</f>
        <v>31844368221.665699</v>
      </c>
      <c r="C157" s="637">
        <f t="shared" si="1"/>
        <v>1159559489.5800002</v>
      </c>
      <c r="D157" s="637">
        <f t="shared" si="1"/>
        <v>0</v>
      </c>
      <c r="E157" s="637">
        <f t="shared" si="1"/>
        <v>4319078043.7424002</v>
      </c>
      <c r="F157" s="637">
        <f t="shared" si="1"/>
        <v>103401035.92</v>
      </c>
      <c r="G157" s="637">
        <f t="shared" si="1"/>
        <v>0</v>
      </c>
      <c r="H157" s="637">
        <f t="shared" si="1"/>
        <v>0</v>
      </c>
      <c r="I157" s="637">
        <f t="shared" si="1"/>
        <v>0</v>
      </c>
      <c r="J157" s="637">
        <f t="shared" si="1"/>
        <v>0</v>
      </c>
      <c r="K157" s="637">
        <f t="shared" si="1"/>
        <v>9796865788.9762001</v>
      </c>
      <c r="L157" s="637">
        <f t="shared" si="1"/>
        <v>101060510.95</v>
      </c>
      <c r="M157" s="719"/>
    </row>
    <row r="158" spans="1:13" s="643" customFormat="1" ht="12" customHeight="1">
      <c r="A158" s="739" t="s">
        <v>19</v>
      </c>
      <c r="B158" s="637">
        <f>B112</f>
        <v>110853523490.54999</v>
      </c>
      <c r="C158" s="637">
        <f>C112</f>
        <v>3791227560.1244001</v>
      </c>
      <c r="D158" s="637"/>
      <c r="E158" s="637">
        <f>E112</f>
        <v>8842791808.9599991</v>
      </c>
      <c r="F158" s="637">
        <f>F112</f>
        <v>170601982.26600006</v>
      </c>
      <c r="G158" s="637"/>
      <c r="H158" s="637">
        <f>H112</f>
        <v>1520569240.1300001</v>
      </c>
      <c r="I158" s="637">
        <f>I112</f>
        <v>14743997.708000001</v>
      </c>
      <c r="J158" s="637"/>
      <c r="K158" s="637">
        <f>K112</f>
        <v>43935027932.259995</v>
      </c>
      <c r="L158" s="637">
        <f>L112</f>
        <v>341284106.96319991</v>
      </c>
      <c r="M158" s="719"/>
    </row>
    <row r="159" spans="1:13" ht="5.15" customHeight="1">
      <c r="A159" s="636"/>
      <c r="M159" s="718"/>
    </row>
    <row r="160" spans="1:13" ht="12" customHeight="1">
      <c r="A160" s="740" t="s">
        <v>25</v>
      </c>
      <c r="B160" s="637">
        <f>SUM(B157:B159)</f>
        <v>142697891712.2157</v>
      </c>
      <c r="C160" s="637">
        <f>SUM(C157:C159)</f>
        <v>4950787049.7044001</v>
      </c>
      <c r="D160" s="637"/>
      <c r="E160" s="637">
        <f>SUM(E157:E159)</f>
        <v>13161869852.7024</v>
      </c>
      <c r="F160" s="637">
        <f>SUM(F157:F159)</f>
        <v>274003018.18600005</v>
      </c>
      <c r="G160" s="637"/>
      <c r="H160" s="637">
        <f>SUM(H157:H159)</f>
        <v>1520569240.1300001</v>
      </c>
      <c r="I160" s="637">
        <f>SUM(I157:I159)</f>
        <v>14743997.708000001</v>
      </c>
      <c r="J160" s="637"/>
      <c r="K160" s="637">
        <f>SUM(K157:K159)</f>
        <v>53731893721.236191</v>
      </c>
      <c r="L160" s="637">
        <f>SUM(L157:L159)</f>
        <v>442344617.9131999</v>
      </c>
      <c r="M160" s="719"/>
    </row>
    <row r="161" spans="1:13" ht="5.15" customHeight="1">
      <c r="A161" s="636"/>
      <c r="B161" s="625"/>
      <c r="C161" s="625"/>
      <c r="D161" s="625"/>
      <c r="E161" s="625"/>
      <c r="F161" s="625"/>
      <c r="G161" s="625"/>
      <c r="H161" s="625"/>
      <c r="I161" s="625"/>
      <c r="J161" s="625"/>
      <c r="K161" s="625"/>
      <c r="L161" s="625"/>
      <c r="M161" s="720"/>
    </row>
    <row r="162" spans="1:13" s="1053" customFormat="1" ht="10" customHeight="1">
      <c r="A162" s="1229" t="s">
        <v>1</v>
      </c>
      <c r="B162" s="1341"/>
      <c r="C162" s="1341"/>
      <c r="D162" s="1341"/>
      <c r="E162" s="1341"/>
      <c r="F162" s="1341"/>
      <c r="G162" s="1341"/>
      <c r="H162" s="1341"/>
      <c r="I162" s="1341"/>
      <c r="J162" s="1341"/>
      <c r="K162" s="1341"/>
      <c r="L162" s="1341"/>
      <c r="M162" s="1058"/>
    </row>
    <row r="163" spans="1:13" s="1048" customFormat="1" ht="10" customHeight="1">
      <c r="A163" s="1221" t="s">
        <v>1388</v>
      </c>
      <c r="B163" s="1050"/>
      <c r="C163" s="1050"/>
      <c r="D163" s="1050"/>
      <c r="E163" s="1050"/>
      <c r="F163" s="1050"/>
      <c r="G163" s="1050"/>
      <c r="H163" s="1050"/>
      <c r="I163" s="1050"/>
      <c r="J163" s="1050"/>
      <c r="K163" s="1050"/>
      <c r="L163" s="1050"/>
      <c r="M163" s="1059"/>
    </row>
    <row r="164" spans="1:13" s="1048" customFormat="1" ht="10" customHeight="1">
      <c r="A164" s="1221" t="s">
        <v>1206</v>
      </c>
      <c r="B164" s="1050"/>
      <c r="C164" s="1050"/>
      <c r="D164" s="1050"/>
      <c r="E164" s="1050"/>
      <c r="F164" s="1050"/>
      <c r="G164" s="1050"/>
      <c r="H164" s="1050"/>
      <c r="I164" s="1050"/>
      <c r="J164" s="1050"/>
      <c r="K164" s="1050"/>
      <c r="L164" s="1050"/>
      <c r="M164" s="1059"/>
    </row>
    <row r="165" spans="1:13" s="1048" customFormat="1" ht="10" customHeight="1">
      <c r="A165" s="1221" t="s">
        <v>823</v>
      </c>
      <c r="B165" s="1050"/>
      <c r="C165" s="1050"/>
      <c r="D165" s="1050"/>
      <c r="E165" s="1050"/>
      <c r="F165" s="1050"/>
      <c r="G165" s="1050"/>
      <c r="H165" s="1050"/>
      <c r="I165" s="1050"/>
      <c r="J165" s="1050"/>
      <c r="K165" s="1050"/>
      <c r="L165" s="1050"/>
      <c r="M165" s="1060"/>
    </row>
    <row r="166" spans="1:13" s="1048" customFormat="1" ht="10" customHeight="1">
      <c r="A166" s="1221" t="s">
        <v>920</v>
      </c>
      <c r="B166" s="1050"/>
      <c r="C166" s="1050"/>
      <c r="D166" s="1050"/>
      <c r="E166" s="1050"/>
      <c r="F166" s="1050"/>
      <c r="G166" s="1050"/>
      <c r="H166" s="1050"/>
      <c r="I166" s="1050"/>
      <c r="J166" s="1050"/>
      <c r="K166" s="1050"/>
      <c r="L166" s="1050"/>
      <c r="M166" s="1060"/>
    </row>
    <row r="167" spans="1:13" s="1048" customFormat="1" ht="10" customHeight="1">
      <c r="A167" s="1221" t="s">
        <v>824</v>
      </c>
      <c r="B167" s="1050"/>
      <c r="C167" s="1050"/>
      <c r="D167" s="1050"/>
      <c r="E167" s="1050"/>
      <c r="F167" s="1050"/>
      <c r="G167" s="1050"/>
      <c r="H167" s="1050"/>
      <c r="I167" s="1050"/>
      <c r="J167" s="1050"/>
      <c r="K167" s="1050"/>
      <c r="L167" s="1050"/>
      <c r="M167" s="1060"/>
    </row>
    <row r="168" spans="1:13" s="1048" customFormat="1" ht="10" customHeight="1">
      <c r="A168" s="1221" t="s">
        <v>825</v>
      </c>
      <c r="B168" s="1050"/>
      <c r="C168" s="1050"/>
      <c r="D168" s="1050"/>
      <c r="E168" s="1050"/>
      <c r="F168" s="1050"/>
      <c r="G168" s="1050"/>
      <c r="H168" s="1050"/>
      <c r="I168" s="1050"/>
      <c r="J168" s="1050"/>
      <c r="K168" s="1050"/>
      <c r="L168" s="1050"/>
      <c r="M168" s="1060"/>
    </row>
    <row r="169" spans="1:13" s="1048" customFormat="1" ht="10" customHeight="1">
      <c r="A169" s="1221" t="s">
        <v>826</v>
      </c>
      <c r="B169" s="1050"/>
      <c r="C169" s="1050"/>
      <c r="D169" s="1050"/>
      <c r="E169" s="1050"/>
      <c r="F169" s="1050"/>
      <c r="G169" s="1050"/>
      <c r="H169" s="1050"/>
      <c r="I169" s="1050"/>
      <c r="J169" s="1050"/>
      <c r="K169" s="1050"/>
      <c r="L169" s="1050"/>
      <c r="M169" s="1060"/>
    </row>
    <row r="170" spans="1:13" s="1048" customFormat="1" ht="10" customHeight="1">
      <c r="A170" s="1230"/>
      <c r="B170" s="1050"/>
      <c r="C170" s="1050"/>
      <c r="D170" s="1050"/>
      <c r="E170" s="1050"/>
      <c r="F170" s="1050"/>
      <c r="G170" s="1050"/>
      <c r="H170" s="1050"/>
      <c r="I170" s="1050"/>
      <c r="J170" s="1050"/>
      <c r="K170" s="1050"/>
      <c r="L170" s="1050"/>
      <c r="M170" s="1060"/>
    </row>
    <row r="171" spans="1:13" s="1048" customFormat="1" ht="10" customHeight="1">
      <c r="A171" s="1230"/>
      <c r="B171" s="1351"/>
      <c r="C171" s="1351"/>
      <c r="D171" s="1351"/>
      <c r="E171" s="1351"/>
      <c r="F171" s="1351"/>
      <c r="G171" s="1351"/>
      <c r="H171" s="1351"/>
      <c r="I171" s="1351"/>
      <c r="J171" s="1351"/>
      <c r="K171" s="1351"/>
      <c r="L171" s="1351"/>
      <c r="M171" s="1061"/>
    </row>
    <row r="172" spans="1:13" s="1053" customFormat="1" ht="10" customHeight="1">
      <c r="A172" s="1052" t="s">
        <v>924</v>
      </c>
      <c r="B172" s="1352"/>
      <c r="C172" s="1352"/>
      <c r="D172" s="1352"/>
      <c r="E172" s="1352"/>
      <c r="F172" s="1352"/>
      <c r="G172" s="1352"/>
      <c r="H172" s="1352"/>
      <c r="I172" s="1352"/>
      <c r="J172" s="1352"/>
      <c r="K172" s="1352"/>
      <c r="L172" s="1352"/>
      <c r="M172" s="1062"/>
    </row>
    <row r="173" spans="1:13">
      <c r="A173" s="717"/>
      <c r="D173" s="626"/>
      <c r="G173" s="626"/>
      <c r="J173" s="626"/>
    </row>
    <row r="174" spans="1:13">
      <c r="A174" s="654"/>
      <c r="D174" s="626"/>
      <c r="G174" s="626"/>
      <c r="J174" s="626"/>
    </row>
    <row r="175" spans="1:13">
      <c r="D175" s="626"/>
      <c r="G175" s="626"/>
      <c r="J175" s="626"/>
    </row>
    <row r="176" spans="1:13">
      <c r="D176" s="626"/>
      <c r="G176" s="626"/>
      <c r="J176" s="626"/>
    </row>
    <row r="178" spans="2:12">
      <c r="D178" s="626"/>
      <c r="G178" s="626"/>
      <c r="J178" s="626"/>
    </row>
    <row r="179" spans="2:12">
      <c r="B179" s="777"/>
      <c r="C179" s="777"/>
      <c r="D179" s="777"/>
      <c r="E179" s="777"/>
      <c r="F179" s="777"/>
      <c r="G179" s="777"/>
      <c r="H179" s="777"/>
      <c r="I179" s="777"/>
      <c r="J179" s="777"/>
      <c r="K179" s="777"/>
      <c r="L179" s="777"/>
    </row>
    <row r="180" spans="2:12">
      <c r="B180" s="777"/>
      <c r="C180" s="777"/>
      <c r="D180" s="777"/>
      <c r="E180" s="777"/>
      <c r="F180" s="777"/>
      <c r="G180" s="777"/>
      <c r="H180" s="777"/>
      <c r="I180" s="777"/>
      <c r="J180" s="777"/>
      <c r="K180" s="777"/>
      <c r="L180" s="777"/>
    </row>
    <row r="181" spans="2:12">
      <c r="B181" s="777"/>
      <c r="C181" s="777"/>
      <c r="D181" s="777"/>
      <c r="E181" s="777"/>
      <c r="F181" s="777"/>
      <c r="G181" s="777"/>
      <c r="H181" s="777"/>
      <c r="I181" s="777"/>
      <c r="J181" s="777"/>
      <c r="K181" s="777"/>
      <c r="L181" s="777"/>
    </row>
    <row r="182" spans="2:12">
      <c r="B182" s="777"/>
      <c r="C182" s="777"/>
      <c r="D182" s="777"/>
      <c r="E182" s="777"/>
      <c r="F182" s="777"/>
      <c r="G182" s="777"/>
      <c r="H182" s="777"/>
      <c r="I182" s="777"/>
      <c r="J182" s="777"/>
      <c r="K182" s="777"/>
      <c r="L182" s="777"/>
    </row>
    <row r="183" spans="2:12">
      <c r="D183" s="626"/>
      <c r="G183" s="626"/>
      <c r="J183" s="626"/>
    </row>
    <row r="184" spans="2:12">
      <c r="D184" s="626"/>
      <c r="G184" s="626"/>
      <c r="J184" s="626"/>
    </row>
  </sheetData>
  <hyperlinks>
    <hyperlink ref="M1" location="TOC!A1" display="Back" xr:uid="{00000000-0004-0000-2200-000000000000}"/>
  </hyperlinks>
  <pageMargins left="0.75" right="0.25" top="0.4" bottom="0.2" header="0.25" footer="0"/>
  <pageSetup scale="83" fitToHeight="5" orientation="landscape" r:id="rId1"/>
  <headerFooter scaleWithDoc="0">
    <oddHeader>&amp;R&amp;P</oddHeader>
  </headerFooter>
  <rowBreaks count="3" manualBreakCount="3">
    <brk id="35" max="15" man="1"/>
    <brk id="70" max="15" man="1"/>
    <brk id="112" max="15"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7030A0"/>
  </sheetPr>
  <dimension ref="A1:P226"/>
  <sheetViews>
    <sheetView zoomScale="80" zoomScaleNormal="80" workbookViewId="0">
      <selection activeCell="N59" sqref="N59"/>
    </sheetView>
  </sheetViews>
  <sheetFormatPr defaultColWidth="10.81640625" defaultRowHeight="11.5"/>
  <cols>
    <col min="1" max="1" width="13.7265625" style="672" customWidth="1"/>
    <col min="2" max="2" width="19.1796875" style="675" bestFit="1" customWidth="1"/>
    <col min="3" max="3" width="0.81640625" style="672" customWidth="1"/>
    <col min="4" max="4" width="17.26953125" style="675" bestFit="1" customWidth="1"/>
    <col min="5" max="5" width="1.54296875" style="672" customWidth="1"/>
    <col min="6" max="6" width="14.453125" style="675" customWidth="1"/>
    <col min="7" max="7" width="0.81640625" style="672" customWidth="1"/>
    <col min="8" max="8" width="12" style="675" customWidth="1"/>
    <col min="9" max="9" width="0.7265625" style="672" customWidth="1"/>
    <col min="10" max="10" width="13.453125" style="675" customWidth="1"/>
    <col min="11" max="11" width="0.81640625" style="672" customWidth="1"/>
    <col min="12" max="12" width="11" style="675" customWidth="1"/>
    <col min="13" max="13" width="1.54296875" style="672" customWidth="1"/>
    <col min="14" max="14" width="14.453125" style="675" customWidth="1"/>
    <col min="15" max="15" width="0.81640625" style="672" customWidth="1"/>
    <col min="16" max="16" width="15.26953125" style="675" bestFit="1" customWidth="1"/>
    <col min="17" max="16384" width="10.81640625" style="620"/>
  </cols>
  <sheetData>
    <row r="1" spans="1:16" s="634" customFormat="1" ht="14">
      <c r="A1" s="671" t="s">
        <v>813</v>
      </c>
      <c r="B1" s="697"/>
      <c r="C1" s="683"/>
      <c r="D1" s="697"/>
      <c r="E1" s="683"/>
      <c r="F1" s="697"/>
      <c r="G1" s="683"/>
      <c r="H1" s="697"/>
      <c r="I1" s="683"/>
      <c r="J1" s="697"/>
      <c r="K1" s="683"/>
      <c r="L1" s="697"/>
      <c r="M1" s="683"/>
      <c r="N1" s="697"/>
      <c r="O1" s="683"/>
      <c r="P1" s="697"/>
    </row>
    <row r="2" spans="1:16" s="634" customFormat="1" ht="13">
      <c r="A2" s="698" t="s">
        <v>814</v>
      </c>
      <c r="B2" s="699"/>
      <c r="C2" s="699"/>
      <c r="D2" s="699"/>
      <c r="E2" s="699"/>
      <c r="F2" s="699"/>
      <c r="G2" s="699"/>
      <c r="H2" s="699"/>
      <c r="I2" s="699"/>
      <c r="J2" s="699"/>
      <c r="K2" s="699"/>
      <c r="L2" s="699"/>
      <c r="M2" s="699"/>
      <c r="N2" s="699"/>
      <c r="O2" s="699"/>
      <c r="P2" s="699"/>
    </row>
    <row r="3" spans="1:16" ht="13">
      <c r="A3" s="698" t="s">
        <v>854</v>
      </c>
      <c r="B3" s="699"/>
      <c r="C3" s="699"/>
      <c r="D3" s="699"/>
      <c r="E3" s="699"/>
      <c r="F3" s="699"/>
      <c r="G3" s="699"/>
      <c r="H3" s="699"/>
      <c r="I3" s="699"/>
      <c r="J3" s="699"/>
      <c r="K3" s="699"/>
      <c r="L3" s="699"/>
      <c r="M3" s="699"/>
      <c r="N3" s="699"/>
      <c r="O3" s="699"/>
      <c r="P3" s="699"/>
    </row>
    <row r="4" spans="1:16" ht="11.25" customHeight="1" thickBot="1">
      <c r="A4" s="673"/>
      <c r="B4" s="673"/>
      <c r="C4" s="673"/>
      <c r="D4" s="673"/>
      <c r="E4" s="673"/>
      <c r="F4" s="673"/>
      <c r="G4" s="673"/>
      <c r="H4" s="673"/>
      <c r="I4" s="673"/>
      <c r="J4" s="673"/>
      <c r="K4" s="673"/>
      <c r="L4" s="673"/>
      <c r="M4" s="673"/>
      <c r="N4" s="673"/>
      <c r="O4" s="673"/>
      <c r="P4" s="673"/>
    </row>
    <row r="5" spans="1:16" ht="14.25" customHeight="1">
      <c r="A5" s="683"/>
      <c r="B5" s="1661" t="s">
        <v>815</v>
      </c>
      <c r="C5" s="1661"/>
      <c r="D5" s="1661"/>
      <c r="E5" s="683"/>
      <c r="F5" s="1661" t="s">
        <v>816</v>
      </c>
      <c r="G5" s="1661"/>
      <c r="H5" s="1661"/>
      <c r="I5" s="683"/>
      <c r="J5" s="1661" t="s">
        <v>817</v>
      </c>
      <c r="K5" s="1661"/>
      <c r="L5" s="1661"/>
      <c r="M5" s="683"/>
      <c r="N5" s="1661" t="s">
        <v>818</v>
      </c>
      <c r="O5" s="1661"/>
      <c r="P5" s="1661"/>
    </row>
    <row r="6" spans="1:16" ht="12" customHeight="1">
      <c r="A6" s="700" t="s">
        <v>18</v>
      </c>
      <c r="B6" s="701" t="s">
        <v>819</v>
      </c>
      <c r="C6" s="700"/>
      <c r="D6" s="701" t="s">
        <v>820</v>
      </c>
      <c r="E6" s="674"/>
      <c r="F6" s="701" t="s">
        <v>819</v>
      </c>
      <c r="G6" s="674"/>
      <c r="H6" s="701" t="s">
        <v>820</v>
      </c>
      <c r="I6" s="674"/>
      <c r="J6" s="701" t="s">
        <v>819</v>
      </c>
      <c r="K6" s="674"/>
      <c r="L6" s="701" t="s">
        <v>820</v>
      </c>
      <c r="M6" s="674"/>
      <c r="N6" s="701" t="s">
        <v>819</v>
      </c>
      <c r="O6" s="674"/>
      <c r="P6" s="701" t="s">
        <v>820</v>
      </c>
    </row>
    <row r="7" spans="1:16" ht="8.25" customHeight="1"/>
    <row r="8" spans="1:16" ht="12" customHeight="1">
      <c r="A8" s="672" t="s">
        <v>47</v>
      </c>
      <c r="B8" s="702">
        <v>375448134</v>
      </c>
      <c r="C8" s="703"/>
      <c r="D8" s="702">
        <v>11880295</v>
      </c>
      <c r="E8" s="703"/>
      <c r="F8" s="702">
        <v>23821929</v>
      </c>
      <c r="G8" s="703"/>
      <c r="H8" s="702">
        <v>886703</v>
      </c>
      <c r="I8" s="703"/>
      <c r="J8" s="702">
        <v>0</v>
      </c>
      <c r="K8" s="703"/>
      <c r="L8" s="702">
        <v>0</v>
      </c>
      <c r="M8" s="703"/>
      <c r="N8" s="702">
        <v>462414985</v>
      </c>
      <c r="O8" s="703"/>
      <c r="P8" s="702">
        <v>2867116</v>
      </c>
    </row>
    <row r="9" spans="1:16" ht="12" customHeight="1">
      <c r="A9" s="672" t="s">
        <v>49</v>
      </c>
      <c r="B9" s="704">
        <v>1212930334.5</v>
      </c>
      <c r="C9" s="705"/>
      <c r="D9" s="704">
        <v>47404517.059999995</v>
      </c>
      <c r="E9" s="705"/>
      <c r="F9" s="704">
        <v>18476311</v>
      </c>
      <c r="G9" s="705"/>
      <c r="H9" s="704">
        <v>790786.12</v>
      </c>
      <c r="I9" s="705"/>
      <c r="J9" s="704">
        <v>0</v>
      </c>
      <c r="K9" s="705"/>
      <c r="L9" s="704">
        <v>0</v>
      </c>
      <c r="M9" s="705"/>
      <c r="N9" s="704">
        <v>460969187.5</v>
      </c>
      <c r="O9" s="705"/>
      <c r="P9" s="704">
        <v>3960449.14</v>
      </c>
    </row>
    <row r="10" spans="1:16" ht="12" customHeight="1">
      <c r="A10" s="672" t="s">
        <v>51</v>
      </c>
      <c r="B10" s="704">
        <v>144692925</v>
      </c>
      <c r="C10" s="705"/>
      <c r="D10" s="704">
        <v>4244428.41</v>
      </c>
      <c r="E10" s="705"/>
      <c r="F10" s="704">
        <v>185257582</v>
      </c>
      <c r="G10" s="705"/>
      <c r="H10" s="704">
        <v>5520675.9500000002</v>
      </c>
      <c r="I10" s="705"/>
      <c r="J10" s="704">
        <v>0</v>
      </c>
      <c r="K10" s="705"/>
      <c r="L10" s="704">
        <v>0</v>
      </c>
      <c r="M10" s="705"/>
      <c r="N10" s="704">
        <v>190132613</v>
      </c>
      <c r="O10" s="705"/>
      <c r="P10" s="704">
        <v>1389172.49</v>
      </c>
    </row>
    <row r="11" spans="1:16" ht="12" customHeight="1">
      <c r="A11" s="672" t="s">
        <v>53</v>
      </c>
      <c r="B11" s="704">
        <v>103033872</v>
      </c>
      <c r="C11" s="705"/>
      <c r="D11" s="704">
        <v>4144563.0589999999</v>
      </c>
      <c r="E11" s="705"/>
      <c r="F11" s="704">
        <v>6391875</v>
      </c>
      <c r="G11" s="705"/>
      <c r="H11" s="704">
        <v>63918.75</v>
      </c>
      <c r="I11" s="705"/>
      <c r="J11" s="704">
        <v>0</v>
      </c>
      <c r="K11" s="705"/>
      <c r="L11" s="704">
        <v>0</v>
      </c>
      <c r="M11" s="705"/>
      <c r="N11" s="704">
        <v>59148370</v>
      </c>
      <c r="O11" s="705"/>
      <c r="P11" s="704">
        <v>288391.74</v>
      </c>
    </row>
    <row r="12" spans="1:16" ht="12" customHeight="1">
      <c r="A12" s="672" t="s">
        <v>55</v>
      </c>
      <c r="B12" s="704">
        <v>280615933</v>
      </c>
      <c r="C12" s="705"/>
      <c r="D12" s="704">
        <v>9338390.6799999997</v>
      </c>
      <c r="E12" s="705"/>
      <c r="F12" s="704">
        <v>106547800</v>
      </c>
      <c r="G12" s="705"/>
      <c r="H12" s="704">
        <v>2130956</v>
      </c>
      <c r="I12" s="705"/>
      <c r="J12" s="704">
        <v>8391240</v>
      </c>
      <c r="K12" s="705"/>
      <c r="L12" s="704">
        <v>331453.98</v>
      </c>
      <c r="M12" s="705"/>
      <c r="N12" s="704">
        <v>114637911</v>
      </c>
      <c r="O12" s="705"/>
      <c r="P12" s="704">
        <v>699404.97</v>
      </c>
    </row>
    <row r="13" spans="1:16" ht="8.25" customHeight="1">
      <c r="B13" s="704"/>
      <c r="C13" s="705"/>
      <c r="D13" s="704"/>
      <c r="E13" s="705"/>
      <c r="F13" s="704"/>
      <c r="G13" s="705"/>
      <c r="H13" s="704"/>
      <c r="I13" s="705"/>
      <c r="J13" s="704"/>
      <c r="K13" s="705"/>
      <c r="L13" s="704"/>
      <c r="M13" s="705"/>
      <c r="N13" s="704"/>
      <c r="O13" s="705"/>
      <c r="P13" s="704"/>
    </row>
    <row r="14" spans="1:16" ht="12" customHeight="1">
      <c r="A14" s="672" t="s">
        <v>57</v>
      </c>
      <c r="B14" s="704">
        <v>155789121</v>
      </c>
      <c r="C14" s="705"/>
      <c r="D14" s="704">
        <v>4978028.7300000004</v>
      </c>
      <c r="E14" s="705"/>
      <c r="F14" s="704">
        <v>2768153</v>
      </c>
      <c r="G14" s="705"/>
      <c r="H14" s="704">
        <v>92733.14</v>
      </c>
      <c r="I14" s="705"/>
      <c r="J14" s="704">
        <v>13954156</v>
      </c>
      <c r="K14" s="705"/>
      <c r="L14" s="704">
        <v>139541.56</v>
      </c>
      <c r="M14" s="705"/>
      <c r="N14" s="704">
        <v>122205825</v>
      </c>
      <c r="O14" s="705"/>
      <c r="P14" s="704">
        <v>816687.71</v>
      </c>
    </row>
    <row r="15" spans="1:16" ht="12" customHeight="1">
      <c r="A15" s="672" t="s">
        <v>866</v>
      </c>
      <c r="B15" s="704">
        <v>176265400</v>
      </c>
      <c r="C15" s="705"/>
      <c r="D15" s="704">
        <v>202881.4754</v>
      </c>
      <c r="E15" s="705"/>
      <c r="F15" s="704">
        <v>0</v>
      </c>
      <c r="G15" s="705"/>
      <c r="H15" s="704">
        <v>0</v>
      </c>
      <c r="I15" s="705"/>
      <c r="J15" s="704">
        <v>0</v>
      </c>
      <c r="K15" s="705"/>
      <c r="L15" s="704">
        <v>0</v>
      </c>
      <c r="M15" s="705"/>
      <c r="N15" s="704">
        <v>0</v>
      </c>
      <c r="O15" s="705"/>
      <c r="P15" s="704">
        <v>0</v>
      </c>
    </row>
    <row r="16" spans="1:16" ht="12" customHeight="1">
      <c r="A16" s="672" t="s">
        <v>61</v>
      </c>
      <c r="B16" s="704">
        <v>757708190</v>
      </c>
      <c r="C16" s="705"/>
      <c r="D16" s="704">
        <v>17719021.600000001</v>
      </c>
      <c r="E16" s="705"/>
      <c r="F16" s="704">
        <v>233718440</v>
      </c>
      <c r="G16" s="705"/>
      <c r="H16" s="704">
        <v>4674368.8</v>
      </c>
      <c r="I16" s="705"/>
      <c r="J16" s="704">
        <v>0</v>
      </c>
      <c r="K16" s="705"/>
      <c r="L16" s="704">
        <v>0</v>
      </c>
      <c r="M16" s="705"/>
      <c r="N16" s="704">
        <v>452604820</v>
      </c>
      <c r="O16" s="705"/>
      <c r="P16" s="704">
        <v>2866800.5349999997</v>
      </c>
    </row>
    <row r="17" spans="1:16" ht="12" customHeight="1">
      <c r="A17" s="672" t="s">
        <v>63</v>
      </c>
      <c r="B17" s="704">
        <v>62539400</v>
      </c>
      <c r="C17" s="705"/>
      <c r="D17" s="704">
        <v>219127.45</v>
      </c>
      <c r="E17" s="705"/>
      <c r="F17" s="704">
        <v>4911200</v>
      </c>
      <c r="G17" s="705"/>
      <c r="H17" s="704">
        <v>17189.2</v>
      </c>
      <c r="I17" s="705"/>
      <c r="J17" s="704">
        <v>0</v>
      </c>
      <c r="K17" s="705"/>
      <c r="L17" s="704">
        <v>0</v>
      </c>
      <c r="M17" s="705"/>
      <c r="N17" s="704">
        <v>1385637012</v>
      </c>
      <c r="O17" s="705"/>
      <c r="P17" s="704">
        <v>6926429.4000000004</v>
      </c>
    </row>
    <row r="18" spans="1:16" ht="12" customHeight="1">
      <c r="A18" s="672" t="s">
        <v>785</v>
      </c>
      <c r="B18" s="704">
        <v>1050347399</v>
      </c>
      <c r="C18" s="705"/>
      <c r="D18" s="704">
        <v>23365557</v>
      </c>
      <c r="E18" s="705"/>
      <c r="F18" s="704">
        <v>338140901</v>
      </c>
      <c r="G18" s="705"/>
      <c r="H18" s="704">
        <v>4057690</v>
      </c>
      <c r="I18" s="705"/>
      <c r="J18" s="704">
        <v>0</v>
      </c>
      <c r="K18" s="705"/>
      <c r="L18" s="704">
        <v>0</v>
      </c>
      <c r="M18" s="705"/>
      <c r="N18" s="704">
        <v>338030874</v>
      </c>
      <c r="O18" s="705"/>
      <c r="P18" s="704">
        <v>1691680</v>
      </c>
    </row>
    <row r="19" spans="1:16" ht="8.25" customHeight="1">
      <c r="B19" s="704"/>
      <c r="C19" s="706"/>
      <c r="D19" s="704"/>
      <c r="E19" s="706"/>
      <c r="F19" s="704"/>
      <c r="G19" s="706"/>
      <c r="H19" s="704"/>
      <c r="I19" s="706"/>
      <c r="J19" s="704"/>
      <c r="K19" s="706"/>
      <c r="L19" s="704"/>
      <c r="M19" s="706"/>
      <c r="N19" s="704"/>
      <c r="O19" s="706"/>
      <c r="P19" s="704"/>
    </row>
    <row r="20" spans="1:16" ht="12" customHeight="1">
      <c r="A20" s="672" t="s">
        <v>66</v>
      </c>
      <c r="B20" s="704">
        <v>73336876</v>
      </c>
      <c r="C20" s="705"/>
      <c r="D20" s="704">
        <v>1613173.94</v>
      </c>
      <c r="E20" s="705"/>
      <c r="F20" s="704">
        <v>28110787</v>
      </c>
      <c r="G20" s="705"/>
      <c r="H20" s="704">
        <v>250186.02</v>
      </c>
      <c r="I20" s="705"/>
      <c r="J20" s="704">
        <v>22753443</v>
      </c>
      <c r="K20" s="705"/>
      <c r="L20" s="704">
        <v>166100.17000000001</v>
      </c>
      <c r="M20" s="705"/>
      <c r="N20" s="704">
        <v>99214574</v>
      </c>
      <c r="O20" s="705"/>
      <c r="P20" s="704">
        <v>595287.44999999995</v>
      </c>
    </row>
    <row r="21" spans="1:16" ht="12" customHeight="1">
      <c r="A21" s="672" t="s">
        <v>68</v>
      </c>
      <c r="B21" s="704">
        <v>356839104</v>
      </c>
      <c r="C21" s="705"/>
      <c r="D21" s="704">
        <v>9545365.1711999997</v>
      </c>
      <c r="E21" s="705"/>
      <c r="F21" s="704">
        <v>246466871</v>
      </c>
      <c r="G21" s="705"/>
      <c r="H21" s="704">
        <v>4436403.6780000003</v>
      </c>
      <c r="I21" s="705"/>
      <c r="J21" s="704">
        <v>0</v>
      </c>
      <c r="K21" s="705"/>
      <c r="L21" s="704">
        <v>0</v>
      </c>
      <c r="M21" s="705"/>
      <c r="N21" s="704">
        <v>394237249</v>
      </c>
      <c r="O21" s="705"/>
      <c r="P21" s="704">
        <v>3119289.5887000002</v>
      </c>
    </row>
    <row r="22" spans="1:16" ht="12" customHeight="1">
      <c r="A22" s="672" t="s">
        <v>70</v>
      </c>
      <c r="B22" s="704">
        <v>128117385</v>
      </c>
      <c r="C22" s="705"/>
      <c r="D22" s="704">
        <v>4442601.3899999997</v>
      </c>
      <c r="E22" s="705"/>
      <c r="F22" s="704">
        <v>19495420</v>
      </c>
      <c r="G22" s="705"/>
      <c r="H22" s="704">
        <v>662844.28</v>
      </c>
      <c r="I22" s="705"/>
      <c r="J22" s="704">
        <v>0</v>
      </c>
      <c r="K22" s="705"/>
      <c r="L22" s="704">
        <v>0</v>
      </c>
      <c r="M22" s="705"/>
      <c r="N22" s="704">
        <v>1024761593</v>
      </c>
      <c r="O22" s="705"/>
      <c r="P22" s="704">
        <v>5431695.1799999997</v>
      </c>
    </row>
    <row r="23" spans="1:16" ht="12" customHeight="1">
      <c r="A23" s="672" t="s">
        <v>72</v>
      </c>
      <c r="B23" s="704">
        <v>238229628</v>
      </c>
      <c r="C23" s="705"/>
      <c r="D23" s="704">
        <v>4384867.6871999996</v>
      </c>
      <c r="E23" s="705"/>
      <c r="F23" s="704">
        <v>271126122</v>
      </c>
      <c r="G23" s="705"/>
      <c r="H23" s="704">
        <v>670696.37699999998</v>
      </c>
      <c r="I23" s="705"/>
      <c r="J23" s="704">
        <v>3602843</v>
      </c>
      <c r="K23" s="705"/>
      <c r="L23" s="704">
        <v>72056.86</v>
      </c>
      <c r="M23" s="705"/>
      <c r="N23" s="704">
        <v>158170042</v>
      </c>
      <c r="O23" s="705"/>
      <c r="P23" s="704">
        <v>620560.62589999998</v>
      </c>
    </row>
    <row r="24" spans="1:16" ht="12" customHeight="1">
      <c r="A24" s="672" t="s">
        <v>74</v>
      </c>
      <c r="B24" s="704">
        <v>118984597</v>
      </c>
      <c r="C24" s="705"/>
      <c r="D24" s="704">
        <v>4470429.82</v>
      </c>
      <c r="E24" s="705"/>
      <c r="F24" s="704">
        <v>9010020</v>
      </c>
      <c r="G24" s="705"/>
      <c r="H24" s="704">
        <v>261290.58</v>
      </c>
      <c r="I24" s="705"/>
      <c r="J24" s="704">
        <v>18530910</v>
      </c>
      <c r="K24" s="705"/>
      <c r="L24" s="704">
        <v>185309.1</v>
      </c>
      <c r="M24" s="705"/>
      <c r="N24" s="704">
        <v>610816192</v>
      </c>
      <c r="O24" s="705"/>
      <c r="P24" s="704">
        <v>3361203.29</v>
      </c>
    </row>
    <row r="25" spans="1:16" ht="8.25" customHeight="1">
      <c r="B25" s="704"/>
      <c r="C25" s="705"/>
      <c r="D25" s="704"/>
      <c r="E25" s="705"/>
      <c r="F25" s="704"/>
      <c r="G25" s="705"/>
      <c r="H25" s="704"/>
      <c r="I25" s="705"/>
      <c r="J25" s="704"/>
      <c r="K25" s="705"/>
      <c r="L25" s="704"/>
      <c r="M25" s="705"/>
      <c r="N25" s="704"/>
      <c r="O25" s="705"/>
      <c r="P25" s="704"/>
    </row>
    <row r="26" spans="1:16" ht="12" customHeight="1">
      <c r="A26" s="672" t="s">
        <v>76</v>
      </c>
      <c r="B26" s="704">
        <v>404157393</v>
      </c>
      <c r="C26" s="705"/>
      <c r="D26" s="704">
        <v>16408017.509999998</v>
      </c>
      <c r="E26" s="705"/>
      <c r="F26" s="704">
        <v>189522060</v>
      </c>
      <c r="G26" s="705"/>
      <c r="H26" s="704">
        <v>6159467</v>
      </c>
      <c r="I26" s="705"/>
      <c r="J26" s="704">
        <v>0</v>
      </c>
      <c r="K26" s="705"/>
      <c r="L26" s="704">
        <v>0</v>
      </c>
      <c r="M26" s="705"/>
      <c r="N26" s="704">
        <v>412378444</v>
      </c>
      <c r="O26" s="705"/>
      <c r="P26" s="704">
        <v>2184958.5300000003</v>
      </c>
    </row>
    <row r="27" spans="1:16" ht="12" customHeight="1">
      <c r="A27" s="672" t="s">
        <v>78</v>
      </c>
      <c r="B27" s="704">
        <v>337038736</v>
      </c>
      <c r="C27" s="705"/>
      <c r="D27" s="704">
        <v>12598383.004999999</v>
      </c>
      <c r="E27" s="705"/>
      <c r="F27" s="704">
        <v>7735500</v>
      </c>
      <c r="G27" s="705"/>
      <c r="H27" s="704">
        <v>270742.5</v>
      </c>
      <c r="I27" s="705"/>
      <c r="J27" s="704">
        <v>0</v>
      </c>
      <c r="K27" s="705"/>
      <c r="L27" s="704">
        <v>0</v>
      </c>
      <c r="M27" s="705"/>
      <c r="N27" s="704">
        <v>418038530</v>
      </c>
      <c r="O27" s="705"/>
      <c r="P27" s="704">
        <v>3550869.6732999999</v>
      </c>
    </row>
    <row r="28" spans="1:16" ht="12" customHeight="1">
      <c r="A28" s="672" t="s">
        <v>80</v>
      </c>
      <c r="B28" s="704">
        <v>297040170</v>
      </c>
      <c r="C28" s="705"/>
      <c r="D28" s="704">
        <v>5636949.0999999996</v>
      </c>
      <c r="E28" s="705"/>
      <c r="F28" s="704">
        <v>55356480</v>
      </c>
      <c r="G28" s="705"/>
      <c r="H28" s="704">
        <v>968738.61</v>
      </c>
      <c r="I28" s="705"/>
      <c r="J28" s="704">
        <v>33517105</v>
      </c>
      <c r="K28" s="705"/>
      <c r="L28" s="704">
        <v>231268.18</v>
      </c>
      <c r="M28" s="705"/>
      <c r="N28" s="704">
        <v>137102552</v>
      </c>
      <c r="O28" s="705"/>
      <c r="P28" s="704">
        <v>959536.69000000006</v>
      </c>
    </row>
    <row r="29" spans="1:16" ht="12" customHeight="1">
      <c r="A29" s="672" t="s">
        <v>82</v>
      </c>
      <c r="B29" s="704">
        <v>90537583</v>
      </c>
      <c r="C29" s="705"/>
      <c r="D29" s="704">
        <v>3343862.58</v>
      </c>
      <c r="E29" s="705"/>
      <c r="F29" s="704">
        <v>6846927</v>
      </c>
      <c r="G29" s="705"/>
      <c r="H29" s="704">
        <v>205407.81</v>
      </c>
      <c r="I29" s="705"/>
      <c r="J29" s="704">
        <v>630926</v>
      </c>
      <c r="K29" s="705"/>
      <c r="L29" s="704">
        <v>17665.928</v>
      </c>
      <c r="M29" s="705"/>
      <c r="N29" s="704">
        <v>159541859</v>
      </c>
      <c r="O29" s="705"/>
      <c r="P29" s="704">
        <v>1212518.1284</v>
      </c>
    </row>
    <row r="30" spans="1:16" ht="12" customHeight="1">
      <c r="A30" s="672" t="s">
        <v>84</v>
      </c>
      <c r="B30" s="704">
        <v>112073326.40000001</v>
      </c>
      <c r="C30" s="705"/>
      <c r="D30" s="704">
        <v>4289863.9290999994</v>
      </c>
      <c r="E30" s="705"/>
      <c r="F30" s="704">
        <v>18046727.809999999</v>
      </c>
      <c r="G30" s="705"/>
      <c r="H30" s="704">
        <v>541401.83429999987</v>
      </c>
      <c r="I30" s="705"/>
      <c r="J30" s="704">
        <v>0</v>
      </c>
      <c r="K30" s="705"/>
      <c r="L30" s="704">
        <v>0</v>
      </c>
      <c r="M30" s="705"/>
      <c r="N30" s="704">
        <v>94277236</v>
      </c>
      <c r="O30" s="705"/>
      <c r="P30" s="704">
        <v>584518.86320000002</v>
      </c>
    </row>
    <row r="31" spans="1:16" ht="8.25" customHeight="1">
      <c r="B31" s="704"/>
      <c r="C31" s="706"/>
      <c r="D31" s="704"/>
      <c r="E31" s="706"/>
      <c r="F31" s="704"/>
      <c r="G31" s="706"/>
      <c r="H31" s="704"/>
      <c r="I31" s="706"/>
      <c r="J31" s="704"/>
      <c r="K31" s="706"/>
      <c r="L31" s="704"/>
      <c r="M31" s="706"/>
      <c r="N31" s="704"/>
      <c r="O31" s="706"/>
      <c r="P31" s="704"/>
    </row>
    <row r="32" spans="1:16" ht="12" customHeight="1">
      <c r="A32" s="672" t="s">
        <v>86</v>
      </c>
      <c r="B32" s="704">
        <v>4468795582</v>
      </c>
      <c r="C32" s="705"/>
      <c r="D32" s="704">
        <v>90912879.810000002</v>
      </c>
      <c r="E32" s="705"/>
      <c r="F32" s="704">
        <v>530677724</v>
      </c>
      <c r="G32" s="705"/>
      <c r="H32" s="704">
        <v>5306778</v>
      </c>
      <c r="I32" s="705"/>
      <c r="J32" s="704">
        <v>0</v>
      </c>
      <c r="K32" s="705"/>
      <c r="L32" s="704">
        <v>0</v>
      </c>
      <c r="M32" s="705"/>
      <c r="N32" s="704">
        <v>1774760170</v>
      </c>
      <c r="O32" s="705"/>
      <c r="P32" s="704">
        <v>16853607</v>
      </c>
    </row>
    <row r="33" spans="1:16" ht="12" customHeight="1">
      <c r="A33" s="672" t="s">
        <v>88</v>
      </c>
      <c r="B33" s="704">
        <v>181519679</v>
      </c>
      <c r="C33" s="705"/>
      <c r="D33" s="704">
        <v>8154942.2298400002</v>
      </c>
      <c r="E33" s="705"/>
      <c r="F33" s="704">
        <v>13206507</v>
      </c>
      <c r="G33" s="705"/>
      <c r="H33" s="704">
        <v>165081.33749999999</v>
      </c>
      <c r="I33" s="705"/>
      <c r="J33" s="704">
        <v>0</v>
      </c>
      <c r="K33" s="705"/>
      <c r="L33" s="704">
        <v>0</v>
      </c>
      <c r="M33" s="705"/>
      <c r="N33" s="704">
        <v>67952264</v>
      </c>
      <c r="O33" s="705"/>
      <c r="P33" s="704">
        <v>482461.07439999998</v>
      </c>
    </row>
    <row r="34" spans="1:16" ht="12" customHeight="1">
      <c r="A34" s="672" t="s">
        <v>90</v>
      </c>
      <c r="B34" s="704">
        <v>40259838</v>
      </c>
      <c r="C34" s="705"/>
      <c r="D34" s="704">
        <v>1306496.1900000002</v>
      </c>
      <c r="E34" s="705"/>
      <c r="F34" s="704">
        <v>2182037</v>
      </c>
      <c r="G34" s="705"/>
      <c r="H34" s="704">
        <v>48004.82</v>
      </c>
      <c r="I34" s="705"/>
      <c r="J34" s="704">
        <v>367673</v>
      </c>
      <c r="K34" s="705"/>
      <c r="L34" s="704">
        <v>12868.6</v>
      </c>
      <c r="M34" s="705"/>
      <c r="N34" s="704">
        <v>400192</v>
      </c>
      <c r="O34" s="705"/>
      <c r="P34" s="704">
        <v>14006.73</v>
      </c>
    </row>
    <row r="35" spans="1:16" ht="12" customHeight="1">
      <c r="A35" s="672" t="s">
        <v>92</v>
      </c>
      <c r="B35" s="704">
        <v>950969299</v>
      </c>
      <c r="C35" s="705"/>
      <c r="D35" s="704">
        <v>29365620.900000006</v>
      </c>
      <c r="E35" s="705"/>
      <c r="F35" s="704">
        <v>95395875</v>
      </c>
      <c r="G35" s="705"/>
      <c r="H35" s="704">
        <v>1907917.5</v>
      </c>
      <c r="I35" s="705"/>
      <c r="J35" s="704">
        <v>0</v>
      </c>
      <c r="K35" s="705"/>
      <c r="L35" s="704">
        <v>0</v>
      </c>
      <c r="M35" s="705"/>
      <c r="N35" s="704">
        <v>268521330</v>
      </c>
      <c r="O35" s="705"/>
      <c r="P35" s="704">
        <v>1760618.97</v>
      </c>
    </row>
    <row r="36" spans="1:16" ht="12" customHeight="1">
      <c r="A36" s="672" t="s">
        <v>94</v>
      </c>
      <c r="B36" s="704">
        <v>73889768</v>
      </c>
      <c r="C36" s="705"/>
      <c r="D36" s="704">
        <v>3059270.39</v>
      </c>
      <c r="E36" s="705"/>
      <c r="F36" s="704">
        <v>6316950</v>
      </c>
      <c r="G36" s="705"/>
      <c r="H36" s="704">
        <v>236885.62</v>
      </c>
      <c r="I36" s="705"/>
      <c r="J36" s="704">
        <v>0</v>
      </c>
      <c r="K36" s="705"/>
      <c r="L36" s="704">
        <v>0</v>
      </c>
      <c r="M36" s="705"/>
      <c r="N36" s="704">
        <v>112585165</v>
      </c>
      <c r="O36" s="705"/>
      <c r="P36" s="704">
        <v>886991.03</v>
      </c>
    </row>
    <row r="37" spans="1:16" ht="8.25" customHeight="1">
      <c r="B37" s="704"/>
      <c r="C37" s="705"/>
      <c r="D37" s="704"/>
      <c r="E37" s="705"/>
      <c r="F37" s="704"/>
      <c r="G37" s="705"/>
      <c r="H37" s="704"/>
      <c r="I37" s="705"/>
      <c r="J37" s="707"/>
      <c r="K37" s="705"/>
      <c r="L37" s="707"/>
      <c r="M37" s="705"/>
      <c r="N37" s="704"/>
      <c r="O37" s="705"/>
      <c r="P37" s="704"/>
    </row>
    <row r="38" spans="1:16" ht="12" customHeight="1">
      <c r="A38" s="672" t="s">
        <v>96</v>
      </c>
      <c r="B38" s="704">
        <v>118008511</v>
      </c>
      <c r="C38" s="705"/>
      <c r="D38" s="704">
        <v>2043765</v>
      </c>
      <c r="E38" s="705"/>
      <c r="F38" s="704">
        <v>81006466</v>
      </c>
      <c r="G38" s="705"/>
      <c r="H38" s="704">
        <v>1498619.62</v>
      </c>
      <c r="I38" s="705"/>
      <c r="J38" s="704">
        <v>884919</v>
      </c>
      <c r="K38" s="705"/>
      <c r="L38" s="704">
        <v>92916.69</v>
      </c>
      <c r="M38" s="705"/>
      <c r="N38" s="704">
        <v>119034999</v>
      </c>
      <c r="O38" s="705"/>
      <c r="P38" s="704">
        <v>716216.05999999994</v>
      </c>
    </row>
    <row r="39" spans="1:16" ht="12" customHeight="1">
      <c r="A39" s="672" t="s">
        <v>98</v>
      </c>
      <c r="B39" s="704">
        <v>277683945</v>
      </c>
      <c r="C39" s="705"/>
      <c r="D39" s="704">
        <v>12044238.58</v>
      </c>
      <c r="E39" s="705"/>
      <c r="F39" s="704">
        <v>105351429</v>
      </c>
      <c r="G39" s="705"/>
      <c r="H39" s="704">
        <v>3468619.87</v>
      </c>
      <c r="I39" s="705"/>
      <c r="J39" s="704">
        <v>0</v>
      </c>
      <c r="K39" s="705"/>
      <c r="L39" s="704">
        <v>0</v>
      </c>
      <c r="M39" s="705"/>
      <c r="N39" s="704">
        <v>224625992</v>
      </c>
      <c r="O39" s="705"/>
      <c r="P39" s="704">
        <v>1782826.0099999998</v>
      </c>
    </row>
    <row r="40" spans="1:16" ht="12" customHeight="1">
      <c r="A40" s="672" t="s">
        <v>100</v>
      </c>
      <c r="B40" s="704">
        <v>141395174</v>
      </c>
      <c r="C40" s="705"/>
      <c r="D40" s="704">
        <v>4471127.2176000001</v>
      </c>
      <c r="E40" s="705"/>
      <c r="F40" s="704">
        <v>6805175</v>
      </c>
      <c r="G40" s="705"/>
      <c r="H40" s="704">
        <v>81662.100000000006</v>
      </c>
      <c r="I40" s="705"/>
      <c r="J40" s="704">
        <v>2481440</v>
      </c>
      <c r="K40" s="705"/>
      <c r="L40" s="704">
        <v>93054</v>
      </c>
      <c r="M40" s="705"/>
      <c r="N40" s="704">
        <v>45301553</v>
      </c>
      <c r="O40" s="705"/>
      <c r="P40" s="704">
        <v>398858.77520000003</v>
      </c>
    </row>
    <row r="41" spans="1:16" ht="12" customHeight="1">
      <c r="A41" s="672" t="s">
        <v>102</v>
      </c>
      <c r="B41" s="704">
        <v>15420863641</v>
      </c>
      <c r="C41" s="705"/>
      <c r="D41" s="704">
        <v>701029765.94169998</v>
      </c>
      <c r="E41" s="705"/>
      <c r="F41" s="704">
        <v>28399028</v>
      </c>
      <c r="G41" s="705"/>
      <c r="H41" s="704">
        <v>1297835.5796000001</v>
      </c>
      <c r="I41" s="705"/>
      <c r="J41" s="704">
        <v>0</v>
      </c>
      <c r="K41" s="705"/>
      <c r="L41" s="704">
        <v>0</v>
      </c>
      <c r="M41" s="705"/>
      <c r="N41" s="704">
        <v>4174740736</v>
      </c>
      <c r="O41" s="705"/>
      <c r="P41" s="704">
        <v>48229418.991999999</v>
      </c>
    </row>
    <row r="42" spans="1:16" ht="12" customHeight="1">
      <c r="A42" s="672" t="s">
        <v>104</v>
      </c>
      <c r="B42" s="704">
        <v>1149259013</v>
      </c>
      <c r="C42" s="705"/>
      <c r="D42" s="704">
        <v>42708860.539999992</v>
      </c>
      <c r="E42" s="705"/>
      <c r="F42" s="704">
        <v>16266517</v>
      </c>
      <c r="G42" s="705"/>
      <c r="H42" s="704">
        <v>374129.99</v>
      </c>
      <c r="I42" s="705"/>
      <c r="J42" s="704">
        <v>0</v>
      </c>
      <c r="K42" s="705"/>
      <c r="L42" s="704">
        <v>0</v>
      </c>
      <c r="M42" s="705"/>
      <c r="N42" s="704">
        <v>738721754</v>
      </c>
      <c r="O42" s="705"/>
      <c r="P42" s="704">
        <v>7346495.7237999998</v>
      </c>
    </row>
    <row r="43" spans="1:16" ht="14">
      <c r="A43" s="671" t="s">
        <v>821</v>
      </c>
      <c r="B43" s="697"/>
      <c r="C43" s="683"/>
      <c r="D43" s="697"/>
      <c r="E43" s="683"/>
      <c r="F43" s="697"/>
      <c r="G43" s="683"/>
      <c r="H43" s="697"/>
      <c r="I43" s="683"/>
      <c r="J43" s="697"/>
      <c r="K43" s="683"/>
      <c r="L43" s="697"/>
      <c r="M43" s="683"/>
      <c r="N43" s="697"/>
      <c r="O43" s="683"/>
      <c r="P43" s="697"/>
    </row>
    <row r="44" spans="1:16" ht="13">
      <c r="A44" s="698" t="s">
        <v>814</v>
      </c>
      <c r="B44" s="699"/>
      <c r="C44" s="699"/>
      <c r="D44" s="699"/>
      <c r="E44" s="699"/>
      <c r="F44" s="699"/>
      <c r="G44" s="699"/>
      <c r="H44" s="699"/>
      <c r="I44" s="699"/>
      <c r="J44" s="699"/>
      <c r="K44" s="699"/>
      <c r="L44" s="699"/>
      <c r="M44" s="699"/>
      <c r="N44" s="699"/>
      <c r="O44" s="699"/>
      <c r="P44" s="699"/>
    </row>
    <row r="45" spans="1:16" ht="13">
      <c r="A45" s="698" t="s">
        <v>854</v>
      </c>
      <c r="B45" s="699"/>
      <c r="C45" s="699"/>
      <c r="D45" s="699"/>
      <c r="E45" s="699"/>
      <c r="F45" s="699"/>
      <c r="G45" s="699"/>
      <c r="H45" s="699"/>
      <c r="I45" s="699"/>
      <c r="J45" s="699"/>
      <c r="K45" s="699"/>
      <c r="L45" s="699"/>
      <c r="M45" s="699"/>
      <c r="N45" s="699"/>
      <c r="O45" s="699"/>
      <c r="P45" s="699"/>
    </row>
    <row r="46" spans="1:16" ht="11.25" customHeight="1" thickBot="1">
      <c r="A46" s="673"/>
      <c r="B46" s="673"/>
      <c r="C46" s="673"/>
      <c r="D46" s="673"/>
      <c r="E46" s="673"/>
      <c r="F46" s="673"/>
      <c r="G46" s="673"/>
      <c r="H46" s="673"/>
      <c r="I46" s="673"/>
      <c r="J46" s="673"/>
      <c r="K46" s="673"/>
      <c r="L46" s="673"/>
      <c r="M46" s="673"/>
      <c r="N46" s="673"/>
      <c r="O46" s="673"/>
      <c r="P46" s="673"/>
    </row>
    <row r="47" spans="1:16" ht="14.25" customHeight="1">
      <c r="A47" s="683"/>
      <c r="B47" s="1661" t="s">
        <v>815</v>
      </c>
      <c r="C47" s="1661"/>
      <c r="D47" s="1661"/>
      <c r="E47" s="683"/>
      <c r="F47" s="1661" t="s">
        <v>816</v>
      </c>
      <c r="G47" s="1661"/>
      <c r="H47" s="1661"/>
      <c r="I47" s="683"/>
      <c r="J47" s="1661" t="s">
        <v>817</v>
      </c>
      <c r="K47" s="1661"/>
      <c r="L47" s="1661"/>
      <c r="M47" s="683"/>
      <c r="N47" s="1661" t="s">
        <v>818</v>
      </c>
      <c r="O47" s="1661"/>
      <c r="P47" s="1661"/>
    </row>
    <row r="48" spans="1:16" ht="12" customHeight="1">
      <c r="A48" s="700" t="s">
        <v>18</v>
      </c>
      <c r="B48" s="701" t="s">
        <v>819</v>
      </c>
      <c r="C48" s="674"/>
      <c r="D48" s="701" t="s">
        <v>820</v>
      </c>
      <c r="E48" s="674"/>
      <c r="F48" s="701" t="s">
        <v>819</v>
      </c>
      <c r="G48" s="674"/>
      <c r="H48" s="701" t="s">
        <v>820</v>
      </c>
      <c r="I48" s="674"/>
      <c r="J48" s="701" t="s">
        <v>819</v>
      </c>
      <c r="K48" s="674"/>
      <c r="L48" s="701" t="s">
        <v>820</v>
      </c>
      <c r="M48" s="674"/>
      <c r="N48" s="701" t="s">
        <v>819</v>
      </c>
      <c r="O48" s="674"/>
      <c r="P48" s="701" t="s">
        <v>820</v>
      </c>
    </row>
    <row r="49" spans="1:16" ht="8.25" customHeight="1">
      <c r="B49" s="704"/>
      <c r="C49" s="706"/>
      <c r="D49" s="704"/>
      <c r="E49" s="706"/>
      <c r="F49" s="704"/>
      <c r="G49" s="706"/>
      <c r="H49" s="704"/>
      <c r="I49" s="706"/>
      <c r="J49" s="704"/>
      <c r="K49" s="706"/>
      <c r="L49" s="704"/>
      <c r="M49" s="706"/>
      <c r="N49" s="704"/>
      <c r="O49" s="706"/>
      <c r="P49" s="704"/>
    </row>
    <row r="50" spans="1:16" ht="12" customHeight="1">
      <c r="A50" s="672" t="s">
        <v>106</v>
      </c>
      <c r="B50" s="702">
        <v>131580691</v>
      </c>
      <c r="C50" s="703"/>
      <c r="D50" s="702">
        <v>3655334.0795000005</v>
      </c>
      <c r="E50" s="703"/>
      <c r="F50" s="702">
        <v>17307927</v>
      </c>
      <c r="G50" s="703"/>
      <c r="H50" s="702">
        <v>268272.86849999998</v>
      </c>
      <c r="I50" s="703"/>
      <c r="J50" s="702">
        <v>2153388</v>
      </c>
      <c r="K50" s="703"/>
      <c r="L50" s="702">
        <v>75368.58</v>
      </c>
      <c r="M50" s="703"/>
      <c r="N50" s="702">
        <v>60073354</v>
      </c>
      <c r="O50" s="703"/>
      <c r="P50" s="702">
        <v>371541.52399999998</v>
      </c>
    </row>
    <row r="51" spans="1:16" ht="12" customHeight="1">
      <c r="A51" s="672" t="s">
        <v>108</v>
      </c>
      <c r="B51" s="704">
        <v>236697213</v>
      </c>
      <c r="C51" s="705"/>
      <c r="D51" s="704">
        <v>10222350.75</v>
      </c>
      <c r="E51" s="705"/>
      <c r="F51" s="704">
        <v>590595</v>
      </c>
      <c r="G51" s="705"/>
      <c r="H51" s="704">
        <v>11221.3</v>
      </c>
      <c r="I51" s="705"/>
      <c r="J51" s="704">
        <v>12841686</v>
      </c>
      <c r="K51" s="705"/>
      <c r="L51" s="704">
        <v>372408.89</v>
      </c>
      <c r="M51" s="705"/>
      <c r="N51" s="704">
        <v>575551601</v>
      </c>
      <c r="O51" s="705"/>
      <c r="P51" s="704">
        <v>5364821.1700000009</v>
      </c>
    </row>
    <row r="52" spans="1:16" s="649" customFormat="1" ht="12" customHeight="1">
      <c r="A52" s="708" t="s">
        <v>21</v>
      </c>
      <c r="B52" s="704">
        <v>663112681</v>
      </c>
      <c r="C52" s="709"/>
      <c r="D52" s="704">
        <v>15269989.310000001</v>
      </c>
      <c r="E52" s="709"/>
      <c r="F52" s="704">
        <v>132597424</v>
      </c>
      <c r="G52" s="709"/>
      <c r="H52" s="704">
        <v>928182.05</v>
      </c>
      <c r="I52" s="709"/>
      <c r="J52" s="704">
        <v>78239240</v>
      </c>
      <c r="K52" s="709"/>
      <c r="L52" s="704">
        <v>844983.83</v>
      </c>
      <c r="M52" s="709"/>
      <c r="N52" s="704">
        <v>179241818</v>
      </c>
      <c r="O52" s="709"/>
      <c r="P52" s="704">
        <v>1100450.1399999999</v>
      </c>
    </row>
    <row r="53" spans="1:16" ht="12" customHeight="1">
      <c r="A53" s="672" t="s">
        <v>111</v>
      </c>
      <c r="B53" s="704">
        <v>1133847750</v>
      </c>
      <c r="C53" s="705"/>
      <c r="D53" s="704">
        <v>52008092.899999999</v>
      </c>
      <c r="E53" s="705"/>
      <c r="F53" s="704">
        <v>406949415</v>
      </c>
      <c r="G53" s="705"/>
      <c r="H53" s="704">
        <v>8138988.2999999998</v>
      </c>
      <c r="I53" s="705"/>
      <c r="J53" s="704">
        <v>0</v>
      </c>
      <c r="K53" s="705"/>
      <c r="L53" s="704">
        <v>0</v>
      </c>
      <c r="M53" s="705"/>
      <c r="N53" s="704">
        <v>405888133</v>
      </c>
      <c r="O53" s="705"/>
      <c r="P53" s="704">
        <v>2538511.8400000003</v>
      </c>
    </row>
    <row r="54" spans="1:16" ht="12" customHeight="1">
      <c r="A54" s="672" t="s">
        <v>113</v>
      </c>
      <c r="B54" s="704">
        <v>202559270</v>
      </c>
      <c r="C54" s="705"/>
      <c r="D54" s="704">
        <v>3978677.27</v>
      </c>
      <c r="E54" s="705"/>
      <c r="F54" s="704">
        <v>260510116</v>
      </c>
      <c r="G54" s="705"/>
      <c r="H54" s="704">
        <v>5262304.3600000003</v>
      </c>
      <c r="I54" s="705"/>
      <c r="J54" s="704">
        <v>25340459</v>
      </c>
      <c r="K54" s="705"/>
      <c r="L54" s="704">
        <v>210325.81</v>
      </c>
      <c r="M54" s="705"/>
      <c r="N54" s="704">
        <v>115917047</v>
      </c>
      <c r="O54" s="705"/>
      <c r="P54" s="704">
        <v>780051.49</v>
      </c>
    </row>
    <row r="55" spans="1:16" ht="8.25" customHeight="1">
      <c r="B55" s="704"/>
      <c r="C55" s="705"/>
      <c r="D55" s="704"/>
      <c r="E55" s="705"/>
      <c r="F55" s="704"/>
      <c r="G55" s="705"/>
      <c r="H55" s="704"/>
      <c r="I55" s="705"/>
      <c r="J55" s="704"/>
      <c r="K55" s="705"/>
      <c r="L55" s="704"/>
      <c r="M55" s="705"/>
      <c r="N55" s="704"/>
      <c r="O55" s="705"/>
      <c r="P55" s="704"/>
    </row>
    <row r="56" spans="1:16" s="648" customFormat="1" ht="12" customHeight="1">
      <c r="A56" s="710" t="s">
        <v>48</v>
      </c>
      <c r="B56" s="704">
        <v>510481624</v>
      </c>
      <c r="C56" s="709"/>
      <c r="D56" s="704">
        <v>13614018.682300001</v>
      </c>
      <c r="E56" s="709"/>
      <c r="F56" s="704">
        <v>9117208</v>
      </c>
      <c r="G56" s="709"/>
      <c r="H56" s="704">
        <v>268957.636</v>
      </c>
      <c r="I56" s="709"/>
      <c r="J56" s="704">
        <v>0</v>
      </c>
      <c r="K56" s="709"/>
      <c r="L56" s="704">
        <v>0</v>
      </c>
      <c r="M56" s="709"/>
      <c r="N56" s="704">
        <v>147547319</v>
      </c>
      <c r="O56" s="709"/>
      <c r="P56" s="704">
        <v>1027727.3806</v>
      </c>
    </row>
    <row r="57" spans="1:16" s="648" customFormat="1" ht="12" customHeight="1">
      <c r="A57" s="710" t="s">
        <v>50</v>
      </c>
      <c r="B57" s="704">
        <v>543971378</v>
      </c>
      <c r="C57" s="709"/>
      <c r="D57" s="704">
        <v>21431263.940000001</v>
      </c>
      <c r="E57" s="709"/>
      <c r="F57" s="704">
        <v>47075783</v>
      </c>
      <c r="G57" s="709"/>
      <c r="H57" s="704">
        <v>470757.83</v>
      </c>
      <c r="I57" s="709"/>
      <c r="J57" s="704">
        <v>0</v>
      </c>
      <c r="K57" s="709"/>
      <c r="L57" s="704">
        <v>0</v>
      </c>
      <c r="M57" s="709"/>
      <c r="N57" s="704">
        <v>93048545</v>
      </c>
      <c r="O57" s="709"/>
      <c r="P57" s="704">
        <v>511069.35000000003</v>
      </c>
    </row>
    <row r="58" spans="1:16" s="648" customFormat="1" ht="12" customHeight="1">
      <c r="A58" s="710" t="s">
        <v>52</v>
      </c>
      <c r="B58" s="704">
        <v>127786990</v>
      </c>
      <c r="C58" s="709"/>
      <c r="D58" s="704">
        <v>2178719.0300000003</v>
      </c>
      <c r="E58" s="709"/>
      <c r="F58" s="704">
        <v>21724721</v>
      </c>
      <c r="G58" s="709"/>
      <c r="H58" s="704">
        <v>380182.62</v>
      </c>
      <c r="I58" s="709"/>
      <c r="J58" s="704">
        <v>796294</v>
      </c>
      <c r="K58" s="709"/>
      <c r="L58" s="704">
        <v>53351.7</v>
      </c>
      <c r="M58" s="709"/>
      <c r="N58" s="704">
        <v>58454919</v>
      </c>
      <c r="O58" s="709"/>
      <c r="P58" s="704">
        <v>327347.55</v>
      </c>
    </row>
    <row r="59" spans="1:16" ht="12" customHeight="1">
      <c r="A59" s="672" t="s">
        <v>54</v>
      </c>
      <c r="B59" s="704">
        <v>146184766</v>
      </c>
      <c r="C59" s="705"/>
      <c r="D59" s="704">
        <v>7007003.3999999994</v>
      </c>
      <c r="E59" s="705"/>
      <c r="F59" s="704">
        <v>9207972</v>
      </c>
      <c r="G59" s="705"/>
      <c r="H59" s="704">
        <v>230199.3</v>
      </c>
      <c r="I59" s="705"/>
      <c r="J59" s="704">
        <v>0</v>
      </c>
      <c r="K59" s="705"/>
      <c r="L59" s="704">
        <v>0</v>
      </c>
      <c r="M59" s="705"/>
      <c r="N59" s="704">
        <v>58478798</v>
      </c>
      <c r="O59" s="705"/>
      <c r="P59" s="704">
        <v>479526.14</v>
      </c>
    </row>
    <row r="60" spans="1:16" ht="12" customHeight="1">
      <c r="A60" s="672" t="s">
        <v>56</v>
      </c>
      <c r="B60" s="704">
        <v>71156050</v>
      </c>
      <c r="C60" s="709"/>
      <c r="D60" s="704">
        <v>3325374.1100000003</v>
      </c>
      <c r="E60" s="709"/>
      <c r="F60" s="704">
        <v>24115970</v>
      </c>
      <c r="G60" s="709"/>
      <c r="H60" s="704">
        <v>964638.8</v>
      </c>
      <c r="I60" s="709"/>
      <c r="J60" s="704">
        <v>0</v>
      </c>
      <c r="K60" s="711"/>
      <c r="L60" s="704">
        <v>0</v>
      </c>
      <c r="M60" s="711"/>
      <c r="N60" s="704">
        <v>955974281</v>
      </c>
      <c r="O60" s="709"/>
      <c r="P60" s="704">
        <v>6439318.6400000006</v>
      </c>
    </row>
    <row r="61" spans="1:16" ht="8.25" customHeight="1">
      <c r="B61" s="672"/>
      <c r="D61" s="672"/>
      <c r="F61" s="672"/>
      <c r="H61" s="672"/>
      <c r="J61" s="672"/>
      <c r="L61" s="672"/>
      <c r="N61" s="672"/>
      <c r="P61" s="672"/>
    </row>
    <row r="62" spans="1:16" ht="12" customHeight="1">
      <c r="A62" s="672" t="s">
        <v>312</v>
      </c>
      <c r="B62" s="704">
        <v>274897100</v>
      </c>
      <c r="C62" s="709"/>
      <c r="D62" s="704">
        <v>9694647.2300000004</v>
      </c>
      <c r="E62" s="704"/>
      <c r="F62" s="704">
        <v>121191900</v>
      </c>
      <c r="G62" s="704"/>
      <c r="H62" s="704">
        <v>1527017.94</v>
      </c>
      <c r="I62" s="704"/>
      <c r="J62" s="704">
        <v>0</v>
      </c>
      <c r="K62" s="707"/>
      <c r="L62" s="704">
        <v>0</v>
      </c>
      <c r="M62" s="707"/>
      <c r="N62" s="704">
        <v>1087342959</v>
      </c>
      <c r="O62" s="704"/>
      <c r="P62" s="704">
        <v>5454617.3300000001</v>
      </c>
    </row>
    <row r="63" spans="1:16" ht="12" customHeight="1">
      <c r="A63" s="672" t="s">
        <v>60</v>
      </c>
      <c r="B63" s="704">
        <v>1791291203.5899999</v>
      </c>
      <c r="C63" s="709"/>
      <c r="D63" s="704">
        <v>56123283.999999993</v>
      </c>
      <c r="E63" s="709"/>
      <c r="F63" s="704">
        <v>56346964.689999998</v>
      </c>
      <c r="G63" s="709"/>
      <c r="H63" s="704">
        <v>2010179.52</v>
      </c>
      <c r="I63" s="709"/>
      <c r="J63" s="704">
        <v>87540555.709999993</v>
      </c>
      <c r="K63" s="709"/>
      <c r="L63" s="704">
        <v>1663478.55</v>
      </c>
      <c r="M63" s="709"/>
      <c r="N63" s="704">
        <v>770850468</v>
      </c>
      <c r="O63" s="709"/>
      <c r="P63" s="704">
        <v>6433877.4399999995</v>
      </c>
    </row>
    <row r="64" spans="1:16" ht="12" customHeight="1">
      <c r="A64" s="672" t="s">
        <v>62</v>
      </c>
      <c r="B64" s="704">
        <v>4213909674</v>
      </c>
      <c r="C64" s="709"/>
      <c r="D64" s="704">
        <v>128827390</v>
      </c>
      <c r="E64" s="709"/>
      <c r="F64" s="704">
        <v>289496363</v>
      </c>
      <c r="G64" s="709"/>
      <c r="H64" s="704">
        <v>868489</v>
      </c>
      <c r="I64" s="709"/>
      <c r="J64" s="704">
        <v>0</v>
      </c>
      <c r="K64" s="711"/>
      <c r="L64" s="704">
        <v>0</v>
      </c>
      <c r="M64" s="711"/>
      <c r="N64" s="704">
        <v>1164433236</v>
      </c>
      <c r="O64" s="709"/>
      <c r="P64" s="704">
        <v>10183007</v>
      </c>
    </row>
    <row r="65" spans="1:16" ht="12" customHeight="1">
      <c r="A65" s="672" t="s">
        <v>64</v>
      </c>
      <c r="B65" s="704">
        <v>462881447</v>
      </c>
      <c r="C65" s="709"/>
      <c r="D65" s="704">
        <v>6947548</v>
      </c>
      <c r="E65" s="709"/>
      <c r="F65" s="704">
        <v>338244156</v>
      </c>
      <c r="G65" s="709"/>
      <c r="H65" s="704">
        <v>5242784</v>
      </c>
      <c r="I65" s="709"/>
      <c r="J65" s="704">
        <v>0</v>
      </c>
      <c r="K65" s="711"/>
      <c r="L65" s="704">
        <v>0</v>
      </c>
      <c r="M65" s="711"/>
      <c r="N65" s="704">
        <v>196870290</v>
      </c>
      <c r="O65" s="709"/>
      <c r="P65" s="704">
        <v>1094040.44</v>
      </c>
    </row>
    <row r="66" spans="1:16" ht="12" customHeight="1">
      <c r="A66" s="672" t="s">
        <v>65</v>
      </c>
      <c r="B66" s="704">
        <v>24272628</v>
      </c>
      <c r="C66" s="705"/>
      <c r="D66" s="704">
        <v>652088.51</v>
      </c>
      <c r="E66" s="705"/>
      <c r="F66" s="704">
        <v>113772</v>
      </c>
      <c r="G66" s="705"/>
      <c r="H66" s="704">
        <v>1137.72</v>
      </c>
      <c r="I66" s="705"/>
      <c r="J66" s="704">
        <v>339413</v>
      </c>
      <c r="K66" s="705"/>
      <c r="L66" s="704">
        <v>3394.13</v>
      </c>
      <c r="M66" s="705"/>
      <c r="N66" s="704">
        <v>24063134</v>
      </c>
      <c r="O66" s="705"/>
      <c r="P66" s="704">
        <v>119282.03289999999</v>
      </c>
    </row>
    <row r="67" spans="1:16" ht="8.25" customHeight="1">
      <c r="B67" s="704"/>
      <c r="C67" s="705"/>
      <c r="D67" s="704"/>
      <c r="E67" s="705"/>
      <c r="F67" s="704"/>
      <c r="G67" s="705"/>
      <c r="H67" s="704"/>
      <c r="I67" s="705"/>
      <c r="J67" s="704"/>
      <c r="K67" s="705"/>
      <c r="L67" s="704"/>
      <c r="M67" s="705"/>
      <c r="N67" s="704"/>
      <c r="O67" s="705"/>
      <c r="P67" s="704"/>
    </row>
    <row r="68" spans="1:16" ht="12" customHeight="1">
      <c r="A68" s="672" t="s">
        <v>67</v>
      </c>
      <c r="B68" s="704">
        <v>376683327</v>
      </c>
      <c r="C68" s="705"/>
      <c r="D68" s="704">
        <v>15941736.008000001</v>
      </c>
      <c r="E68" s="705"/>
      <c r="F68" s="704">
        <v>285002834</v>
      </c>
      <c r="G68" s="705"/>
      <c r="H68" s="704">
        <v>4987549.5949999997</v>
      </c>
      <c r="I68" s="705"/>
      <c r="J68" s="704">
        <v>0</v>
      </c>
      <c r="K68" s="705"/>
      <c r="L68" s="704">
        <v>0</v>
      </c>
      <c r="M68" s="705"/>
      <c r="N68" s="704">
        <v>863553</v>
      </c>
      <c r="O68" s="705"/>
      <c r="P68" s="704">
        <v>38859.885000000002</v>
      </c>
    </row>
    <row r="69" spans="1:16" ht="12" customHeight="1">
      <c r="A69" s="672" t="s">
        <v>865</v>
      </c>
      <c r="B69" s="704">
        <v>887639206</v>
      </c>
      <c r="C69" s="705"/>
      <c r="D69" s="704">
        <v>34396220</v>
      </c>
      <c r="E69" s="705"/>
      <c r="F69" s="704">
        <v>151207956</v>
      </c>
      <c r="G69" s="705"/>
      <c r="H69" s="704">
        <v>6069230</v>
      </c>
      <c r="I69" s="705"/>
      <c r="J69" s="704">
        <v>0</v>
      </c>
      <c r="K69" s="705"/>
      <c r="L69" s="704">
        <v>0</v>
      </c>
      <c r="M69" s="705"/>
      <c r="N69" s="704">
        <v>262267902</v>
      </c>
      <c r="O69" s="705"/>
      <c r="P69" s="704">
        <v>2209163</v>
      </c>
    </row>
    <row r="70" spans="1:16" ht="12" customHeight="1">
      <c r="A70" s="672" t="s">
        <v>71</v>
      </c>
      <c r="B70" s="704">
        <v>100753547</v>
      </c>
      <c r="C70" s="705"/>
      <c r="D70" s="704">
        <v>30671.931858999993</v>
      </c>
      <c r="E70" s="705"/>
      <c r="F70" s="704">
        <v>11678015</v>
      </c>
      <c r="G70" s="705"/>
      <c r="H70" s="704">
        <v>1284.5816499999999</v>
      </c>
      <c r="I70" s="705"/>
      <c r="J70" s="704">
        <v>6804866</v>
      </c>
      <c r="K70" s="705"/>
      <c r="L70" s="704">
        <v>442.31628999999998</v>
      </c>
      <c r="M70" s="705"/>
      <c r="N70" s="704">
        <v>32038265</v>
      </c>
      <c r="O70" s="705"/>
      <c r="P70" s="704">
        <v>1670.166626</v>
      </c>
    </row>
    <row r="71" spans="1:16" ht="12" customHeight="1">
      <c r="A71" s="672" t="s">
        <v>73</v>
      </c>
      <c r="B71" s="704">
        <v>277704377</v>
      </c>
      <c r="C71" s="709"/>
      <c r="D71" s="704">
        <v>9617240.9500000011</v>
      </c>
      <c r="E71" s="709"/>
      <c r="F71" s="704">
        <v>7324571</v>
      </c>
      <c r="G71" s="709"/>
      <c r="H71" s="704">
        <v>183114.34</v>
      </c>
      <c r="I71" s="709"/>
      <c r="J71" s="704">
        <v>0</v>
      </c>
      <c r="K71" s="711"/>
      <c r="L71" s="704">
        <v>0</v>
      </c>
      <c r="M71" s="711"/>
      <c r="N71" s="704">
        <v>255843825</v>
      </c>
      <c r="O71" s="709"/>
      <c r="P71" s="704">
        <v>1796653.43</v>
      </c>
    </row>
    <row r="72" spans="1:16" ht="12" customHeight="1">
      <c r="A72" s="672" t="s">
        <v>348</v>
      </c>
      <c r="B72" s="704">
        <v>132155856</v>
      </c>
      <c r="C72" s="709"/>
      <c r="D72" s="704">
        <v>486980.73</v>
      </c>
      <c r="E72" s="709"/>
      <c r="F72" s="704">
        <v>23780554</v>
      </c>
      <c r="G72" s="709"/>
      <c r="H72" s="704">
        <v>535063</v>
      </c>
      <c r="I72" s="709"/>
      <c r="J72" s="704">
        <v>0</v>
      </c>
      <c r="K72" s="709"/>
      <c r="L72" s="704">
        <v>0</v>
      </c>
      <c r="M72" s="709"/>
      <c r="N72" s="704">
        <v>39636899</v>
      </c>
      <c r="O72" s="709"/>
      <c r="P72" s="704">
        <v>342916.18</v>
      </c>
    </row>
    <row r="73" spans="1:16" ht="8.25" customHeight="1">
      <c r="B73" s="704"/>
      <c r="C73" s="706"/>
      <c r="D73" s="704"/>
      <c r="E73" s="706"/>
      <c r="F73" s="704"/>
      <c r="G73" s="706"/>
      <c r="H73" s="704"/>
      <c r="I73" s="706"/>
      <c r="J73" s="704"/>
      <c r="K73" s="706"/>
      <c r="L73" s="704"/>
      <c r="M73" s="706"/>
      <c r="N73" s="704"/>
      <c r="O73" s="706"/>
      <c r="P73" s="704"/>
    </row>
    <row r="74" spans="1:16" ht="12" customHeight="1">
      <c r="A74" s="672" t="s">
        <v>77</v>
      </c>
      <c r="B74" s="704">
        <v>126788980</v>
      </c>
      <c r="C74" s="709"/>
      <c r="D74" s="704">
        <v>2418796.89</v>
      </c>
      <c r="E74" s="709"/>
      <c r="F74" s="704">
        <v>435750</v>
      </c>
      <c r="G74" s="709"/>
      <c r="H74" s="704">
        <v>6623.4</v>
      </c>
      <c r="I74" s="709"/>
      <c r="J74" s="704">
        <v>11372483</v>
      </c>
      <c r="K74" s="709"/>
      <c r="L74" s="704">
        <v>113724.83</v>
      </c>
      <c r="M74" s="709"/>
      <c r="N74" s="704">
        <v>67710661</v>
      </c>
      <c r="O74" s="709"/>
      <c r="P74" s="704">
        <v>427328.62</v>
      </c>
    </row>
    <row r="75" spans="1:16">
      <c r="A75" s="672" t="s">
        <v>79</v>
      </c>
      <c r="B75" s="704">
        <v>171273811</v>
      </c>
      <c r="C75" s="709"/>
      <c r="D75" s="704">
        <v>3183455.8000000003</v>
      </c>
      <c r="E75" s="709"/>
      <c r="F75" s="704">
        <v>31255386</v>
      </c>
      <c r="G75" s="709"/>
      <c r="H75" s="704">
        <v>625107.72</v>
      </c>
      <c r="I75" s="711"/>
      <c r="J75" s="704">
        <v>5144914</v>
      </c>
      <c r="K75" s="709"/>
      <c r="L75" s="704">
        <v>72543.31</v>
      </c>
      <c r="M75" s="709"/>
      <c r="N75" s="704">
        <v>87233857</v>
      </c>
      <c r="O75" s="709"/>
      <c r="P75" s="704">
        <v>544105.70000000007</v>
      </c>
    </row>
    <row r="76" spans="1:16" ht="12" customHeight="1">
      <c r="A76" s="672" t="s">
        <v>81</v>
      </c>
      <c r="B76" s="704">
        <v>12304315280</v>
      </c>
      <c r="C76" s="709">
        <v>26650663690</v>
      </c>
      <c r="D76" s="704">
        <v>492597258.4817</v>
      </c>
      <c r="E76" s="709"/>
      <c r="F76" s="704">
        <v>138655406</v>
      </c>
      <c r="G76" s="709">
        <v>879165274.00349987</v>
      </c>
      <c r="H76" s="704">
        <v>4422740.4525000006</v>
      </c>
      <c r="I76" s="709"/>
      <c r="J76" s="704">
        <v>0</v>
      </c>
      <c r="K76" s="711"/>
      <c r="L76" s="704">
        <v>0</v>
      </c>
      <c r="M76" s="711"/>
      <c r="N76" s="704">
        <v>3072880245</v>
      </c>
      <c r="O76" s="709"/>
      <c r="P76" s="704">
        <v>32162569.099649999</v>
      </c>
    </row>
    <row r="77" spans="1:16" ht="12" customHeight="1">
      <c r="A77" s="672" t="s">
        <v>83</v>
      </c>
      <c r="B77" s="704">
        <v>466996995</v>
      </c>
      <c r="C77" s="709"/>
      <c r="D77" s="704">
        <v>10519539.816500001</v>
      </c>
      <c r="E77" s="709"/>
      <c r="F77" s="704">
        <v>16737005</v>
      </c>
      <c r="G77" s="709"/>
      <c r="H77" s="704">
        <v>0</v>
      </c>
      <c r="I77" s="709"/>
      <c r="J77" s="704">
        <v>76979270</v>
      </c>
      <c r="K77" s="709"/>
      <c r="L77" s="704">
        <v>500365.255</v>
      </c>
      <c r="M77" s="709"/>
      <c r="N77" s="704">
        <v>2310302210</v>
      </c>
      <c r="O77" s="709"/>
      <c r="P77" s="704">
        <v>16643551.955</v>
      </c>
    </row>
    <row r="78" spans="1:16" ht="12" customHeight="1">
      <c r="A78" s="672" t="s">
        <v>85</v>
      </c>
      <c r="B78" s="704">
        <v>99107580</v>
      </c>
      <c r="C78" s="709"/>
      <c r="D78" s="704">
        <v>3559236.7408000003</v>
      </c>
      <c r="E78" s="709"/>
      <c r="F78" s="704">
        <v>18453932</v>
      </c>
      <c r="G78" s="709"/>
      <c r="H78" s="704">
        <v>332170.74</v>
      </c>
      <c r="I78" s="709"/>
      <c r="J78" s="704">
        <v>7481209</v>
      </c>
      <c r="K78" s="709"/>
      <c r="L78" s="704">
        <v>89774.51</v>
      </c>
      <c r="M78" s="709"/>
      <c r="N78" s="704">
        <v>44092247</v>
      </c>
      <c r="O78" s="709"/>
      <c r="P78" s="704">
        <v>167550.5386</v>
      </c>
    </row>
    <row r="79" spans="1:16" ht="8.25" customHeight="1">
      <c r="B79" s="704"/>
      <c r="C79" s="709"/>
      <c r="D79" s="704"/>
      <c r="E79" s="709"/>
      <c r="F79" s="704"/>
      <c r="G79" s="709"/>
      <c r="H79" s="704"/>
      <c r="I79" s="709"/>
      <c r="J79" s="704"/>
      <c r="K79" s="709"/>
      <c r="L79" s="704"/>
      <c r="M79" s="709"/>
      <c r="N79" s="704"/>
      <c r="O79" s="709"/>
      <c r="P79" s="704"/>
    </row>
    <row r="80" spans="1:16" ht="12" customHeight="1">
      <c r="A80" s="672" t="s">
        <v>87</v>
      </c>
      <c r="B80" s="704">
        <v>139080580</v>
      </c>
      <c r="C80" s="709"/>
      <c r="D80" s="704">
        <v>4882933.8619999988</v>
      </c>
      <c r="E80" s="709"/>
      <c r="F80" s="704">
        <v>7984750</v>
      </c>
      <c r="G80" s="709"/>
      <c r="H80" s="704">
        <v>133345.32499999998</v>
      </c>
      <c r="I80" s="709"/>
      <c r="J80" s="704">
        <v>27559017</v>
      </c>
      <c r="K80" s="709"/>
      <c r="L80" s="704">
        <v>237007.54620000001</v>
      </c>
      <c r="M80" s="709"/>
      <c r="N80" s="704">
        <v>49926043</v>
      </c>
      <c r="O80" s="709"/>
      <c r="P80" s="704">
        <v>349482.30100000004</v>
      </c>
    </row>
    <row r="81" spans="1:16" ht="12" customHeight="1">
      <c r="A81" s="672" t="s">
        <v>89</v>
      </c>
      <c r="B81" s="707">
        <v>144452272</v>
      </c>
      <c r="C81" s="705"/>
      <c r="D81" s="707">
        <v>3884096.9299999997</v>
      </c>
      <c r="E81" s="705"/>
      <c r="F81" s="707">
        <v>0</v>
      </c>
      <c r="G81" s="705"/>
      <c r="H81" s="707">
        <v>0</v>
      </c>
      <c r="I81" s="705"/>
      <c r="J81" s="707">
        <v>0</v>
      </c>
      <c r="K81" s="705"/>
      <c r="L81" s="707">
        <v>0</v>
      </c>
      <c r="M81" s="705"/>
      <c r="N81" s="707">
        <v>24587836</v>
      </c>
      <c r="O81" s="705"/>
      <c r="P81" s="707">
        <v>159076.40125000002</v>
      </c>
    </row>
    <row r="82" spans="1:16" ht="12" customHeight="1">
      <c r="A82" s="672" t="s">
        <v>91</v>
      </c>
      <c r="B82" s="704">
        <v>1497897134</v>
      </c>
      <c r="C82" s="709"/>
      <c r="D82" s="704">
        <v>49801696.839999996</v>
      </c>
      <c r="E82" s="709"/>
      <c r="F82" s="704">
        <v>111271749</v>
      </c>
      <c r="G82" s="709"/>
      <c r="H82" s="704">
        <v>734395.8600000001</v>
      </c>
      <c r="I82" s="709"/>
      <c r="J82" s="704">
        <v>72978518</v>
      </c>
      <c r="K82" s="709"/>
      <c r="L82" s="704">
        <v>525446.84</v>
      </c>
      <c r="M82" s="709"/>
      <c r="N82" s="704">
        <v>341051293</v>
      </c>
      <c r="O82" s="709"/>
      <c r="P82" s="704">
        <v>1439304</v>
      </c>
    </row>
    <row r="83" spans="1:16" ht="12" customHeight="1">
      <c r="A83" s="672" t="s">
        <v>93</v>
      </c>
      <c r="B83" s="704">
        <v>242606257</v>
      </c>
      <c r="C83" s="709"/>
      <c r="D83" s="704">
        <v>3752585.0375999999</v>
      </c>
      <c r="E83" s="709"/>
      <c r="F83" s="704">
        <v>0</v>
      </c>
      <c r="G83" s="709"/>
      <c r="H83" s="704">
        <v>0</v>
      </c>
      <c r="I83" s="709"/>
      <c r="J83" s="704">
        <v>0</v>
      </c>
      <c r="K83" s="709"/>
      <c r="L83" s="704">
        <v>0</v>
      </c>
      <c r="M83" s="709"/>
      <c r="N83" s="704">
        <v>54234590</v>
      </c>
      <c r="O83" s="709"/>
      <c r="P83" s="704">
        <v>337156.07399999996</v>
      </c>
    </row>
    <row r="84" spans="1:16" ht="12" customHeight="1">
      <c r="A84" s="672" t="s">
        <v>95</v>
      </c>
      <c r="B84" s="704">
        <v>833858782</v>
      </c>
      <c r="C84" s="705"/>
      <c r="D84" s="704">
        <v>20829414.610000003</v>
      </c>
      <c r="E84" s="705"/>
      <c r="F84" s="704">
        <v>170149272</v>
      </c>
      <c r="G84" s="705"/>
      <c r="H84" s="704">
        <v>3096716.78</v>
      </c>
      <c r="I84" s="705"/>
      <c r="J84" s="704">
        <v>47984352</v>
      </c>
      <c r="K84" s="705"/>
      <c r="L84" s="704">
        <v>1463523.09</v>
      </c>
      <c r="M84" s="705"/>
      <c r="N84" s="704">
        <v>281205595</v>
      </c>
      <c r="O84" s="705"/>
      <c r="P84" s="704">
        <v>2508817.7800000003</v>
      </c>
    </row>
    <row r="85" spans="1:16" ht="14">
      <c r="A85" s="671" t="s">
        <v>821</v>
      </c>
      <c r="B85" s="697"/>
      <c r="C85" s="683"/>
      <c r="D85" s="697"/>
      <c r="E85" s="683"/>
      <c r="F85" s="697"/>
      <c r="G85" s="683"/>
      <c r="H85" s="697"/>
      <c r="I85" s="683"/>
      <c r="J85" s="697"/>
      <c r="K85" s="683"/>
      <c r="L85" s="697"/>
      <c r="M85" s="683"/>
      <c r="N85" s="697"/>
      <c r="O85" s="683"/>
      <c r="P85" s="697"/>
    </row>
    <row r="86" spans="1:16" ht="13">
      <c r="A86" s="698" t="s">
        <v>814</v>
      </c>
      <c r="B86" s="699"/>
      <c r="C86" s="699"/>
      <c r="D86" s="699"/>
      <c r="E86" s="699"/>
      <c r="F86" s="699"/>
      <c r="G86" s="699"/>
      <c r="H86" s="699"/>
      <c r="I86" s="699"/>
      <c r="J86" s="699"/>
      <c r="K86" s="699"/>
      <c r="L86" s="699"/>
      <c r="M86" s="699"/>
      <c r="N86" s="699"/>
      <c r="O86" s="699"/>
      <c r="P86" s="699"/>
    </row>
    <row r="87" spans="1:16" ht="13">
      <c r="A87" s="698" t="s">
        <v>854</v>
      </c>
      <c r="B87" s="699"/>
      <c r="C87" s="699"/>
      <c r="D87" s="699"/>
      <c r="E87" s="699"/>
      <c r="F87" s="699"/>
      <c r="G87" s="699"/>
      <c r="H87" s="699"/>
      <c r="I87" s="699"/>
      <c r="J87" s="699"/>
      <c r="K87" s="699"/>
      <c r="L87" s="699"/>
      <c r="M87" s="699"/>
      <c r="N87" s="699"/>
      <c r="O87" s="699"/>
      <c r="P87" s="699"/>
    </row>
    <row r="88" spans="1:16" ht="11.25" customHeight="1" thickBot="1">
      <c r="A88" s="673"/>
      <c r="B88" s="673"/>
      <c r="C88" s="673"/>
      <c r="D88" s="673"/>
      <c r="E88" s="673"/>
      <c r="F88" s="673"/>
      <c r="G88" s="673"/>
      <c r="H88" s="673"/>
      <c r="I88" s="673"/>
      <c r="J88" s="673"/>
      <c r="K88" s="673"/>
      <c r="L88" s="673"/>
      <c r="M88" s="673"/>
      <c r="N88" s="673"/>
      <c r="O88" s="673"/>
      <c r="P88" s="673"/>
    </row>
    <row r="89" spans="1:16" ht="14.25" customHeight="1">
      <c r="A89" s="683"/>
      <c r="B89" s="1661" t="s">
        <v>815</v>
      </c>
      <c r="C89" s="1661"/>
      <c r="D89" s="1661"/>
      <c r="E89" s="683"/>
      <c r="F89" s="1661" t="s">
        <v>816</v>
      </c>
      <c r="G89" s="1661"/>
      <c r="H89" s="1661"/>
      <c r="I89" s="683"/>
      <c r="J89" s="1661" t="s">
        <v>817</v>
      </c>
      <c r="K89" s="1661"/>
      <c r="L89" s="1661"/>
      <c r="M89" s="683"/>
      <c r="N89" s="1661" t="s">
        <v>818</v>
      </c>
      <c r="O89" s="1661"/>
      <c r="P89" s="1661"/>
    </row>
    <row r="90" spans="1:16" ht="12" customHeight="1">
      <c r="A90" s="700" t="s">
        <v>18</v>
      </c>
      <c r="B90" s="701" t="s">
        <v>819</v>
      </c>
      <c r="C90" s="674"/>
      <c r="D90" s="701" t="s">
        <v>820</v>
      </c>
      <c r="E90" s="674"/>
      <c r="F90" s="701" t="s">
        <v>819</v>
      </c>
      <c r="G90" s="674"/>
      <c r="H90" s="701" t="s">
        <v>820</v>
      </c>
      <c r="I90" s="674"/>
      <c r="J90" s="701" t="s">
        <v>819</v>
      </c>
      <c r="K90" s="674"/>
      <c r="L90" s="701" t="s">
        <v>820</v>
      </c>
      <c r="M90" s="674"/>
      <c r="N90" s="701" t="s">
        <v>819</v>
      </c>
      <c r="O90" s="674"/>
      <c r="P90" s="701" t="s">
        <v>820</v>
      </c>
    </row>
    <row r="91" spans="1:16" ht="8.25" customHeight="1">
      <c r="B91" s="704"/>
      <c r="C91" s="706"/>
      <c r="D91" s="704"/>
      <c r="E91" s="706"/>
      <c r="F91" s="704"/>
      <c r="G91" s="706"/>
      <c r="H91" s="704"/>
      <c r="I91" s="706"/>
      <c r="J91" s="704"/>
      <c r="K91" s="706"/>
      <c r="L91" s="704"/>
      <c r="M91" s="706"/>
      <c r="N91" s="704"/>
      <c r="O91" s="706"/>
      <c r="P91" s="704"/>
    </row>
    <row r="92" spans="1:16" ht="12" customHeight="1">
      <c r="A92" s="672" t="s">
        <v>97</v>
      </c>
      <c r="B92" s="702">
        <v>170019130</v>
      </c>
      <c r="C92" s="703"/>
      <c r="D92" s="702">
        <v>5620752.6600000001</v>
      </c>
      <c r="E92" s="703"/>
      <c r="F92" s="702">
        <v>7691949</v>
      </c>
      <c r="G92" s="703"/>
      <c r="H92" s="702">
        <v>96149.440000000002</v>
      </c>
      <c r="I92" s="703"/>
      <c r="J92" s="702">
        <v>0</v>
      </c>
      <c r="K92" s="703"/>
      <c r="L92" s="702">
        <v>0</v>
      </c>
      <c r="M92" s="703"/>
      <c r="N92" s="702">
        <v>125563949</v>
      </c>
      <c r="O92" s="703"/>
      <c r="P92" s="702">
        <v>950728.83000000007</v>
      </c>
    </row>
    <row r="93" spans="1:16" ht="12" customHeight="1">
      <c r="A93" s="672" t="s">
        <v>99</v>
      </c>
      <c r="B93" s="705">
        <v>249151017</v>
      </c>
      <c r="C93" s="705"/>
      <c r="D93" s="705">
        <v>9196543.3200000003</v>
      </c>
      <c r="E93" s="705"/>
      <c r="F93" s="705">
        <v>4583194</v>
      </c>
      <c r="G93" s="705"/>
      <c r="H93" s="705">
        <v>34330.699999999997</v>
      </c>
      <c r="I93" s="705"/>
      <c r="J93" s="705">
        <v>0</v>
      </c>
      <c r="K93" s="705"/>
      <c r="L93" s="705">
        <v>0</v>
      </c>
      <c r="M93" s="705"/>
      <c r="N93" s="705">
        <v>153666593</v>
      </c>
      <c r="O93" s="705"/>
      <c r="P93" s="705">
        <v>1260160.94</v>
      </c>
    </row>
    <row r="94" spans="1:16" ht="12" customHeight="1">
      <c r="A94" s="672" t="s">
        <v>101</v>
      </c>
      <c r="B94" s="705">
        <v>140422800</v>
      </c>
      <c r="C94" s="709"/>
      <c r="D94" s="705">
        <v>5064540.7</v>
      </c>
      <c r="E94" s="709"/>
      <c r="F94" s="705">
        <v>14350800</v>
      </c>
      <c r="G94" s="709"/>
      <c r="H94" s="705">
        <v>232135.34000000003</v>
      </c>
      <c r="I94" s="709"/>
      <c r="J94" s="705">
        <v>0</v>
      </c>
      <c r="K94" s="709"/>
      <c r="L94" s="705">
        <v>0</v>
      </c>
      <c r="M94" s="709"/>
      <c r="N94" s="705">
        <v>56636303</v>
      </c>
      <c r="O94" s="709"/>
      <c r="P94" s="705">
        <v>470114.07</v>
      </c>
    </row>
    <row r="95" spans="1:16" ht="12" customHeight="1">
      <c r="A95" s="672" t="s">
        <v>103</v>
      </c>
      <c r="B95" s="705">
        <v>122331286</v>
      </c>
      <c r="C95" s="709"/>
      <c r="D95" s="705">
        <v>4231086</v>
      </c>
      <c r="E95" s="709"/>
      <c r="F95" s="705">
        <v>6480685</v>
      </c>
      <c r="G95" s="709"/>
      <c r="H95" s="705">
        <v>233304</v>
      </c>
      <c r="I95" s="709"/>
      <c r="J95" s="705">
        <v>4566290</v>
      </c>
      <c r="K95" s="709"/>
      <c r="L95" s="705">
        <v>45663</v>
      </c>
      <c r="M95" s="709"/>
      <c r="N95" s="705">
        <v>53515841</v>
      </c>
      <c r="O95" s="709"/>
      <c r="P95" s="705">
        <v>315743</v>
      </c>
    </row>
    <row r="96" spans="1:16" ht="12" customHeight="1">
      <c r="A96" s="672" t="s">
        <v>105</v>
      </c>
      <c r="B96" s="705">
        <v>94579494</v>
      </c>
      <c r="C96" s="709"/>
      <c r="D96" s="705">
        <v>3430337.24</v>
      </c>
      <c r="E96" s="709"/>
      <c r="F96" s="705">
        <v>7921912</v>
      </c>
      <c r="G96" s="709"/>
      <c r="H96" s="705">
        <v>106945.82</v>
      </c>
      <c r="I96" s="709"/>
      <c r="J96" s="705">
        <v>0</v>
      </c>
      <c r="K96" s="711"/>
      <c r="L96" s="705">
        <v>0</v>
      </c>
      <c r="M96" s="711"/>
      <c r="N96" s="705">
        <v>119080327</v>
      </c>
      <c r="O96" s="709"/>
      <c r="P96" s="705">
        <v>619507.81999999995</v>
      </c>
    </row>
    <row r="97" spans="1:16" ht="8.25" customHeight="1">
      <c r="B97" s="705"/>
      <c r="C97" s="709"/>
      <c r="D97" s="705"/>
      <c r="E97" s="709"/>
      <c r="F97" s="705"/>
      <c r="G97" s="709"/>
      <c r="H97" s="705"/>
      <c r="I97" s="709"/>
      <c r="J97" s="705"/>
      <c r="K97" s="711"/>
      <c r="L97" s="705"/>
      <c r="M97" s="711"/>
      <c r="N97" s="705"/>
      <c r="O97" s="709"/>
      <c r="P97" s="705"/>
    </row>
    <row r="98" spans="1:16" ht="12" customHeight="1">
      <c r="A98" s="672" t="s">
        <v>107</v>
      </c>
      <c r="B98" s="705">
        <v>350405480</v>
      </c>
      <c r="C98" s="709"/>
      <c r="D98" s="705">
        <v>12135347.02</v>
      </c>
      <c r="E98" s="709"/>
      <c r="F98" s="705">
        <v>48217255</v>
      </c>
      <c r="G98" s="709"/>
      <c r="H98" s="705">
        <v>882857.94</v>
      </c>
      <c r="I98" s="709"/>
      <c r="J98" s="705">
        <v>52409004</v>
      </c>
      <c r="K98" s="709"/>
      <c r="L98" s="705">
        <v>209636.03</v>
      </c>
      <c r="M98" s="709"/>
      <c r="N98" s="705">
        <v>174898556</v>
      </c>
      <c r="O98" s="709"/>
      <c r="P98" s="705">
        <v>1409185.94</v>
      </c>
    </row>
    <row r="99" spans="1:16" ht="12" customHeight="1">
      <c r="A99" s="672" t="s">
        <v>109</v>
      </c>
      <c r="B99" s="705">
        <v>237032980</v>
      </c>
      <c r="C99" s="709"/>
      <c r="D99" s="705">
        <v>8875817.620000001</v>
      </c>
      <c r="E99" s="709"/>
      <c r="F99" s="705">
        <v>23992320</v>
      </c>
      <c r="G99" s="709"/>
      <c r="H99" s="705">
        <v>479846.40000000002</v>
      </c>
      <c r="I99" s="709"/>
      <c r="J99" s="705">
        <v>0</v>
      </c>
      <c r="K99" s="711"/>
      <c r="L99" s="705">
        <v>0</v>
      </c>
      <c r="M99" s="711"/>
      <c r="N99" s="705">
        <v>97181243</v>
      </c>
      <c r="O99" s="709"/>
      <c r="P99" s="705">
        <v>739000.01</v>
      </c>
    </row>
    <row r="100" spans="1:16" ht="12" customHeight="1">
      <c r="A100" s="672" t="s">
        <v>110</v>
      </c>
      <c r="B100" s="705">
        <v>184787026</v>
      </c>
      <c r="C100" s="709"/>
      <c r="D100" s="705">
        <v>2995659.92</v>
      </c>
      <c r="E100" s="709"/>
      <c r="F100" s="705">
        <v>40593034</v>
      </c>
      <c r="G100" s="709"/>
      <c r="H100" s="705">
        <v>694140.9</v>
      </c>
      <c r="I100" s="709"/>
      <c r="J100" s="704">
        <v>0</v>
      </c>
      <c r="K100" s="711"/>
      <c r="L100" s="705">
        <v>0</v>
      </c>
      <c r="M100" s="711"/>
      <c r="N100" s="705">
        <v>65421344</v>
      </c>
      <c r="O100" s="709"/>
      <c r="P100" s="705">
        <v>445639.31</v>
      </c>
    </row>
    <row r="101" spans="1:16" ht="12" customHeight="1">
      <c r="A101" s="672" t="s">
        <v>112</v>
      </c>
      <c r="B101" s="705">
        <v>187823174</v>
      </c>
      <c r="C101" s="709"/>
      <c r="D101" s="705">
        <v>13266896.3748</v>
      </c>
      <c r="E101" s="709"/>
      <c r="F101" s="705">
        <v>43403370</v>
      </c>
      <c r="G101" s="709"/>
      <c r="H101" s="705">
        <v>1953151.65</v>
      </c>
      <c r="I101" s="709"/>
      <c r="J101" s="705">
        <v>13336660</v>
      </c>
      <c r="K101" s="709"/>
      <c r="L101" s="705">
        <v>366758.15</v>
      </c>
      <c r="M101" s="709"/>
      <c r="N101" s="705">
        <v>480184634</v>
      </c>
      <c r="O101" s="709"/>
      <c r="P101" s="705">
        <v>3085999.0871999995</v>
      </c>
    </row>
    <row r="102" spans="1:16" ht="12" customHeight="1">
      <c r="A102" s="672" t="s">
        <v>114</v>
      </c>
      <c r="B102" s="705">
        <v>393498252</v>
      </c>
      <c r="C102" s="709"/>
      <c r="D102" s="705">
        <v>14143279.526400002</v>
      </c>
      <c r="E102" s="709"/>
      <c r="F102" s="705">
        <v>29627275</v>
      </c>
      <c r="G102" s="709"/>
      <c r="H102" s="705">
        <v>1066581.8999999999</v>
      </c>
      <c r="I102" s="709"/>
      <c r="J102" s="705">
        <v>0</v>
      </c>
      <c r="K102" s="709"/>
      <c r="L102" s="705">
        <v>0</v>
      </c>
      <c r="M102" s="709"/>
      <c r="N102" s="705">
        <v>108294141</v>
      </c>
      <c r="O102" s="709"/>
      <c r="P102" s="705">
        <v>954143.13520000002</v>
      </c>
    </row>
    <row r="103" spans="1:16" ht="8.25" customHeight="1">
      <c r="B103" s="707"/>
      <c r="C103" s="706"/>
      <c r="D103" s="707"/>
      <c r="E103" s="706"/>
      <c r="F103" s="707"/>
      <c r="G103" s="706"/>
      <c r="H103" s="707"/>
      <c r="I103" s="706"/>
      <c r="J103" s="707"/>
      <c r="K103" s="706"/>
      <c r="L103" s="707"/>
      <c r="M103" s="706"/>
      <c r="N103" s="707"/>
      <c r="O103" s="706"/>
      <c r="P103" s="707"/>
    </row>
    <row r="104" spans="1:16" ht="12" customHeight="1">
      <c r="A104" s="672" t="s">
        <v>115</v>
      </c>
      <c r="B104" s="705">
        <v>311342472</v>
      </c>
      <c r="C104" s="705"/>
      <c r="D104" s="705">
        <v>6834512.8000000007</v>
      </c>
      <c r="E104" s="705"/>
      <c r="F104" s="705">
        <v>1198870</v>
      </c>
      <c r="G104" s="705"/>
      <c r="H104" s="705">
        <v>50352.54</v>
      </c>
      <c r="I104" s="705"/>
      <c r="J104" s="705">
        <v>57016125</v>
      </c>
      <c r="K104" s="705"/>
      <c r="L104" s="705">
        <v>399112.88</v>
      </c>
      <c r="M104" s="705"/>
      <c r="N104" s="705">
        <v>114817696</v>
      </c>
      <c r="O104" s="705"/>
      <c r="P104" s="705">
        <v>608205.52</v>
      </c>
    </row>
    <row r="105" spans="1:16" ht="12" customHeight="1">
      <c r="A105" s="672" t="s">
        <v>117</v>
      </c>
      <c r="B105" s="705">
        <v>317764831</v>
      </c>
      <c r="C105" s="709"/>
      <c r="D105" s="705">
        <v>12738036.177499998</v>
      </c>
      <c r="E105" s="709"/>
      <c r="F105" s="705">
        <v>98618775</v>
      </c>
      <c r="G105" s="709"/>
      <c r="H105" s="705">
        <v>1479281.625</v>
      </c>
      <c r="I105" s="709"/>
      <c r="J105" s="705">
        <v>0</v>
      </c>
      <c r="K105" s="711"/>
      <c r="L105" s="705">
        <v>0</v>
      </c>
      <c r="M105" s="711"/>
      <c r="N105" s="705">
        <v>184685926</v>
      </c>
      <c r="O105" s="709"/>
      <c r="P105" s="705">
        <v>1588298.9635999999</v>
      </c>
    </row>
    <row r="106" spans="1:16">
      <c r="A106" s="672" t="s">
        <v>119</v>
      </c>
      <c r="B106" s="705">
        <v>6328961082.6799994</v>
      </c>
      <c r="C106" s="709"/>
      <c r="D106" s="705">
        <v>214809807.52000001</v>
      </c>
      <c r="E106" s="709"/>
      <c r="F106" s="705">
        <v>0</v>
      </c>
      <c r="G106" s="709"/>
      <c r="H106" s="705">
        <v>0</v>
      </c>
      <c r="I106" s="709"/>
      <c r="J106" s="705">
        <v>0</v>
      </c>
      <c r="K106" s="711"/>
      <c r="L106" s="705">
        <v>0</v>
      </c>
      <c r="M106" s="711"/>
      <c r="N106" s="705">
        <v>1891971137</v>
      </c>
      <c r="O106" s="709"/>
      <c r="P106" s="705">
        <v>21383490.734999999</v>
      </c>
    </row>
    <row r="107" spans="1:16" ht="12" customHeight="1">
      <c r="A107" s="672" t="s">
        <v>121</v>
      </c>
      <c r="B107" s="705">
        <v>351551716</v>
      </c>
      <c r="C107" s="709"/>
      <c r="D107" s="705">
        <v>8141550.8300000001</v>
      </c>
      <c r="E107" s="709"/>
      <c r="F107" s="705">
        <v>275139003</v>
      </c>
      <c r="G107" s="709"/>
      <c r="H107" s="705">
        <v>4127085.18</v>
      </c>
      <c r="I107" s="709"/>
      <c r="J107" s="705">
        <v>0</v>
      </c>
      <c r="K107" s="709"/>
      <c r="L107" s="705">
        <v>0</v>
      </c>
      <c r="M107" s="709"/>
      <c r="N107" s="705">
        <v>0</v>
      </c>
      <c r="O107" s="709"/>
      <c r="P107" s="705">
        <v>0</v>
      </c>
    </row>
    <row r="108" spans="1:16" ht="12" customHeight="1">
      <c r="A108" s="672" t="s">
        <v>123</v>
      </c>
      <c r="B108" s="705">
        <v>68710596</v>
      </c>
      <c r="C108" s="709"/>
      <c r="D108" s="705">
        <v>1544289.3412000001</v>
      </c>
      <c r="E108" s="709"/>
      <c r="F108" s="705">
        <v>0</v>
      </c>
      <c r="G108" s="711"/>
      <c r="H108" s="705">
        <v>0</v>
      </c>
      <c r="I108" s="711"/>
      <c r="J108" s="705">
        <v>0</v>
      </c>
      <c r="K108" s="711"/>
      <c r="L108" s="705">
        <v>0</v>
      </c>
      <c r="M108" s="711"/>
      <c r="N108" s="705">
        <v>56829491</v>
      </c>
      <c r="O108" s="709"/>
      <c r="P108" s="705">
        <v>380757.58970000001</v>
      </c>
    </row>
    <row r="109" spans="1:16" ht="8.25" customHeight="1">
      <c r="B109" s="705"/>
      <c r="C109" s="709"/>
      <c r="D109" s="705"/>
      <c r="E109" s="709"/>
      <c r="F109" s="705"/>
      <c r="G109" s="711"/>
      <c r="H109" s="705"/>
      <c r="I109" s="711"/>
      <c r="J109" s="705"/>
      <c r="K109" s="711"/>
      <c r="L109" s="705"/>
      <c r="M109" s="711"/>
      <c r="N109" s="705"/>
      <c r="O109" s="709"/>
      <c r="P109" s="705"/>
    </row>
    <row r="110" spans="1:16" ht="12" customHeight="1">
      <c r="A110" s="672" t="s">
        <v>125</v>
      </c>
      <c r="B110" s="705">
        <v>71108170</v>
      </c>
      <c r="C110" s="709"/>
      <c r="D110" s="705">
        <v>2606093.1749999998</v>
      </c>
      <c r="E110" s="709"/>
      <c r="F110" s="705">
        <v>10771210</v>
      </c>
      <c r="G110" s="709"/>
      <c r="H110" s="705">
        <v>43084.84</v>
      </c>
      <c r="I110" s="709"/>
      <c r="J110" s="705">
        <v>1990350</v>
      </c>
      <c r="K110" s="709"/>
      <c r="L110" s="705">
        <v>69662.25</v>
      </c>
      <c r="M110" s="709"/>
      <c r="N110" s="705">
        <v>70649023</v>
      </c>
      <c r="O110" s="709"/>
      <c r="P110" s="705">
        <v>542004.7294999999</v>
      </c>
    </row>
    <row r="111" spans="1:16">
      <c r="A111" s="672" t="s">
        <v>22</v>
      </c>
      <c r="B111" s="705">
        <v>904456173</v>
      </c>
      <c r="C111" s="705"/>
      <c r="D111" s="705">
        <v>31594293.913999997</v>
      </c>
      <c r="E111" s="705"/>
      <c r="F111" s="705">
        <v>71744090</v>
      </c>
      <c r="G111" s="705"/>
      <c r="H111" s="705">
        <v>2044706.5649999999</v>
      </c>
      <c r="I111" s="705"/>
      <c r="J111" s="705">
        <v>0</v>
      </c>
      <c r="K111" s="705"/>
      <c r="L111" s="705">
        <v>0</v>
      </c>
      <c r="M111" s="705"/>
      <c r="N111" s="705">
        <v>329478800</v>
      </c>
      <c r="O111" s="705"/>
      <c r="P111" s="705">
        <v>3605949.0660000001</v>
      </c>
    </row>
    <row r="112" spans="1:16" ht="12" customHeight="1">
      <c r="A112" s="672" t="s">
        <v>127</v>
      </c>
      <c r="B112" s="705">
        <v>223002340</v>
      </c>
      <c r="C112" s="705"/>
      <c r="D112" s="705">
        <v>9242098.3925000001</v>
      </c>
      <c r="E112" s="705"/>
      <c r="F112" s="705">
        <v>20419513</v>
      </c>
      <c r="G112" s="705"/>
      <c r="H112" s="705">
        <v>520697.81</v>
      </c>
      <c r="I112" s="705"/>
      <c r="J112" s="705">
        <v>0</v>
      </c>
      <c r="K112" s="705"/>
      <c r="L112" s="705">
        <v>0</v>
      </c>
      <c r="M112" s="705"/>
      <c r="N112" s="705">
        <v>238322735</v>
      </c>
      <c r="O112" s="705"/>
      <c r="P112" s="705">
        <v>1739755.97</v>
      </c>
    </row>
    <row r="113" spans="1:16" ht="12" customHeight="1">
      <c r="A113" s="672" t="s">
        <v>128</v>
      </c>
      <c r="B113" s="705">
        <v>948738465</v>
      </c>
      <c r="C113" s="705"/>
      <c r="D113" s="705">
        <v>24604079</v>
      </c>
      <c r="E113" s="705"/>
      <c r="F113" s="705">
        <v>464210620</v>
      </c>
      <c r="G113" s="705"/>
      <c r="H113" s="705">
        <v>11837375</v>
      </c>
      <c r="I113" s="705"/>
      <c r="J113" s="705">
        <v>172119295</v>
      </c>
      <c r="K113" s="705"/>
      <c r="L113" s="705">
        <v>1497438</v>
      </c>
      <c r="M113" s="705"/>
      <c r="N113" s="705">
        <v>323213387</v>
      </c>
      <c r="O113" s="705"/>
      <c r="P113" s="705">
        <v>2421365</v>
      </c>
    </row>
    <row r="114" spans="1:16" ht="12" customHeight="1">
      <c r="A114" s="672" t="s">
        <v>130</v>
      </c>
      <c r="B114" s="705">
        <v>370909250</v>
      </c>
      <c r="C114" s="709"/>
      <c r="D114" s="705">
        <v>7028551.9100000001</v>
      </c>
      <c r="E114" s="709"/>
      <c r="F114" s="705">
        <v>59906364</v>
      </c>
      <c r="G114" s="709"/>
      <c r="H114" s="705">
        <v>1168177.51</v>
      </c>
      <c r="I114" s="709"/>
      <c r="J114" s="705">
        <v>7482353</v>
      </c>
      <c r="K114" s="709"/>
      <c r="L114" s="705">
        <v>48635.41</v>
      </c>
      <c r="M114" s="709"/>
      <c r="N114" s="705">
        <v>315748548</v>
      </c>
      <c r="O114" s="709"/>
      <c r="P114" s="705">
        <v>61335.210000000006</v>
      </c>
    </row>
    <row r="115" spans="1:16" ht="8.25" customHeight="1"/>
    <row r="116" spans="1:16" ht="12" customHeight="1">
      <c r="A116" s="672" t="s">
        <v>132</v>
      </c>
      <c r="B116" s="704">
        <v>163655044</v>
      </c>
      <c r="C116" s="709"/>
      <c r="D116" s="704">
        <v>2417586.27</v>
      </c>
      <c r="E116" s="704"/>
      <c r="F116" s="704">
        <v>19647961</v>
      </c>
      <c r="G116" s="704"/>
      <c r="H116" s="704">
        <v>176831.65</v>
      </c>
      <c r="I116" s="704"/>
      <c r="J116" s="704">
        <v>14682723</v>
      </c>
      <c r="K116" s="707"/>
      <c r="L116" s="704">
        <v>105715.65</v>
      </c>
      <c r="M116" s="707"/>
      <c r="N116" s="704">
        <v>122663996</v>
      </c>
      <c r="O116" s="704"/>
      <c r="P116" s="704">
        <v>985013.1</v>
      </c>
    </row>
    <row r="117" spans="1:16" ht="12" customHeight="1">
      <c r="A117" s="672" t="s">
        <v>134</v>
      </c>
      <c r="B117" s="705">
        <v>466828011</v>
      </c>
      <c r="C117" s="705"/>
      <c r="D117" s="705">
        <v>17557917.920000002</v>
      </c>
      <c r="E117" s="705"/>
      <c r="F117" s="705">
        <v>94669186</v>
      </c>
      <c r="G117" s="705"/>
      <c r="H117" s="705">
        <v>2982079.39</v>
      </c>
      <c r="I117" s="705"/>
      <c r="J117" s="705">
        <v>55000213</v>
      </c>
      <c r="K117" s="705"/>
      <c r="L117" s="705">
        <v>330001.28000000003</v>
      </c>
      <c r="M117" s="705"/>
      <c r="N117" s="705">
        <v>289209578</v>
      </c>
      <c r="O117" s="705"/>
      <c r="P117" s="705">
        <v>1874192.86</v>
      </c>
    </row>
    <row r="118" spans="1:16" ht="12" customHeight="1">
      <c r="A118" s="672" t="s">
        <v>136</v>
      </c>
      <c r="B118" s="705">
        <v>243743731</v>
      </c>
      <c r="C118" s="705"/>
      <c r="D118" s="705">
        <v>5469253.358</v>
      </c>
      <c r="E118" s="705"/>
      <c r="F118" s="705">
        <v>106787128</v>
      </c>
      <c r="G118" s="705"/>
      <c r="H118" s="705">
        <v>1655200.4840000002</v>
      </c>
      <c r="I118" s="705"/>
      <c r="J118" s="705">
        <v>67262010</v>
      </c>
      <c r="K118" s="705"/>
      <c r="L118" s="705">
        <v>269048.03999999998</v>
      </c>
      <c r="M118" s="705"/>
      <c r="N118" s="705">
        <v>178668947</v>
      </c>
      <c r="O118" s="705"/>
      <c r="P118" s="705">
        <v>1322150.2078</v>
      </c>
    </row>
    <row r="119" spans="1:16" ht="12" customHeight="1">
      <c r="A119" s="672" t="s">
        <v>138</v>
      </c>
      <c r="B119" s="705">
        <v>221497758</v>
      </c>
      <c r="C119" s="705"/>
      <c r="D119" s="705">
        <v>8241237.3500000006</v>
      </c>
      <c r="E119" s="705"/>
      <c r="F119" s="705">
        <v>56565200</v>
      </c>
      <c r="G119" s="705"/>
      <c r="H119" s="705">
        <v>1357564.8</v>
      </c>
      <c r="I119" s="705"/>
      <c r="J119" s="705">
        <v>15568139</v>
      </c>
      <c r="K119" s="705"/>
      <c r="L119" s="705">
        <v>77840.820000000007</v>
      </c>
      <c r="M119" s="705"/>
      <c r="N119" s="705">
        <v>237557724</v>
      </c>
      <c r="O119" s="705"/>
      <c r="P119" s="705">
        <v>2129514.77</v>
      </c>
    </row>
    <row r="120" spans="1:16" ht="12" customHeight="1">
      <c r="A120" s="672" t="s">
        <v>140</v>
      </c>
      <c r="B120" s="705">
        <v>1019721583.0700001</v>
      </c>
      <c r="C120" s="709"/>
      <c r="D120" s="705">
        <v>64348806.987750001</v>
      </c>
      <c r="E120" s="709"/>
      <c r="F120" s="705">
        <v>33710193.039999999</v>
      </c>
      <c r="G120" s="709"/>
      <c r="H120" s="705">
        <v>842754.826</v>
      </c>
      <c r="I120" s="709"/>
      <c r="J120" s="705">
        <v>0</v>
      </c>
      <c r="K120" s="711"/>
      <c r="L120" s="705">
        <v>0</v>
      </c>
      <c r="M120" s="711"/>
      <c r="N120" s="705">
        <v>413002803</v>
      </c>
      <c r="O120" s="709"/>
      <c r="P120" s="705">
        <v>3547974.0342200003</v>
      </c>
    </row>
    <row r="121" spans="1:16" ht="8.25" customHeight="1">
      <c r="B121" s="705"/>
      <c r="C121" s="709"/>
      <c r="D121" s="705"/>
      <c r="E121" s="709"/>
      <c r="F121" s="705"/>
      <c r="G121" s="709"/>
      <c r="H121" s="705"/>
      <c r="I121" s="709"/>
      <c r="J121" s="705"/>
      <c r="K121" s="711"/>
      <c r="L121" s="705"/>
      <c r="M121" s="711"/>
      <c r="N121" s="705"/>
      <c r="O121" s="709"/>
      <c r="P121" s="705"/>
    </row>
    <row r="122" spans="1:16" ht="12" customHeight="1">
      <c r="A122" s="672" t="s">
        <v>142</v>
      </c>
      <c r="B122" s="705">
        <v>1121990130</v>
      </c>
      <c r="C122" s="705"/>
      <c r="D122" s="705">
        <v>69724905.523999989</v>
      </c>
      <c r="E122" s="705"/>
      <c r="F122" s="705">
        <v>0</v>
      </c>
      <c r="G122" s="705"/>
      <c r="H122" s="705">
        <v>0</v>
      </c>
      <c r="I122" s="705"/>
      <c r="J122" s="705">
        <v>177064650</v>
      </c>
      <c r="K122" s="705"/>
      <c r="L122" s="705">
        <v>885323.25</v>
      </c>
      <c r="M122" s="705"/>
      <c r="N122" s="705">
        <v>575948</v>
      </c>
      <c r="O122" s="705"/>
      <c r="P122" s="705">
        <v>37206.2408</v>
      </c>
    </row>
    <row r="123" spans="1:16" ht="12" customHeight="1">
      <c r="A123" s="672" t="s">
        <v>144</v>
      </c>
      <c r="B123" s="705">
        <v>59679427</v>
      </c>
      <c r="C123" s="709"/>
      <c r="D123" s="705">
        <v>2266439.41</v>
      </c>
      <c r="E123" s="709"/>
      <c r="F123" s="705">
        <v>2813507</v>
      </c>
      <c r="G123" s="709"/>
      <c r="H123" s="705">
        <v>28135.07</v>
      </c>
      <c r="I123" s="709"/>
      <c r="J123" s="705">
        <v>0</v>
      </c>
      <c r="K123" s="711"/>
      <c r="L123" s="705">
        <v>0</v>
      </c>
      <c r="M123" s="711"/>
      <c r="N123" s="705">
        <v>1935274114</v>
      </c>
      <c r="O123" s="709"/>
      <c r="P123" s="705">
        <v>13757889.2301</v>
      </c>
    </row>
    <row r="124" spans="1:16" ht="12" customHeight="1">
      <c r="A124" s="672" t="s">
        <v>146</v>
      </c>
      <c r="B124" s="705">
        <v>79995247</v>
      </c>
      <c r="C124" s="705"/>
      <c r="D124" s="705">
        <v>3757881.19</v>
      </c>
      <c r="E124" s="705"/>
      <c r="F124" s="705">
        <v>45584746</v>
      </c>
      <c r="G124" s="705"/>
      <c r="H124" s="705">
        <v>1107709.33</v>
      </c>
      <c r="I124" s="705"/>
      <c r="J124" s="705">
        <v>7200430</v>
      </c>
      <c r="K124" s="705"/>
      <c r="L124" s="705">
        <v>72004.3</v>
      </c>
      <c r="M124" s="705"/>
      <c r="N124" s="705">
        <v>123954511</v>
      </c>
      <c r="O124" s="705"/>
      <c r="P124" s="705">
        <v>766478.72</v>
      </c>
    </row>
    <row r="125" spans="1:16" ht="12" customHeight="1">
      <c r="A125" s="672" t="s">
        <v>148</v>
      </c>
      <c r="B125" s="705">
        <v>437842645</v>
      </c>
      <c r="C125" s="709"/>
      <c r="D125" s="705">
        <v>8333650.2199999997</v>
      </c>
      <c r="E125" s="709"/>
      <c r="F125" s="705">
        <v>59864000</v>
      </c>
      <c r="G125" s="709"/>
      <c r="H125" s="705">
        <v>1197280</v>
      </c>
      <c r="I125" s="709"/>
      <c r="J125" s="705">
        <v>21279980</v>
      </c>
      <c r="K125" s="709"/>
      <c r="L125" s="705">
        <v>808639.24</v>
      </c>
      <c r="M125" s="709"/>
      <c r="N125" s="705">
        <v>265251375</v>
      </c>
      <c r="O125" s="709"/>
      <c r="P125" s="705">
        <v>1541631.56</v>
      </c>
    </row>
    <row r="126" spans="1:16" ht="12" customHeight="1">
      <c r="A126" s="672" t="s">
        <v>150</v>
      </c>
      <c r="B126" s="705">
        <v>552798635</v>
      </c>
      <c r="C126" s="709"/>
      <c r="D126" s="705">
        <v>1982814.0924250002</v>
      </c>
      <c r="E126" s="709"/>
      <c r="F126" s="705">
        <v>114040895</v>
      </c>
      <c r="G126" s="709"/>
      <c r="H126" s="705">
        <v>23378.383475000002</v>
      </c>
      <c r="I126" s="709"/>
      <c r="J126" s="705">
        <v>0</v>
      </c>
      <c r="K126" s="709"/>
      <c r="L126" s="705">
        <v>0</v>
      </c>
      <c r="M126" s="709"/>
      <c r="N126" s="705">
        <v>1053854970</v>
      </c>
      <c r="O126" s="709"/>
      <c r="P126" s="705">
        <v>64096.003200000006</v>
      </c>
    </row>
    <row r="127" spans="1:16" ht="14">
      <c r="A127" s="671" t="s">
        <v>821</v>
      </c>
      <c r="B127" s="697"/>
      <c r="C127" s="683"/>
      <c r="D127" s="697"/>
      <c r="E127" s="683"/>
      <c r="F127" s="697"/>
      <c r="G127" s="683"/>
      <c r="H127" s="697"/>
      <c r="I127" s="683"/>
      <c r="J127" s="697"/>
      <c r="K127" s="683"/>
      <c r="L127" s="697"/>
      <c r="M127" s="683"/>
      <c r="N127" s="697"/>
      <c r="O127" s="683"/>
      <c r="P127" s="697"/>
    </row>
    <row r="128" spans="1:16" s="612" customFormat="1" ht="13">
      <c r="A128" s="698" t="s">
        <v>814</v>
      </c>
      <c r="B128" s="698"/>
      <c r="C128" s="698"/>
      <c r="D128" s="698"/>
      <c r="E128" s="698"/>
      <c r="F128" s="698"/>
      <c r="G128" s="698"/>
      <c r="H128" s="698"/>
      <c r="I128" s="698"/>
      <c r="J128" s="698"/>
      <c r="K128" s="698"/>
      <c r="L128" s="698"/>
      <c r="M128" s="698"/>
      <c r="N128" s="698"/>
      <c r="O128" s="698"/>
      <c r="P128" s="698"/>
    </row>
    <row r="129" spans="1:16" s="612" customFormat="1" ht="13">
      <c r="A129" s="698" t="s">
        <v>854</v>
      </c>
      <c r="B129" s="698"/>
      <c r="C129" s="698"/>
      <c r="D129" s="698"/>
      <c r="E129" s="698"/>
      <c r="F129" s="698"/>
      <c r="G129" s="698"/>
      <c r="H129" s="698"/>
      <c r="I129" s="698"/>
      <c r="J129" s="698"/>
      <c r="K129" s="698"/>
      <c r="L129" s="698"/>
      <c r="M129" s="698"/>
      <c r="N129" s="698"/>
      <c r="O129" s="698"/>
      <c r="P129" s="698"/>
    </row>
    <row r="130" spans="1:16" ht="11.25" customHeight="1" thickBot="1">
      <c r="A130" s="673"/>
      <c r="B130" s="673"/>
      <c r="C130" s="673"/>
      <c r="D130" s="673"/>
      <c r="E130" s="673"/>
      <c r="F130" s="673"/>
      <c r="G130" s="673"/>
      <c r="H130" s="673"/>
      <c r="I130" s="673"/>
      <c r="J130" s="673"/>
      <c r="K130" s="673"/>
      <c r="L130" s="673"/>
      <c r="M130" s="673"/>
      <c r="N130" s="673"/>
      <c r="O130" s="673"/>
      <c r="P130" s="673"/>
    </row>
    <row r="131" spans="1:16" ht="14.25" customHeight="1">
      <c r="A131" s="683"/>
      <c r="B131" s="1661" t="s">
        <v>815</v>
      </c>
      <c r="C131" s="1661"/>
      <c r="D131" s="1661"/>
      <c r="E131" s="683"/>
      <c r="F131" s="1661" t="s">
        <v>816</v>
      </c>
      <c r="G131" s="1661"/>
      <c r="H131" s="1661"/>
      <c r="I131" s="683"/>
      <c r="J131" s="1661" t="s">
        <v>817</v>
      </c>
      <c r="K131" s="1661"/>
      <c r="L131" s="1661"/>
      <c r="M131" s="683"/>
      <c r="N131" s="1661" t="s">
        <v>818</v>
      </c>
      <c r="O131" s="1661"/>
      <c r="P131" s="1661"/>
    </row>
    <row r="132" spans="1:16" ht="12" customHeight="1">
      <c r="A132" s="700" t="s">
        <v>18</v>
      </c>
      <c r="B132" s="701" t="s">
        <v>819</v>
      </c>
      <c r="C132" s="674"/>
      <c r="D132" s="701" t="s">
        <v>820</v>
      </c>
      <c r="E132" s="674"/>
      <c r="F132" s="701" t="s">
        <v>819</v>
      </c>
      <c r="G132" s="674"/>
      <c r="H132" s="701" t="s">
        <v>820</v>
      </c>
      <c r="I132" s="674"/>
      <c r="J132" s="701" t="s">
        <v>819</v>
      </c>
      <c r="K132" s="674"/>
      <c r="L132" s="701" t="s">
        <v>820</v>
      </c>
      <c r="M132" s="674"/>
      <c r="N132" s="701" t="s">
        <v>819</v>
      </c>
      <c r="O132" s="674"/>
      <c r="P132" s="701" t="s">
        <v>820</v>
      </c>
    </row>
    <row r="133" spans="1:16" ht="8.25" customHeight="1">
      <c r="B133" s="705"/>
      <c r="C133" s="706"/>
      <c r="D133" s="705"/>
      <c r="E133" s="706"/>
      <c r="F133" s="705"/>
      <c r="G133" s="706"/>
      <c r="H133" s="705"/>
      <c r="I133" s="706"/>
      <c r="J133" s="705"/>
      <c r="K133" s="706"/>
      <c r="L133" s="705"/>
      <c r="M133" s="706"/>
      <c r="N133" s="705"/>
      <c r="O133" s="706"/>
      <c r="P133" s="705"/>
    </row>
    <row r="134" spans="1:16" ht="12" customHeight="1">
      <c r="A134" s="672" t="s">
        <v>152</v>
      </c>
      <c r="B134" s="702">
        <v>631505920</v>
      </c>
      <c r="C134" s="703"/>
      <c r="D134" s="702">
        <v>10457857</v>
      </c>
      <c r="E134" s="703"/>
      <c r="F134" s="702">
        <v>189781360</v>
      </c>
      <c r="G134" s="703"/>
      <c r="H134" s="702">
        <v>2941611</v>
      </c>
      <c r="I134" s="703"/>
      <c r="J134" s="702">
        <v>0</v>
      </c>
      <c r="K134" s="703"/>
      <c r="L134" s="702">
        <v>0</v>
      </c>
      <c r="M134" s="703"/>
      <c r="N134" s="702">
        <v>260577420</v>
      </c>
      <c r="O134" s="703"/>
      <c r="P134" s="702">
        <v>1652602.1400000001</v>
      </c>
    </row>
    <row r="135" spans="1:16" ht="12" customHeight="1">
      <c r="A135" s="672" t="s">
        <v>154</v>
      </c>
      <c r="B135" s="705">
        <v>190592630</v>
      </c>
      <c r="C135" s="709"/>
      <c r="D135" s="705">
        <v>5581420.2700000005</v>
      </c>
      <c r="E135" s="709"/>
      <c r="F135" s="705">
        <v>5879860</v>
      </c>
      <c r="G135" s="709"/>
      <c r="H135" s="705">
        <v>88197.9</v>
      </c>
      <c r="I135" s="709"/>
      <c r="J135" s="705">
        <v>12182200</v>
      </c>
      <c r="K135" s="709"/>
      <c r="L135" s="705">
        <v>49904</v>
      </c>
      <c r="M135" s="709"/>
      <c r="N135" s="705">
        <v>71939940</v>
      </c>
      <c r="O135" s="709"/>
      <c r="P135" s="705">
        <v>482590.01</v>
      </c>
    </row>
    <row r="136" spans="1:16" ht="12" customHeight="1">
      <c r="A136" s="672" t="s">
        <v>156</v>
      </c>
      <c r="B136" s="705">
        <v>428230181</v>
      </c>
      <c r="C136" s="709"/>
      <c r="D136" s="705">
        <v>6786466.0800000001</v>
      </c>
      <c r="E136" s="709"/>
      <c r="F136" s="705">
        <v>42253130</v>
      </c>
      <c r="G136" s="709"/>
      <c r="H136" s="705">
        <v>595769.13</v>
      </c>
      <c r="I136" s="709"/>
      <c r="J136" s="705">
        <v>29090089</v>
      </c>
      <c r="K136" s="709"/>
      <c r="L136" s="705">
        <v>829067.54</v>
      </c>
      <c r="M136" s="709"/>
      <c r="N136" s="705">
        <v>1371641421</v>
      </c>
      <c r="O136" s="709"/>
      <c r="P136" s="705">
        <v>9464915.6899999995</v>
      </c>
    </row>
    <row r="137" spans="1:16" ht="12" customHeight="1">
      <c r="A137" s="672" t="s">
        <v>158</v>
      </c>
      <c r="B137" s="705">
        <v>294539841</v>
      </c>
      <c r="C137" s="709"/>
      <c r="D137" s="705">
        <v>6589405.5700000003</v>
      </c>
      <c r="E137" s="709"/>
      <c r="F137" s="705">
        <v>149392120</v>
      </c>
      <c r="G137" s="709"/>
      <c r="H137" s="705">
        <v>2240881.7999999998</v>
      </c>
      <c r="I137" s="709"/>
      <c r="J137" s="705">
        <v>67368180</v>
      </c>
      <c r="K137" s="709"/>
      <c r="L137" s="705">
        <v>377261.81</v>
      </c>
      <c r="M137" s="709"/>
      <c r="N137" s="705">
        <v>359338718</v>
      </c>
      <c r="O137" s="709"/>
      <c r="P137" s="705">
        <v>1947367.7400000002</v>
      </c>
    </row>
    <row r="138" spans="1:16" ht="12" customHeight="1">
      <c r="A138" s="672" t="s">
        <v>160</v>
      </c>
      <c r="B138" s="705">
        <v>774273745</v>
      </c>
      <c r="C138" s="709"/>
      <c r="D138" s="705">
        <v>26462135.650000002</v>
      </c>
      <c r="E138" s="709"/>
      <c r="F138" s="705">
        <v>3712245</v>
      </c>
      <c r="G138" s="709"/>
      <c r="H138" s="705">
        <v>148489.79999999999</v>
      </c>
      <c r="I138" s="709"/>
      <c r="J138" s="705">
        <v>0</v>
      </c>
      <c r="K138" s="711"/>
      <c r="L138" s="705">
        <v>0</v>
      </c>
      <c r="M138" s="711"/>
      <c r="N138" s="705">
        <v>443273184</v>
      </c>
      <c r="O138" s="709"/>
      <c r="P138" s="705">
        <v>3525286.35</v>
      </c>
    </row>
    <row r="139" spans="1:16" ht="12" customHeight="1"/>
    <row r="140" spans="1:16" ht="12.75" customHeight="1">
      <c r="A140" s="677" t="s">
        <v>19</v>
      </c>
      <c r="B140" s="677">
        <v>76347804669.240005</v>
      </c>
      <c r="C140" s="677"/>
      <c r="D140" s="677">
        <v>2714246287.5698733</v>
      </c>
      <c r="E140" s="677"/>
      <c r="F140" s="677">
        <v>7519458050.54</v>
      </c>
      <c r="G140" s="677"/>
      <c r="H140" s="677">
        <v>137184477.84852505</v>
      </c>
      <c r="I140" s="677"/>
      <c r="J140" s="677">
        <v>1344289010.71</v>
      </c>
      <c r="K140" s="677"/>
      <c r="L140" s="677">
        <v>14010085.905490002</v>
      </c>
      <c r="M140" s="677"/>
      <c r="N140" s="677">
        <v>39525519269.5</v>
      </c>
      <c r="O140" s="677"/>
      <c r="P140" s="677">
        <v>308631758.55084604</v>
      </c>
    </row>
    <row r="141" spans="1:16" ht="12" customHeight="1">
      <c r="A141" s="694"/>
      <c r="B141" s="694"/>
      <c r="C141" s="694"/>
      <c r="D141" s="694"/>
      <c r="E141" s="694"/>
      <c r="F141" s="694"/>
      <c r="G141" s="694"/>
      <c r="H141" s="694"/>
      <c r="I141" s="694"/>
      <c r="J141" s="694"/>
      <c r="K141" s="694"/>
      <c r="L141" s="694"/>
      <c r="M141" s="694"/>
      <c r="N141" s="694"/>
      <c r="O141" s="694"/>
      <c r="P141" s="694"/>
    </row>
    <row r="142" spans="1:16" ht="12.75" customHeight="1" thickBot="1">
      <c r="A142" s="693"/>
      <c r="B142" s="712"/>
      <c r="C142" s="712"/>
      <c r="D142" s="712"/>
      <c r="E142" s="712"/>
      <c r="F142" s="712"/>
      <c r="G142" s="712"/>
      <c r="H142" s="712"/>
      <c r="I142" s="712"/>
      <c r="J142" s="712"/>
      <c r="K142" s="712"/>
      <c r="L142" s="712"/>
      <c r="M142" s="712"/>
      <c r="N142" s="712"/>
      <c r="O142" s="712"/>
      <c r="P142" s="712"/>
    </row>
    <row r="143" spans="1:16" ht="14.25" customHeight="1">
      <c r="A143" s="683"/>
      <c r="B143" s="1661" t="s">
        <v>815</v>
      </c>
      <c r="C143" s="1661"/>
      <c r="D143" s="1661"/>
      <c r="E143" s="683"/>
      <c r="F143" s="1661" t="s">
        <v>816</v>
      </c>
      <c r="G143" s="1661"/>
      <c r="H143" s="1661"/>
      <c r="I143" s="683"/>
      <c r="J143" s="1661" t="s">
        <v>817</v>
      </c>
      <c r="K143" s="1661"/>
      <c r="L143" s="1661"/>
      <c r="M143" s="683"/>
      <c r="N143" s="1661" t="s">
        <v>818</v>
      </c>
      <c r="O143" s="1661"/>
      <c r="P143" s="1661"/>
    </row>
    <row r="144" spans="1:16" ht="12" customHeight="1">
      <c r="A144" s="700" t="s">
        <v>20</v>
      </c>
      <c r="B144" s="701" t="s">
        <v>819</v>
      </c>
      <c r="C144" s="674"/>
      <c r="D144" s="701" t="s">
        <v>820</v>
      </c>
      <c r="E144" s="674"/>
      <c r="F144" s="701" t="s">
        <v>819</v>
      </c>
      <c r="G144" s="674"/>
      <c r="H144" s="701" t="s">
        <v>820</v>
      </c>
      <c r="I144" s="674"/>
      <c r="J144" s="701" t="s">
        <v>819</v>
      </c>
      <c r="K144" s="674"/>
      <c r="L144" s="701" t="s">
        <v>820</v>
      </c>
      <c r="M144" s="674"/>
      <c r="N144" s="701" t="s">
        <v>819</v>
      </c>
      <c r="O144" s="674"/>
      <c r="P144" s="701" t="s">
        <v>820</v>
      </c>
    </row>
    <row r="145" spans="1:16" ht="8.25" customHeight="1"/>
    <row r="146" spans="1:16" ht="12" customHeight="1">
      <c r="A146" s="672" t="s">
        <v>864</v>
      </c>
      <c r="B146" s="713">
        <v>1779120378.3199999</v>
      </c>
      <c r="C146" s="709"/>
      <c r="D146" s="702">
        <v>74296234.260000005</v>
      </c>
      <c r="E146" s="704"/>
      <c r="F146" s="713">
        <v>9818870</v>
      </c>
      <c r="G146" s="702"/>
      <c r="H146" s="713">
        <v>441849.15</v>
      </c>
      <c r="I146" s="702"/>
      <c r="J146" s="713">
        <v>0</v>
      </c>
      <c r="K146" s="702"/>
      <c r="L146" s="713">
        <v>0</v>
      </c>
      <c r="M146" s="702"/>
      <c r="N146" s="713">
        <v>642118336</v>
      </c>
      <c r="O146" s="702"/>
      <c r="P146" s="702">
        <v>7287088.4134999998</v>
      </c>
    </row>
    <row r="147" spans="1:16" ht="12" customHeight="1">
      <c r="A147" s="672" t="s">
        <v>167</v>
      </c>
      <c r="B147" s="704">
        <v>119452573</v>
      </c>
      <c r="C147" s="709"/>
      <c r="D147" s="704">
        <v>2854814.3104000003</v>
      </c>
      <c r="E147" s="709"/>
      <c r="F147" s="704">
        <v>9880160</v>
      </c>
      <c r="G147" s="709"/>
      <c r="H147" s="704">
        <v>691611.2</v>
      </c>
      <c r="I147" s="709"/>
      <c r="J147" s="707">
        <v>0</v>
      </c>
      <c r="K147" s="711"/>
      <c r="L147" s="711">
        <v>0</v>
      </c>
      <c r="M147" s="711"/>
      <c r="N147" s="704">
        <v>22739173</v>
      </c>
      <c r="O147" s="709"/>
      <c r="P147" s="704">
        <v>266048.32410000003</v>
      </c>
    </row>
    <row r="148" spans="1:16" ht="12" customHeight="1">
      <c r="A148" s="672" t="s">
        <v>169</v>
      </c>
      <c r="B148" s="704">
        <v>35983511</v>
      </c>
      <c r="C148" s="705"/>
      <c r="D148" s="704">
        <v>2075807.2000000002</v>
      </c>
      <c r="E148" s="705"/>
      <c r="F148" s="704">
        <v>7747000</v>
      </c>
      <c r="G148" s="705"/>
      <c r="H148" s="704">
        <v>329247.5</v>
      </c>
      <c r="I148" s="705"/>
      <c r="J148" s="707">
        <v>0</v>
      </c>
      <c r="K148" s="711"/>
      <c r="L148" s="711">
        <v>0</v>
      </c>
      <c r="M148" s="711"/>
      <c r="N148" s="704">
        <v>283769.03999999998</v>
      </c>
      <c r="O148" s="709"/>
      <c r="P148" s="704">
        <v>4274.6000000000004</v>
      </c>
    </row>
    <row r="149" spans="1:16" ht="12" customHeight="1">
      <c r="A149" s="672" t="s">
        <v>171</v>
      </c>
      <c r="B149" s="704">
        <v>382105057</v>
      </c>
      <c r="C149" s="709"/>
      <c r="D149" s="704">
        <v>12716115.259999998</v>
      </c>
      <c r="E149" s="709"/>
      <c r="F149" s="704">
        <v>7827125</v>
      </c>
      <c r="G149" s="705"/>
      <c r="H149" s="704">
        <v>328739.34000000003</v>
      </c>
      <c r="I149" s="705"/>
      <c r="J149" s="707">
        <v>0</v>
      </c>
      <c r="K149" s="711"/>
      <c r="L149" s="711">
        <v>0</v>
      </c>
      <c r="M149" s="711"/>
      <c r="N149" s="704">
        <v>152810590</v>
      </c>
      <c r="O149" s="709"/>
      <c r="P149" s="704">
        <v>1459388.75</v>
      </c>
    </row>
    <row r="150" spans="1:16" ht="12" customHeight="1">
      <c r="A150" s="672" t="s">
        <v>116</v>
      </c>
      <c r="B150" s="704">
        <v>2349824115</v>
      </c>
      <c r="C150" s="709"/>
      <c r="D150" s="704">
        <v>92416537.395799994</v>
      </c>
      <c r="E150" s="709"/>
      <c r="F150" s="704">
        <v>94642761</v>
      </c>
      <c r="G150" s="705"/>
      <c r="H150" s="704">
        <v>3028568.352</v>
      </c>
      <c r="I150" s="705"/>
      <c r="J150" s="707">
        <v>0</v>
      </c>
      <c r="K150" s="711"/>
      <c r="L150" s="711">
        <v>0</v>
      </c>
      <c r="M150" s="711"/>
      <c r="N150" s="704">
        <v>1034682340</v>
      </c>
      <c r="O150" s="709"/>
      <c r="P150" s="704">
        <v>10875151.834799999</v>
      </c>
    </row>
    <row r="151" spans="1:16" ht="8.25" customHeight="1">
      <c r="B151" s="704"/>
      <c r="C151" s="709"/>
      <c r="D151" s="704"/>
      <c r="E151" s="709"/>
      <c r="F151" s="704"/>
      <c r="G151" s="705"/>
      <c r="H151" s="704"/>
      <c r="I151" s="705"/>
      <c r="J151" s="707"/>
      <c r="K151" s="711"/>
      <c r="L151" s="711"/>
      <c r="M151" s="711"/>
      <c r="N151" s="704"/>
      <c r="O151" s="709"/>
      <c r="P151" s="704"/>
    </row>
    <row r="152" spans="1:16" ht="12" customHeight="1">
      <c r="A152" s="672" t="s">
        <v>118</v>
      </c>
      <c r="B152" s="704">
        <v>145966747</v>
      </c>
      <c r="C152" s="711"/>
      <c r="D152" s="704">
        <v>5108836.1449999996</v>
      </c>
      <c r="E152" s="707"/>
      <c r="F152" s="704">
        <v>5581577</v>
      </c>
      <c r="G152" s="705"/>
      <c r="H152" s="704">
        <v>111631.54</v>
      </c>
      <c r="I152" s="705"/>
      <c r="J152" s="707">
        <v>0</v>
      </c>
      <c r="K152" s="711"/>
      <c r="L152" s="711">
        <v>0</v>
      </c>
      <c r="M152" s="711"/>
      <c r="N152" s="704">
        <v>37751450</v>
      </c>
      <c r="O152" s="707"/>
      <c r="P152" s="704">
        <v>453017.4</v>
      </c>
    </row>
    <row r="153" spans="1:16" ht="12" customHeight="1">
      <c r="A153" s="672" t="s">
        <v>120</v>
      </c>
      <c r="B153" s="704">
        <v>54855375</v>
      </c>
      <c r="C153" s="709"/>
      <c r="D153" s="704">
        <v>1668330.6059999999</v>
      </c>
      <c r="E153" s="704"/>
      <c r="F153" s="704">
        <v>124657590</v>
      </c>
      <c r="G153" s="705"/>
      <c r="H153" s="704">
        <v>3440549.4839999997</v>
      </c>
      <c r="I153" s="705"/>
      <c r="J153" s="707">
        <v>0</v>
      </c>
      <c r="K153" s="711"/>
      <c r="L153" s="711">
        <v>0</v>
      </c>
      <c r="M153" s="711"/>
      <c r="N153" s="704">
        <v>240961221</v>
      </c>
      <c r="O153" s="704"/>
      <c r="P153" s="704">
        <v>1927689.7680000002</v>
      </c>
    </row>
    <row r="154" spans="1:16" ht="12" customHeight="1">
      <c r="A154" s="672" t="s">
        <v>122</v>
      </c>
      <c r="B154" s="704">
        <v>350622643</v>
      </c>
      <c r="C154" s="709"/>
      <c r="D154" s="704">
        <v>11950120.610000001</v>
      </c>
      <c r="E154" s="704"/>
      <c r="F154" s="704">
        <v>112709350</v>
      </c>
      <c r="G154" s="705"/>
      <c r="H154" s="704">
        <v>1690640.25</v>
      </c>
      <c r="I154" s="705"/>
      <c r="J154" s="707">
        <v>0</v>
      </c>
      <c r="K154" s="711"/>
      <c r="L154" s="711">
        <v>0</v>
      </c>
      <c r="M154" s="711"/>
      <c r="N154" s="704">
        <v>120928855</v>
      </c>
      <c r="O154" s="704"/>
      <c r="P154" s="704">
        <v>971843.05</v>
      </c>
    </row>
    <row r="155" spans="1:16" ht="12" customHeight="1">
      <c r="A155" s="672" t="s">
        <v>124</v>
      </c>
      <c r="B155" s="704">
        <v>40137702</v>
      </c>
      <c r="C155" s="709"/>
      <c r="D155" s="704">
        <v>2001958.909</v>
      </c>
      <c r="E155" s="704"/>
      <c r="F155" s="704">
        <v>9196831</v>
      </c>
      <c r="G155" s="705"/>
      <c r="H155" s="704">
        <v>459841.55</v>
      </c>
      <c r="I155" s="705"/>
      <c r="J155" s="707">
        <v>0</v>
      </c>
      <c r="K155" s="711"/>
      <c r="L155" s="711">
        <v>0</v>
      </c>
      <c r="M155" s="711"/>
      <c r="N155" s="704">
        <v>23344384</v>
      </c>
      <c r="O155" s="704"/>
      <c r="P155" s="704">
        <v>222516.96949999998</v>
      </c>
    </row>
    <row r="156" spans="1:16" ht="12" customHeight="1">
      <c r="A156" s="672" t="s">
        <v>859</v>
      </c>
      <c r="B156" s="704">
        <v>355371444</v>
      </c>
      <c r="C156" s="705"/>
      <c r="D156" s="704">
        <v>12569166.48</v>
      </c>
      <c r="E156" s="705"/>
      <c r="F156" s="704">
        <v>968682</v>
      </c>
      <c r="G156" s="705"/>
      <c r="H156" s="704">
        <v>40006.58</v>
      </c>
      <c r="I156" s="705"/>
      <c r="J156" s="704">
        <v>0</v>
      </c>
      <c r="K156" s="705"/>
      <c r="L156" s="704">
        <v>0</v>
      </c>
      <c r="M156" s="705"/>
      <c r="N156" s="704">
        <v>119090933</v>
      </c>
      <c r="O156" s="705"/>
      <c r="P156" s="704">
        <v>1399318.46</v>
      </c>
    </row>
    <row r="157" spans="1:16" ht="8.25" customHeight="1">
      <c r="B157" s="704"/>
      <c r="C157" s="705"/>
      <c r="D157" s="704"/>
      <c r="E157" s="705"/>
      <c r="F157" s="704"/>
      <c r="G157" s="705"/>
      <c r="H157" s="704"/>
      <c r="I157" s="705"/>
      <c r="J157" s="704"/>
      <c r="K157" s="705"/>
      <c r="L157" s="704"/>
      <c r="M157" s="705"/>
      <c r="N157" s="704"/>
      <c r="O157" s="705"/>
      <c r="P157" s="704"/>
    </row>
    <row r="158" spans="1:16" ht="12" customHeight="1">
      <c r="A158" s="672" t="s">
        <v>417</v>
      </c>
      <c r="B158" s="704">
        <v>155919964</v>
      </c>
      <c r="C158" s="705"/>
      <c r="D158" s="704">
        <v>7795998.2000000002</v>
      </c>
      <c r="E158" s="705"/>
      <c r="F158" s="704">
        <v>0</v>
      </c>
      <c r="G158" s="705"/>
      <c r="H158" s="704">
        <v>0</v>
      </c>
      <c r="I158" s="705"/>
      <c r="J158" s="704">
        <v>0</v>
      </c>
      <c r="K158" s="705"/>
      <c r="L158" s="704">
        <v>0</v>
      </c>
      <c r="M158" s="705"/>
      <c r="N158" s="704">
        <v>0</v>
      </c>
      <c r="O158" s="705"/>
      <c r="P158" s="704">
        <v>0</v>
      </c>
    </row>
    <row r="159" spans="1:16" ht="12" customHeight="1">
      <c r="A159" s="672" t="s">
        <v>21</v>
      </c>
      <c r="B159" s="704">
        <v>67729504</v>
      </c>
      <c r="C159" s="705"/>
      <c r="D159" s="704">
        <v>3047827.68</v>
      </c>
      <c r="E159" s="705"/>
      <c r="F159" s="704">
        <v>1205332</v>
      </c>
      <c r="G159" s="705"/>
      <c r="H159" s="704">
        <v>24106.639999999999</v>
      </c>
      <c r="I159" s="705"/>
      <c r="J159" s="704">
        <v>0</v>
      </c>
      <c r="K159" s="705"/>
      <c r="L159" s="704">
        <v>0</v>
      </c>
      <c r="M159" s="705"/>
      <c r="N159" s="704">
        <v>8390726</v>
      </c>
      <c r="O159" s="705"/>
      <c r="P159" s="704">
        <v>86537.669199999989</v>
      </c>
    </row>
    <row r="160" spans="1:16" ht="12" customHeight="1">
      <c r="A160" s="672" t="s">
        <v>129</v>
      </c>
      <c r="B160" s="704">
        <v>396802006</v>
      </c>
      <c r="C160" s="705"/>
      <c r="D160" s="704">
        <v>13491268.203999998</v>
      </c>
      <c r="E160" s="705"/>
      <c r="F160" s="704">
        <v>16251225</v>
      </c>
      <c r="G160" s="705"/>
      <c r="H160" s="704">
        <v>130009.8</v>
      </c>
      <c r="I160" s="705"/>
      <c r="J160" s="704">
        <v>0</v>
      </c>
      <c r="K160" s="705"/>
      <c r="L160" s="704">
        <v>0</v>
      </c>
      <c r="M160" s="705"/>
      <c r="N160" s="704">
        <v>657943</v>
      </c>
      <c r="O160" s="705"/>
      <c r="P160" s="704">
        <v>5664.5160000000005</v>
      </c>
    </row>
    <row r="161" spans="1:16" ht="12" customHeight="1">
      <c r="A161" s="672" t="s">
        <v>131</v>
      </c>
      <c r="B161" s="704">
        <v>45782687</v>
      </c>
      <c r="C161" s="709"/>
      <c r="D161" s="704">
        <v>1019090.6209999999</v>
      </c>
      <c r="E161" s="704"/>
      <c r="F161" s="704">
        <v>84993232</v>
      </c>
      <c r="G161" s="704"/>
      <c r="H161" s="704">
        <v>1274898.48</v>
      </c>
      <c r="I161" s="704"/>
      <c r="J161" s="704">
        <v>0</v>
      </c>
      <c r="K161" s="704"/>
      <c r="L161" s="704">
        <v>0</v>
      </c>
      <c r="M161" s="704"/>
      <c r="N161" s="704">
        <v>15615523</v>
      </c>
      <c r="O161" s="704"/>
      <c r="P161" s="704">
        <v>127714.08550000002</v>
      </c>
    </row>
    <row r="162" spans="1:16" ht="12" customHeight="1">
      <c r="A162" s="672" t="s">
        <v>427</v>
      </c>
      <c r="B162" s="704">
        <v>1091333359</v>
      </c>
      <c r="C162" s="705"/>
      <c r="D162" s="704">
        <v>46214999.608000003</v>
      </c>
      <c r="E162" s="705"/>
      <c r="F162" s="704">
        <v>85797234</v>
      </c>
      <c r="G162" s="705"/>
      <c r="H162" s="704">
        <v>2850327.0950000002</v>
      </c>
      <c r="I162" s="705"/>
      <c r="J162" s="704">
        <v>0</v>
      </c>
      <c r="K162" s="705"/>
      <c r="L162" s="704">
        <v>0</v>
      </c>
      <c r="M162" s="705"/>
      <c r="N162" s="704">
        <v>395655954</v>
      </c>
      <c r="O162" s="705"/>
      <c r="P162" s="704">
        <v>4921452.928199999</v>
      </c>
    </row>
    <row r="163" spans="1:16" ht="8.25" customHeight="1">
      <c r="B163" s="704"/>
      <c r="C163" s="705"/>
      <c r="D163" s="704"/>
      <c r="E163" s="705"/>
      <c r="F163" s="704"/>
      <c r="G163" s="705"/>
      <c r="H163" s="704"/>
      <c r="I163" s="705"/>
      <c r="J163" s="704"/>
      <c r="K163" s="705"/>
      <c r="L163" s="704"/>
      <c r="M163" s="705"/>
      <c r="N163" s="704"/>
      <c r="O163" s="705"/>
      <c r="P163" s="704"/>
    </row>
    <row r="164" spans="1:16" ht="12" customHeight="1">
      <c r="A164" s="672" t="s">
        <v>787</v>
      </c>
      <c r="B164" s="704">
        <v>443336602</v>
      </c>
      <c r="C164" s="709"/>
      <c r="D164" s="704">
        <v>12687094.592599999</v>
      </c>
      <c r="E164" s="704"/>
      <c r="F164" s="704">
        <v>129877009</v>
      </c>
      <c r="G164" s="704"/>
      <c r="H164" s="704">
        <v>2753392.5908000004</v>
      </c>
      <c r="I164" s="704"/>
      <c r="J164" s="704">
        <v>0</v>
      </c>
      <c r="K164" s="707"/>
      <c r="L164" s="704">
        <v>0</v>
      </c>
      <c r="M164" s="707"/>
      <c r="N164" s="704">
        <v>48885871</v>
      </c>
      <c r="O164" s="704"/>
      <c r="P164" s="704">
        <v>421097.84180000005</v>
      </c>
    </row>
    <row r="165" spans="1:16" ht="12" customHeight="1">
      <c r="A165" s="672" t="s">
        <v>137</v>
      </c>
      <c r="B165" s="704">
        <v>153554392</v>
      </c>
      <c r="C165" s="709"/>
      <c r="D165" s="704">
        <v>5368088.1677000001</v>
      </c>
      <c r="E165" s="704"/>
      <c r="F165" s="704">
        <v>290803910</v>
      </c>
      <c r="G165" s="704"/>
      <c r="H165" s="704">
        <v>0</v>
      </c>
      <c r="I165" s="704"/>
      <c r="J165" s="704">
        <v>0</v>
      </c>
      <c r="K165" s="704"/>
      <c r="L165" s="704">
        <v>0</v>
      </c>
      <c r="M165" s="704"/>
      <c r="N165" s="704">
        <v>396788105</v>
      </c>
      <c r="O165" s="704"/>
      <c r="P165" s="704">
        <v>4489703.1084999992</v>
      </c>
    </row>
    <row r="166" spans="1:16" ht="12" customHeight="1">
      <c r="A166" s="672" t="s">
        <v>788</v>
      </c>
      <c r="B166" s="704">
        <v>44001870.950000003</v>
      </c>
      <c r="C166" s="709"/>
      <c r="D166" s="704">
        <v>1867150.6503750002</v>
      </c>
      <c r="E166" s="704"/>
      <c r="F166" s="704">
        <v>86864.35</v>
      </c>
      <c r="G166" s="704"/>
      <c r="H166" s="704">
        <v>3691.7348750000006</v>
      </c>
      <c r="I166" s="704"/>
      <c r="J166" s="704">
        <v>0</v>
      </c>
      <c r="K166" s="704"/>
      <c r="L166" s="704">
        <v>0</v>
      </c>
      <c r="M166" s="704"/>
      <c r="N166" s="704">
        <v>189714</v>
      </c>
      <c r="O166" s="704"/>
      <c r="P166" s="704">
        <v>8062.8450000000003</v>
      </c>
    </row>
    <row r="167" spans="1:16" ht="12" customHeight="1">
      <c r="A167" s="672" t="s">
        <v>141</v>
      </c>
      <c r="B167" s="704">
        <v>706588807</v>
      </c>
      <c r="C167" s="709"/>
      <c r="D167" s="704">
        <v>22432588.0656</v>
      </c>
      <c r="E167" s="704"/>
      <c r="F167" s="704">
        <v>175643050</v>
      </c>
      <c r="G167" s="704"/>
      <c r="H167" s="704">
        <v>5269291.5</v>
      </c>
      <c r="I167" s="704"/>
      <c r="J167" s="704">
        <v>0</v>
      </c>
      <c r="K167" s="707"/>
      <c r="L167" s="704">
        <v>0</v>
      </c>
      <c r="M167" s="707"/>
      <c r="N167" s="704">
        <v>234378511</v>
      </c>
      <c r="O167" s="704"/>
      <c r="P167" s="704">
        <v>2611364.3160000001</v>
      </c>
    </row>
    <row r="168" spans="1:16" ht="12" customHeight="1">
      <c r="A168" s="672" t="s">
        <v>789</v>
      </c>
      <c r="B168" s="704">
        <v>394726840</v>
      </c>
      <c r="C168" s="709"/>
      <c r="D168" s="704">
        <v>13983311.2535</v>
      </c>
      <c r="E168" s="704"/>
      <c r="F168" s="704">
        <v>528032440</v>
      </c>
      <c r="G168" s="704"/>
      <c r="H168" s="704">
        <v>4948396.0410000002</v>
      </c>
      <c r="I168" s="704"/>
      <c r="J168" s="704">
        <v>0</v>
      </c>
      <c r="K168" s="707"/>
      <c r="L168" s="704">
        <v>0</v>
      </c>
      <c r="M168" s="707"/>
      <c r="N168" s="704">
        <v>107611630</v>
      </c>
      <c r="O168" s="704"/>
      <c r="P168" s="704">
        <v>1592864.76</v>
      </c>
    </row>
    <row r="169" spans="1:16" ht="14.25" customHeight="1">
      <c r="A169" s="671" t="s">
        <v>821</v>
      </c>
      <c r="B169" s="697"/>
      <c r="C169" s="683"/>
      <c r="D169" s="697"/>
      <c r="E169" s="683"/>
      <c r="F169" s="697"/>
      <c r="G169" s="683"/>
      <c r="H169" s="697"/>
      <c r="I169" s="683"/>
      <c r="J169" s="697"/>
      <c r="K169" s="683"/>
      <c r="L169" s="697"/>
      <c r="M169" s="683"/>
      <c r="N169" s="697"/>
      <c r="O169" s="683"/>
      <c r="P169" s="697"/>
    </row>
    <row r="170" spans="1:16" s="612" customFormat="1" ht="13">
      <c r="A170" s="698" t="s">
        <v>814</v>
      </c>
      <c r="B170" s="698"/>
      <c r="C170" s="698"/>
      <c r="D170" s="698"/>
      <c r="E170" s="698"/>
      <c r="F170" s="698"/>
      <c r="G170" s="698"/>
      <c r="H170" s="698"/>
      <c r="I170" s="698"/>
      <c r="J170" s="698"/>
      <c r="K170" s="698"/>
      <c r="L170" s="698"/>
      <c r="M170" s="698"/>
      <c r="N170" s="698"/>
      <c r="O170" s="698"/>
      <c r="P170" s="698"/>
    </row>
    <row r="171" spans="1:16" ht="13">
      <c r="A171" s="698" t="s">
        <v>854</v>
      </c>
      <c r="B171" s="698"/>
      <c r="C171" s="699"/>
      <c r="D171" s="699"/>
      <c r="E171" s="699"/>
      <c r="F171" s="699"/>
      <c r="G171" s="699"/>
      <c r="H171" s="699"/>
      <c r="I171" s="699"/>
      <c r="J171" s="699"/>
      <c r="K171" s="699"/>
      <c r="L171" s="699"/>
      <c r="M171" s="699"/>
      <c r="N171" s="699"/>
      <c r="O171" s="699"/>
      <c r="P171" s="699"/>
    </row>
    <row r="172" spans="1:16" ht="8.25" customHeight="1" thickBot="1">
      <c r="A172" s="673"/>
      <c r="B172" s="673"/>
      <c r="C172" s="673"/>
      <c r="D172" s="673"/>
      <c r="E172" s="673"/>
      <c r="F172" s="673"/>
      <c r="G172" s="673"/>
      <c r="H172" s="673"/>
      <c r="I172" s="673"/>
      <c r="J172" s="673"/>
      <c r="K172" s="673"/>
      <c r="L172" s="673"/>
      <c r="M172" s="673"/>
      <c r="N172" s="673"/>
      <c r="O172" s="673"/>
      <c r="P172" s="673"/>
    </row>
    <row r="173" spans="1:16" ht="12.75" customHeight="1">
      <c r="A173" s="683"/>
      <c r="B173" s="1661" t="s">
        <v>815</v>
      </c>
      <c r="C173" s="1661"/>
      <c r="D173" s="1661"/>
      <c r="E173" s="683"/>
      <c r="F173" s="1661" t="s">
        <v>816</v>
      </c>
      <c r="G173" s="1661"/>
      <c r="H173" s="1661"/>
      <c r="I173" s="683"/>
      <c r="J173" s="1661" t="s">
        <v>817</v>
      </c>
      <c r="K173" s="1661"/>
      <c r="L173" s="1661"/>
      <c r="M173" s="683"/>
      <c r="N173" s="1661" t="s">
        <v>818</v>
      </c>
      <c r="O173" s="1661"/>
      <c r="P173" s="1661"/>
    </row>
    <row r="174" spans="1:16" ht="10.5" customHeight="1">
      <c r="A174" s="700" t="s">
        <v>20</v>
      </c>
      <c r="B174" s="701" t="s">
        <v>819</v>
      </c>
      <c r="C174" s="674"/>
      <c r="D174" s="701" t="s">
        <v>820</v>
      </c>
      <c r="E174" s="674"/>
      <c r="F174" s="701" t="s">
        <v>819</v>
      </c>
      <c r="G174" s="674"/>
      <c r="H174" s="701" t="s">
        <v>820</v>
      </c>
      <c r="I174" s="674"/>
      <c r="J174" s="701" t="s">
        <v>819</v>
      </c>
      <c r="K174" s="674"/>
      <c r="L174" s="701" t="s">
        <v>820</v>
      </c>
      <c r="M174" s="674"/>
      <c r="N174" s="701" t="s">
        <v>819</v>
      </c>
      <c r="O174" s="674"/>
      <c r="P174" s="701" t="s">
        <v>820</v>
      </c>
    </row>
    <row r="175" spans="1:16" ht="6" customHeight="1"/>
    <row r="176" spans="1:16" ht="12" customHeight="1">
      <c r="A176" s="672" t="s">
        <v>862</v>
      </c>
      <c r="B176" s="702">
        <v>148861685</v>
      </c>
      <c r="C176" s="703"/>
      <c r="D176" s="702">
        <v>5208028.6000000006</v>
      </c>
      <c r="E176" s="703"/>
      <c r="F176" s="702">
        <v>1001820</v>
      </c>
      <c r="G176" s="703"/>
      <c r="H176" s="702">
        <v>35063.79</v>
      </c>
      <c r="I176" s="703"/>
      <c r="J176" s="702">
        <v>0</v>
      </c>
      <c r="K176" s="703"/>
      <c r="L176" s="702">
        <v>0</v>
      </c>
      <c r="M176" s="703"/>
      <c r="N176" s="702">
        <v>29893474</v>
      </c>
      <c r="O176" s="703"/>
      <c r="P176" s="702">
        <v>463348.85</v>
      </c>
    </row>
    <row r="177" spans="1:16" ht="12" customHeight="1">
      <c r="A177" s="672" t="s">
        <v>147</v>
      </c>
      <c r="B177" s="704">
        <v>121108524</v>
      </c>
      <c r="C177" s="709"/>
      <c r="D177" s="704">
        <v>2785075.3469999996</v>
      </c>
      <c r="E177" s="709"/>
      <c r="F177" s="704">
        <v>9271824</v>
      </c>
      <c r="G177" s="709"/>
      <c r="H177" s="704">
        <v>171528.74400000001</v>
      </c>
      <c r="I177" s="709"/>
      <c r="J177" s="704">
        <v>0</v>
      </c>
      <c r="K177" s="709"/>
      <c r="L177" s="704">
        <v>0</v>
      </c>
      <c r="M177" s="709"/>
      <c r="N177" s="704">
        <v>26482800</v>
      </c>
      <c r="O177" s="709"/>
      <c r="P177" s="704">
        <v>287280.060084</v>
      </c>
    </row>
    <row r="178" spans="1:16" ht="12" customHeight="1">
      <c r="A178" s="672" t="s">
        <v>149</v>
      </c>
      <c r="B178" s="704">
        <v>1481437647</v>
      </c>
      <c r="C178" s="709"/>
      <c r="D178" s="704">
        <v>63099596.520400003</v>
      </c>
      <c r="E178" s="709"/>
      <c r="F178" s="704">
        <v>654377924</v>
      </c>
      <c r="G178" s="709"/>
      <c r="H178" s="704">
        <v>24539172.43</v>
      </c>
      <c r="I178" s="709"/>
      <c r="J178" s="704">
        <v>0</v>
      </c>
      <c r="K178" s="709"/>
      <c r="L178" s="704">
        <v>0</v>
      </c>
      <c r="M178" s="709"/>
      <c r="N178" s="704">
        <v>349211885</v>
      </c>
      <c r="O178" s="709"/>
      <c r="P178" s="704">
        <v>4386273.9226000002</v>
      </c>
    </row>
    <row r="179" spans="1:16" ht="12" customHeight="1">
      <c r="A179" s="672" t="s">
        <v>151</v>
      </c>
      <c r="B179" s="704">
        <v>726794194.14999998</v>
      </c>
      <c r="C179" s="705"/>
      <c r="D179" s="704">
        <v>27554555.665875003</v>
      </c>
      <c r="E179" s="705"/>
      <c r="F179" s="704">
        <v>206173924</v>
      </c>
      <c r="G179" s="705"/>
      <c r="H179" s="704">
        <v>6513149.9330000002</v>
      </c>
      <c r="I179" s="705"/>
      <c r="J179" s="704">
        <v>0</v>
      </c>
      <c r="K179" s="705"/>
      <c r="L179" s="704">
        <v>0</v>
      </c>
      <c r="M179" s="705"/>
      <c r="N179" s="704">
        <v>799618378</v>
      </c>
      <c r="O179" s="705"/>
      <c r="P179" s="704">
        <v>9222755.6679999996</v>
      </c>
    </row>
    <row r="180" spans="1:16" ht="12" customHeight="1">
      <c r="A180" s="672" t="s">
        <v>790</v>
      </c>
      <c r="B180" s="704">
        <v>33141316</v>
      </c>
      <c r="C180" s="705"/>
      <c r="D180" s="704">
        <v>663528.36950000003</v>
      </c>
      <c r="E180" s="705"/>
      <c r="F180" s="704">
        <v>5194981</v>
      </c>
      <c r="G180" s="705"/>
      <c r="H180" s="704">
        <v>106497.1105</v>
      </c>
      <c r="I180" s="705"/>
      <c r="J180" s="704">
        <v>0</v>
      </c>
      <c r="K180" s="705"/>
      <c r="L180" s="704">
        <v>0</v>
      </c>
      <c r="M180" s="705"/>
      <c r="N180" s="704">
        <v>26890950</v>
      </c>
      <c r="O180" s="705"/>
      <c r="P180" s="704">
        <v>242018.55</v>
      </c>
    </row>
    <row r="181" spans="1:16" ht="6" customHeight="1">
      <c r="B181" s="704"/>
      <c r="C181" s="705"/>
      <c r="D181" s="704"/>
      <c r="E181" s="705"/>
      <c r="F181" s="704"/>
      <c r="G181" s="705"/>
      <c r="H181" s="704"/>
      <c r="I181" s="705"/>
      <c r="J181" s="704"/>
      <c r="K181" s="705"/>
      <c r="L181" s="704"/>
      <c r="M181" s="705"/>
      <c r="N181" s="704"/>
      <c r="O181" s="705"/>
      <c r="P181" s="704"/>
    </row>
    <row r="182" spans="1:16" ht="12" customHeight="1">
      <c r="A182" s="672" t="s">
        <v>861</v>
      </c>
      <c r="B182" s="704">
        <v>179256015</v>
      </c>
      <c r="C182" s="705"/>
      <c r="D182" s="704">
        <v>46608240.060000002</v>
      </c>
      <c r="E182" s="705"/>
      <c r="F182" s="704">
        <v>38823776</v>
      </c>
      <c r="G182" s="705"/>
      <c r="H182" s="704">
        <v>1475303.48</v>
      </c>
      <c r="I182" s="705"/>
      <c r="J182" s="704">
        <v>0</v>
      </c>
      <c r="K182" s="705"/>
      <c r="L182" s="704">
        <v>0</v>
      </c>
      <c r="M182" s="705"/>
      <c r="N182" s="704">
        <v>311967873</v>
      </c>
      <c r="O182" s="705"/>
      <c r="P182" s="704">
        <v>7372264.2699999996</v>
      </c>
    </row>
    <row r="183" spans="1:16" ht="12" customHeight="1">
      <c r="A183" s="672" t="s">
        <v>860</v>
      </c>
      <c r="B183" s="704">
        <v>162722390</v>
      </c>
      <c r="C183" s="705"/>
      <c r="D183" s="704">
        <v>4866799.04</v>
      </c>
      <c r="E183" s="705"/>
      <c r="F183" s="704">
        <v>0</v>
      </c>
      <c r="G183" s="705"/>
      <c r="H183" s="704">
        <v>0</v>
      </c>
      <c r="I183" s="705"/>
      <c r="J183" s="704">
        <v>0</v>
      </c>
      <c r="K183" s="705"/>
      <c r="L183" s="704">
        <v>0</v>
      </c>
      <c r="M183" s="705"/>
      <c r="N183" s="704">
        <v>22895189</v>
      </c>
      <c r="O183" s="705"/>
      <c r="P183" s="704">
        <v>261005.16</v>
      </c>
    </row>
    <row r="184" spans="1:16" ht="12" customHeight="1">
      <c r="A184" s="672" t="s">
        <v>847</v>
      </c>
      <c r="B184" s="704">
        <v>742662810.92999995</v>
      </c>
      <c r="C184" s="705"/>
      <c r="D184" s="704">
        <v>32730745.759999998</v>
      </c>
      <c r="E184" s="705"/>
      <c r="F184" s="704">
        <v>34139299</v>
      </c>
      <c r="G184" s="705"/>
      <c r="H184" s="704">
        <v>1024540.23</v>
      </c>
      <c r="I184" s="705"/>
      <c r="J184" s="704">
        <v>0</v>
      </c>
      <c r="K184" s="705"/>
      <c r="L184" s="704">
        <v>0</v>
      </c>
      <c r="M184" s="705"/>
      <c r="N184" s="704">
        <v>249173089</v>
      </c>
      <c r="O184" s="705"/>
      <c r="P184" s="704">
        <v>3281878.31</v>
      </c>
    </row>
    <row r="185" spans="1:16" ht="12" customHeight="1">
      <c r="A185" s="672" t="s">
        <v>161</v>
      </c>
      <c r="B185" s="704">
        <v>65822818</v>
      </c>
      <c r="C185" s="709"/>
      <c r="D185" s="704">
        <v>1598807.11</v>
      </c>
      <c r="E185" s="709"/>
      <c r="F185" s="704">
        <v>15590734</v>
      </c>
      <c r="G185" s="709"/>
      <c r="H185" s="704">
        <v>274396.95</v>
      </c>
      <c r="I185" s="709"/>
      <c r="J185" s="704">
        <v>0</v>
      </c>
      <c r="K185" s="709"/>
      <c r="L185" s="704">
        <v>0</v>
      </c>
      <c r="M185" s="709"/>
      <c r="N185" s="704">
        <v>25370785</v>
      </c>
      <c r="O185" s="709"/>
      <c r="P185" s="704">
        <v>208123.72999999998</v>
      </c>
    </row>
    <row r="186" spans="1:16" ht="12" customHeight="1">
      <c r="A186" s="672" t="s">
        <v>867</v>
      </c>
      <c r="B186" s="704">
        <v>1644133094</v>
      </c>
      <c r="C186" s="709"/>
      <c r="D186" s="704">
        <v>60527461.847000003</v>
      </c>
      <c r="E186" s="709"/>
      <c r="F186" s="704">
        <v>676103593</v>
      </c>
      <c r="G186" s="709"/>
      <c r="H186" s="704">
        <v>15550383</v>
      </c>
      <c r="I186" s="709"/>
      <c r="J186" s="704">
        <v>0</v>
      </c>
      <c r="K186" s="709"/>
      <c r="L186" s="704">
        <v>0</v>
      </c>
      <c r="M186" s="709"/>
      <c r="N186" s="704">
        <v>969397157</v>
      </c>
      <c r="O186" s="709"/>
      <c r="P186" s="704">
        <v>11619031.319999998</v>
      </c>
    </row>
    <row r="187" spans="1:16" ht="8.25" customHeight="1">
      <c r="B187" s="704"/>
      <c r="C187" s="709"/>
      <c r="D187" s="704"/>
      <c r="E187" s="709"/>
      <c r="F187" s="704"/>
      <c r="G187" s="709"/>
      <c r="H187" s="704"/>
      <c r="I187" s="709"/>
      <c r="J187" s="704"/>
      <c r="K187" s="709"/>
      <c r="L187" s="704"/>
      <c r="M187" s="709"/>
      <c r="N187" s="704"/>
      <c r="O187" s="709"/>
      <c r="P187" s="704"/>
    </row>
    <row r="188" spans="1:16" ht="12" customHeight="1">
      <c r="A188" s="672" t="s">
        <v>22</v>
      </c>
      <c r="B188" s="704">
        <v>942833369</v>
      </c>
      <c r="C188" s="705"/>
      <c r="D188" s="704">
        <v>31727371.605</v>
      </c>
      <c r="E188" s="705"/>
      <c r="F188" s="704">
        <v>106574029</v>
      </c>
      <c r="G188" s="705"/>
      <c r="H188" s="704">
        <v>3676804.0005000001</v>
      </c>
      <c r="I188" s="705"/>
      <c r="J188" s="704">
        <v>0</v>
      </c>
      <c r="K188" s="705"/>
      <c r="L188" s="704">
        <v>0</v>
      </c>
      <c r="M188" s="705"/>
      <c r="N188" s="704">
        <v>473460193</v>
      </c>
      <c r="O188" s="705"/>
      <c r="P188" s="704">
        <v>5823703.0296999998</v>
      </c>
    </row>
    <row r="189" spans="1:16" ht="12" customHeight="1">
      <c r="A189" s="672" t="s">
        <v>162</v>
      </c>
      <c r="B189" s="704">
        <v>378252858</v>
      </c>
      <c r="C189" s="705"/>
      <c r="D189" s="704">
        <v>12275017.130799998</v>
      </c>
      <c r="E189" s="705"/>
      <c r="F189" s="704">
        <v>97126932</v>
      </c>
      <c r="G189" s="705"/>
      <c r="H189" s="704">
        <v>3108061.82</v>
      </c>
      <c r="I189" s="705"/>
      <c r="J189" s="704">
        <v>0</v>
      </c>
      <c r="K189" s="705"/>
      <c r="L189" s="704">
        <v>0</v>
      </c>
      <c r="M189" s="705"/>
      <c r="N189" s="704">
        <v>60840085</v>
      </c>
      <c r="O189" s="705"/>
      <c r="P189" s="704">
        <v>718222.8406</v>
      </c>
    </row>
    <row r="190" spans="1:16" ht="12" customHeight="1">
      <c r="A190" s="672" t="s">
        <v>163</v>
      </c>
      <c r="B190" s="704">
        <v>274750284</v>
      </c>
      <c r="C190" s="705"/>
      <c r="D190" s="704">
        <v>7929300.7599999998</v>
      </c>
      <c r="E190" s="705"/>
      <c r="F190" s="704">
        <v>38573247</v>
      </c>
      <c r="G190" s="705"/>
      <c r="H190" s="704">
        <v>478308.25</v>
      </c>
      <c r="I190" s="705"/>
      <c r="J190" s="704">
        <v>0</v>
      </c>
      <c r="K190" s="705"/>
      <c r="L190" s="704">
        <v>0</v>
      </c>
      <c r="M190" s="705"/>
      <c r="N190" s="704">
        <v>100413441</v>
      </c>
      <c r="O190" s="705"/>
      <c r="P190" s="704">
        <v>956323.37</v>
      </c>
    </row>
    <row r="191" spans="1:16" ht="12" customHeight="1">
      <c r="A191" s="672" t="s">
        <v>164</v>
      </c>
      <c r="B191" s="704">
        <v>1101646200</v>
      </c>
      <c r="C191" s="709"/>
      <c r="D191" s="704">
        <v>45394893.800000004</v>
      </c>
      <c r="E191" s="709"/>
      <c r="F191" s="704">
        <v>77115800</v>
      </c>
      <c r="G191" s="709"/>
      <c r="H191" s="704">
        <v>2429147.7000000002</v>
      </c>
      <c r="I191" s="709"/>
      <c r="J191" s="704">
        <v>0</v>
      </c>
      <c r="K191" s="709"/>
      <c r="L191" s="704">
        <v>0</v>
      </c>
      <c r="M191" s="709"/>
      <c r="N191" s="704">
        <v>413763467</v>
      </c>
      <c r="O191" s="709"/>
      <c r="P191" s="704">
        <v>4598792.7333000004</v>
      </c>
    </row>
    <row r="192" spans="1:16" ht="12" customHeight="1">
      <c r="A192" s="672" t="s">
        <v>586</v>
      </c>
      <c r="B192" s="704">
        <v>4564438531</v>
      </c>
      <c r="C192" s="709"/>
      <c r="D192" s="704">
        <v>171690392.98304999</v>
      </c>
      <c r="E192" s="709"/>
      <c r="F192" s="704">
        <v>221880258</v>
      </c>
      <c r="G192" s="709"/>
      <c r="H192" s="704">
        <v>488136.56759999995</v>
      </c>
      <c r="I192" s="709"/>
      <c r="J192" s="704">
        <v>0</v>
      </c>
      <c r="K192" s="709"/>
      <c r="L192" s="704">
        <v>0</v>
      </c>
      <c r="M192" s="709"/>
      <c r="N192" s="704">
        <v>1965274152</v>
      </c>
      <c r="O192" s="709"/>
      <c r="P192" s="704">
        <v>9951836.1999999993</v>
      </c>
    </row>
    <row r="193" spans="1:16" ht="8.25" customHeight="1">
      <c r="B193" s="704"/>
      <c r="C193" s="709"/>
      <c r="D193" s="704"/>
      <c r="E193" s="709"/>
      <c r="F193" s="704"/>
      <c r="G193" s="709"/>
      <c r="H193" s="704"/>
      <c r="I193" s="709"/>
      <c r="J193" s="704"/>
      <c r="K193" s="709"/>
      <c r="L193" s="704"/>
      <c r="M193" s="709"/>
      <c r="N193" s="704"/>
      <c r="O193" s="709"/>
      <c r="P193" s="704"/>
    </row>
    <row r="194" spans="1:16" ht="12" customHeight="1">
      <c r="A194" s="672" t="s">
        <v>166</v>
      </c>
      <c r="B194" s="704">
        <v>208249206</v>
      </c>
      <c r="C194" s="709"/>
      <c r="D194" s="704">
        <v>6751046.5899999999</v>
      </c>
      <c r="E194" s="709"/>
      <c r="F194" s="704">
        <v>34198240</v>
      </c>
      <c r="G194" s="709"/>
      <c r="H194" s="704">
        <v>1111442.8</v>
      </c>
      <c r="I194" s="709"/>
      <c r="J194" s="704">
        <v>0</v>
      </c>
      <c r="K194" s="711"/>
      <c r="L194" s="704">
        <v>0</v>
      </c>
      <c r="M194" s="711"/>
      <c r="N194" s="704">
        <v>113298717</v>
      </c>
      <c r="O194" s="709"/>
      <c r="P194" s="704">
        <v>1021157.79</v>
      </c>
    </row>
    <row r="195" spans="1:16" ht="12" customHeight="1">
      <c r="A195" s="672" t="s">
        <v>791</v>
      </c>
      <c r="B195" s="704">
        <v>86814014.609999999</v>
      </c>
      <c r="C195" s="705"/>
      <c r="D195" s="704">
        <v>3023695.1599999997</v>
      </c>
      <c r="E195" s="705"/>
      <c r="F195" s="704">
        <v>35850</v>
      </c>
      <c r="G195" s="705"/>
      <c r="H195" s="704">
        <v>1254.75</v>
      </c>
      <c r="I195" s="705"/>
      <c r="J195" s="704">
        <v>0</v>
      </c>
      <c r="K195" s="705"/>
      <c r="L195" s="704">
        <v>0</v>
      </c>
      <c r="M195" s="705"/>
      <c r="N195" s="704">
        <v>54685977</v>
      </c>
      <c r="O195" s="705"/>
      <c r="P195" s="704">
        <v>328115.86</v>
      </c>
    </row>
    <row r="196" spans="1:16" ht="12" customHeight="1">
      <c r="A196" s="672" t="s">
        <v>170</v>
      </c>
      <c r="B196" s="704">
        <v>402706533</v>
      </c>
      <c r="C196" s="709"/>
      <c r="D196" s="704">
        <v>16713547</v>
      </c>
      <c r="E196" s="709"/>
      <c r="F196" s="704">
        <v>136009904</v>
      </c>
      <c r="G196" s="709"/>
      <c r="H196" s="704">
        <v>1768129</v>
      </c>
      <c r="I196" s="709"/>
      <c r="J196" s="704">
        <v>0</v>
      </c>
      <c r="K196" s="711"/>
      <c r="L196" s="704">
        <v>0</v>
      </c>
      <c r="M196" s="711"/>
      <c r="N196" s="704">
        <v>88501933</v>
      </c>
      <c r="O196" s="709"/>
      <c r="P196" s="704">
        <v>824727</v>
      </c>
    </row>
    <row r="197" spans="1:16" ht="7.5" customHeight="1"/>
    <row r="198" spans="1:16" s="643" customFormat="1" ht="12" customHeight="1">
      <c r="A198" s="680" t="s">
        <v>24</v>
      </c>
      <c r="B198" s="680">
        <v>22378847066.959999</v>
      </c>
      <c r="C198" s="680"/>
      <c r="D198" s="680">
        <v>886713441.56759989</v>
      </c>
      <c r="E198" s="680"/>
      <c r="F198" s="680">
        <v>4047912377.3499999</v>
      </c>
      <c r="G198" s="680"/>
      <c r="H198" s="680">
        <v>90568119.383274987</v>
      </c>
      <c r="I198" s="680"/>
      <c r="J198" s="680">
        <v>0</v>
      </c>
      <c r="K198" s="680"/>
      <c r="L198" s="680">
        <v>0</v>
      </c>
      <c r="M198" s="680"/>
      <c r="N198" s="680">
        <v>9684024573.0400009</v>
      </c>
      <c r="O198" s="680"/>
      <c r="P198" s="680">
        <v>100697658.30438399</v>
      </c>
    </row>
    <row r="199" spans="1:16" s="643" customFormat="1" ht="12" customHeight="1">
      <c r="A199" s="680" t="s">
        <v>19</v>
      </c>
      <c r="B199" s="680">
        <v>76347804669.240005</v>
      </c>
      <c r="C199" s="680"/>
      <c r="D199" s="680">
        <v>2714246287.5698733</v>
      </c>
      <c r="E199" s="680"/>
      <c r="F199" s="680">
        <v>7519458050.54</v>
      </c>
      <c r="G199" s="680"/>
      <c r="H199" s="680">
        <v>137184477.84852505</v>
      </c>
      <c r="I199" s="680"/>
      <c r="J199" s="680">
        <v>1344289010.71</v>
      </c>
      <c r="K199" s="680"/>
      <c r="L199" s="680">
        <v>14010085.905490002</v>
      </c>
      <c r="M199" s="680"/>
      <c r="N199" s="680">
        <v>39525519269.5</v>
      </c>
      <c r="O199" s="680"/>
      <c r="P199" s="680">
        <v>308631758.55084604</v>
      </c>
    </row>
    <row r="200" spans="1:16" ht="8.25" customHeight="1"/>
    <row r="201" spans="1:16" ht="12.75" customHeight="1">
      <c r="A201" s="679" t="s">
        <v>25</v>
      </c>
      <c r="B201" s="680">
        <v>98726651736.200012</v>
      </c>
      <c r="C201" s="680"/>
      <c r="D201" s="680">
        <v>3600959729.1374731</v>
      </c>
      <c r="E201" s="680"/>
      <c r="F201" s="680">
        <v>11567370427.889999</v>
      </c>
      <c r="G201" s="680"/>
      <c r="H201" s="680">
        <v>227752597.23180002</v>
      </c>
      <c r="I201" s="680"/>
      <c r="J201" s="680">
        <v>1344289010.71</v>
      </c>
      <c r="K201" s="680"/>
      <c r="L201" s="680">
        <v>14010085.905490002</v>
      </c>
      <c r="M201" s="680"/>
      <c r="N201" s="680">
        <v>49209543842.540001</v>
      </c>
      <c r="O201" s="680"/>
      <c r="P201" s="680">
        <v>409329416.85523003</v>
      </c>
    </row>
    <row r="202" spans="1:16" ht="8.25" customHeight="1">
      <c r="B202" s="652"/>
      <c r="C202" s="652"/>
      <c r="D202" s="652"/>
      <c r="E202" s="652"/>
      <c r="F202" s="652"/>
      <c r="G202" s="652"/>
      <c r="H202" s="652"/>
      <c r="I202" s="652"/>
      <c r="J202" s="652"/>
      <c r="K202" s="652"/>
      <c r="L202" s="652"/>
      <c r="M202" s="652"/>
      <c r="N202" s="652"/>
      <c r="O202" s="652"/>
      <c r="P202" s="652"/>
    </row>
    <row r="203" spans="1:16" ht="12" customHeight="1">
      <c r="A203" s="1662" t="s">
        <v>1</v>
      </c>
      <c r="B203" s="1662"/>
      <c r="C203" s="1662"/>
      <c r="D203" s="1662"/>
      <c r="E203" s="1662"/>
      <c r="F203" s="1662"/>
      <c r="G203" s="1662"/>
      <c r="H203" s="1662"/>
      <c r="I203" s="1662"/>
      <c r="J203" s="1662"/>
      <c r="K203" s="1662"/>
      <c r="L203" s="1662"/>
      <c r="M203" s="1662"/>
      <c r="N203" s="1662"/>
      <c r="O203" s="1662"/>
      <c r="P203" s="1662"/>
    </row>
    <row r="204" spans="1:16" ht="12" customHeight="1">
      <c r="A204" s="1662" t="s">
        <v>918</v>
      </c>
      <c r="B204" s="1662"/>
      <c r="C204" s="1662"/>
      <c r="D204" s="1662"/>
      <c r="E204" s="1662"/>
      <c r="F204" s="1662"/>
      <c r="G204" s="1662"/>
      <c r="H204" s="1662"/>
      <c r="I204" s="1662"/>
      <c r="J204" s="1662"/>
      <c r="K204" s="1662"/>
      <c r="L204" s="1662"/>
      <c r="M204" s="1662"/>
      <c r="N204" s="1662"/>
      <c r="O204" s="1662"/>
      <c r="P204" s="1662"/>
    </row>
    <row r="205" spans="1:16" ht="12" customHeight="1">
      <c r="A205" s="1662" t="s">
        <v>822</v>
      </c>
      <c r="B205" s="1662"/>
      <c r="C205" s="1662"/>
      <c r="D205" s="1662"/>
      <c r="E205" s="1662"/>
      <c r="F205" s="1662"/>
      <c r="G205" s="1662"/>
      <c r="H205" s="1662"/>
      <c r="I205" s="1662"/>
      <c r="J205" s="1662"/>
      <c r="K205" s="1662"/>
      <c r="L205" s="1662"/>
      <c r="M205" s="1662"/>
      <c r="N205" s="1662"/>
      <c r="O205" s="1662"/>
      <c r="P205" s="1662"/>
    </row>
    <row r="206" spans="1:16" ht="12" customHeight="1">
      <c r="A206" s="1662" t="s">
        <v>823</v>
      </c>
      <c r="B206" s="1662"/>
      <c r="C206" s="1662"/>
      <c r="D206" s="1662"/>
      <c r="E206" s="1662"/>
      <c r="F206" s="1662"/>
      <c r="G206" s="1662"/>
      <c r="H206" s="1662"/>
      <c r="I206" s="1662"/>
      <c r="J206" s="1662"/>
      <c r="K206" s="1662"/>
      <c r="L206" s="1662"/>
      <c r="M206" s="1662"/>
      <c r="N206" s="1662"/>
      <c r="O206" s="1662"/>
      <c r="P206" s="1662"/>
    </row>
    <row r="207" spans="1:16" ht="12" customHeight="1">
      <c r="A207" s="1662" t="s">
        <v>848</v>
      </c>
      <c r="B207" s="1662"/>
      <c r="C207" s="1662"/>
      <c r="D207" s="1662"/>
      <c r="E207" s="1662"/>
      <c r="F207" s="1662"/>
      <c r="G207" s="1662"/>
      <c r="H207" s="1662"/>
      <c r="I207" s="1662"/>
      <c r="J207" s="1662"/>
      <c r="K207" s="1662"/>
      <c r="L207" s="1662"/>
      <c r="M207" s="1662"/>
      <c r="N207" s="1662"/>
      <c r="O207" s="1662"/>
      <c r="P207" s="1662"/>
    </row>
    <row r="208" spans="1:16" ht="12" customHeight="1">
      <c r="A208" s="1662" t="s">
        <v>824</v>
      </c>
      <c r="B208" s="1662"/>
      <c r="C208" s="1662"/>
      <c r="D208" s="1662"/>
      <c r="E208" s="1662"/>
      <c r="F208" s="1662"/>
      <c r="G208" s="1662"/>
      <c r="H208" s="1662"/>
      <c r="I208" s="1662"/>
      <c r="J208" s="1662"/>
      <c r="K208" s="1662"/>
      <c r="L208" s="1662"/>
      <c r="M208" s="1662"/>
      <c r="N208" s="1662"/>
      <c r="O208" s="1662"/>
      <c r="P208" s="1662"/>
    </row>
    <row r="209" spans="1:16" ht="12" customHeight="1">
      <c r="A209" s="1662" t="s">
        <v>825</v>
      </c>
      <c r="B209" s="1662"/>
      <c r="C209" s="1662"/>
      <c r="D209" s="1662"/>
      <c r="E209" s="1662"/>
      <c r="F209" s="1662"/>
      <c r="G209" s="1662"/>
      <c r="H209" s="1662"/>
      <c r="I209" s="1662"/>
      <c r="J209" s="1662"/>
      <c r="K209" s="1662"/>
      <c r="L209" s="1662"/>
      <c r="M209" s="1662"/>
      <c r="N209" s="1662"/>
      <c r="O209" s="1662"/>
      <c r="P209" s="1662"/>
    </row>
    <row r="210" spans="1:16" ht="12" customHeight="1">
      <c r="A210" s="1662" t="s">
        <v>826</v>
      </c>
      <c r="B210" s="1662"/>
      <c r="C210" s="1662"/>
      <c r="D210" s="1662"/>
      <c r="E210" s="1662"/>
      <c r="F210" s="1662"/>
      <c r="G210" s="1662"/>
      <c r="H210" s="1662"/>
      <c r="I210" s="1662"/>
      <c r="J210" s="1662"/>
      <c r="K210" s="1662"/>
      <c r="L210" s="1662"/>
      <c r="M210" s="1662"/>
      <c r="N210" s="1662"/>
      <c r="O210" s="1662"/>
      <c r="P210" s="1662"/>
    </row>
    <row r="211" spans="1:16">
      <c r="A211" s="672" t="s">
        <v>827</v>
      </c>
      <c r="B211" s="714"/>
      <c r="C211" s="714"/>
      <c r="D211" s="714"/>
      <c r="E211" s="714"/>
      <c r="F211" s="714"/>
      <c r="G211" s="714"/>
      <c r="H211" s="714"/>
      <c r="I211" s="714"/>
      <c r="J211" s="714"/>
      <c r="K211" s="714"/>
      <c r="L211" s="714"/>
      <c r="M211" s="714"/>
      <c r="N211" s="714"/>
      <c r="O211" s="714"/>
      <c r="P211" s="714"/>
    </row>
    <row r="212" spans="1:16" ht="12" customHeight="1">
      <c r="A212" s="681" t="s">
        <v>857</v>
      </c>
      <c r="B212" s="714"/>
      <c r="C212" s="714"/>
      <c r="D212" s="714"/>
      <c r="E212" s="714"/>
      <c r="F212" s="714"/>
      <c r="G212" s="714"/>
      <c r="H212" s="714"/>
      <c r="I212" s="714"/>
      <c r="J212" s="714"/>
      <c r="K212" s="714"/>
      <c r="L212" s="714"/>
      <c r="M212" s="714"/>
      <c r="N212" s="714"/>
      <c r="O212" s="714"/>
      <c r="P212" s="714"/>
    </row>
    <row r="213" spans="1:16">
      <c r="A213" s="681"/>
      <c r="B213" s="652"/>
      <c r="C213" s="652"/>
      <c r="D213" s="652"/>
      <c r="E213" s="652"/>
      <c r="F213" s="652"/>
      <c r="G213" s="652"/>
      <c r="H213" s="652"/>
      <c r="I213" s="652"/>
      <c r="J213" s="652"/>
      <c r="K213" s="652"/>
      <c r="L213" s="652"/>
      <c r="M213" s="652"/>
      <c r="N213" s="652"/>
      <c r="O213" s="652"/>
      <c r="P213" s="652"/>
    </row>
    <row r="214" spans="1:16">
      <c r="C214" s="675"/>
      <c r="E214" s="675"/>
      <c r="G214" s="675"/>
      <c r="I214" s="675"/>
      <c r="K214" s="675"/>
      <c r="M214" s="675"/>
      <c r="O214" s="675"/>
    </row>
    <row r="215" spans="1:16">
      <c r="C215" s="675"/>
      <c r="E215" s="675"/>
      <c r="G215" s="675"/>
      <c r="I215" s="675"/>
      <c r="K215" s="675"/>
      <c r="M215" s="675"/>
      <c r="O215" s="675"/>
    </row>
    <row r="216" spans="1:16">
      <c r="C216" s="675"/>
      <c r="E216" s="675"/>
      <c r="G216" s="675"/>
      <c r="I216" s="675"/>
      <c r="K216" s="675"/>
      <c r="M216" s="675"/>
      <c r="O216" s="675"/>
    </row>
    <row r="217" spans="1:16">
      <c r="C217" s="675"/>
      <c r="E217" s="675"/>
      <c r="G217" s="675"/>
      <c r="I217" s="675"/>
      <c r="K217" s="675"/>
      <c r="M217" s="675"/>
      <c r="O217" s="675"/>
    </row>
    <row r="218" spans="1:16">
      <c r="C218" s="675"/>
      <c r="E218" s="675"/>
      <c r="G218" s="675"/>
      <c r="I218" s="675"/>
      <c r="K218" s="675"/>
      <c r="M218" s="675"/>
      <c r="O218" s="675"/>
    </row>
    <row r="220" spans="1:16">
      <c r="C220" s="675"/>
      <c r="E220" s="675"/>
      <c r="G220" s="675"/>
      <c r="I220" s="675"/>
      <c r="K220" s="675"/>
      <c r="M220" s="675"/>
      <c r="O220" s="675"/>
    </row>
    <row r="221" spans="1:16">
      <c r="C221" s="675"/>
      <c r="E221" s="675"/>
      <c r="G221" s="675"/>
      <c r="I221" s="675"/>
      <c r="K221" s="675"/>
      <c r="M221" s="675"/>
      <c r="O221" s="675"/>
    </row>
    <row r="222" spans="1:16">
      <c r="C222" s="675"/>
      <c r="E222" s="675"/>
      <c r="G222" s="675"/>
      <c r="I222" s="675"/>
      <c r="K222" s="675"/>
      <c r="M222" s="675"/>
      <c r="O222" s="675"/>
    </row>
    <row r="223" spans="1:16">
      <c r="C223" s="675"/>
      <c r="E223" s="675"/>
      <c r="G223" s="675"/>
      <c r="I223" s="675"/>
      <c r="K223" s="675"/>
      <c r="M223" s="675"/>
      <c r="O223" s="675"/>
    </row>
    <row r="224" spans="1:16">
      <c r="C224" s="675"/>
      <c r="E224" s="675"/>
      <c r="G224" s="675"/>
      <c r="I224" s="675"/>
      <c r="K224" s="675"/>
      <c r="M224" s="675"/>
      <c r="O224" s="675"/>
    </row>
    <row r="225" spans="3:15">
      <c r="C225" s="675"/>
      <c r="E225" s="675"/>
      <c r="G225" s="675"/>
      <c r="I225" s="675"/>
      <c r="K225" s="675"/>
      <c r="M225" s="675"/>
      <c r="O225" s="675"/>
    </row>
    <row r="226" spans="3:15">
      <c r="C226" s="675"/>
      <c r="E226" s="675"/>
      <c r="G226" s="675"/>
      <c r="I226" s="675"/>
      <c r="K226" s="675"/>
      <c r="M226" s="675"/>
      <c r="O226" s="675"/>
    </row>
  </sheetData>
  <mergeCells count="32">
    <mergeCell ref="A209:P209"/>
    <mergeCell ref="A210:P210"/>
    <mergeCell ref="A203:P203"/>
    <mergeCell ref="A204:P204"/>
    <mergeCell ref="A205:P205"/>
    <mergeCell ref="A206:P206"/>
    <mergeCell ref="A207:P207"/>
    <mergeCell ref="A208:P208"/>
    <mergeCell ref="J143:L143"/>
    <mergeCell ref="N143:P143"/>
    <mergeCell ref="B173:D173"/>
    <mergeCell ref="F173:H173"/>
    <mergeCell ref="J173:L173"/>
    <mergeCell ref="N173:P173"/>
    <mergeCell ref="B143:D143"/>
    <mergeCell ref="F143:H143"/>
    <mergeCell ref="J89:L89"/>
    <mergeCell ref="N89:P89"/>
    <mergeCell ref="B131:D131"/>
    <mergeCell ref="F131:H131"/>
    <mergeCell ref="J131:L131"/>
    <mergeCell ref="N131:P131"/>
    <mergeCell ref="B89:D89"/>
    <mergeCell ref="F89:H89"/>
    <mergeCell ref="J5:L5"/>
    <mergeCell ref="N5:P5"/>
    <mergeCell ref="B47:D47"/>
    <mergeCell ref="F47:H47"/>
    <mergeCell ref="J47:L47"/>
    <mergeCell ref="N47:P47"/>
    <mergeCell ref="B5:D5"/>
    <mergeCell ref="F5:H5"/>
  </mergeCells>
  <printOptions horizontalCentered="1"/>
  <pageMargins left="0.25" right="0.25" top="0.75" bottom="1.1000000000000001" header="0.3" footer="0.4"/>
  <pageSetup scale="97" fitToHeight="5"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G32"/>
  <sheetViews>
    <sheetView zoomScaleNormal="100" workbookViewId="0"/>
  </sheetViews>
  <sheetFormatPr defaultColWidth="8.81640625" defaultRowHeight="12.5"/>
  <cols>
    <col min="1" max="1" width="14.7265625" style="160" customWidth="1"/>
    <col min="2" max="3" width="15.7265625" style="160" customWidth="1"/>
    <col min="4" max="5" width="28.7265625" style="160" customWidth="1"/>
    <col min="6" max="6" width="20.7265625" style="160" customWidth="1"/>
    <col min="7" max="7" width="10.90625" style="160" customWidth="1"/>
    <col min="8" max="8" width="25.7265625" style="160" customWidth="1"/>
    <col min="9" max="16384" width="8.81640625" style="160"/>
  </cols>
  <sheetData>
    <row r="1" spans="1:7" ht="18">
      <c r="A1" s="159" t="s">
        <v>776</v>
      </c>
      <c r="B1" s="159"/>
      <c r="C1" s="159"/>
      <c r="D1" s="159"/>
      <c r="E1" s="159"/>
      <c r="F1" s="159"/>
      <c r="G1" s="811" t="s">
        <v>954</v>
      </c>
    </row>
    <row r="2" spans="1:7" ht="15.5">
      <c r="A2" s="161" t="s">
        <v>1209</v>
      </c>
      <c r="B2" s="161"/>
      <c r="C2" s="161"/>
      <c r="D2" s="161"/>
      <c r="E2" s="161"/>
      <c r="F2" s="161"/>
    </row>
    <row r="3" spans="1:7" ht="18" customHeight="1" thickBot="1">
      <c r="A3" s="162"/>
      <c r="B3" s="162"/>
      <c r="C3" s="162"/>
      <c r="D3" s="163"/>
      <c r="E3" s="162"/>
      <c r="F3" s="162"/>
    </row>
    <row r="4" spans="1:7" s="164" customFormat="1" ht="45" customHeight="1">
      <c r="A4" s="547" t="s">
        <v>690</v>
      </c>
      <c r="B4" s="547"/>
      <c r="C4" s="547"/>
      <c r="D4" s="165"/>
      <c r="E4" s="166"/>
      <c r="F4" s="165"/>
      <c r="G4" s="165"/>
    </row>
    <row r="5" spans="1:7" ht="18" customHeight="1">
      <c r="A5" s="167" t="s">
        <v>26</v>
      </c>
      <c r="B5" s="1045" t="s">
        <v>689</v>
      </c>
      <c r="D5" s="162"/>
      <c r="E5" s="163"/>
      <c r="F5" s="162"/>
      <c r="G5" s="162"/>
    </row>
    <row r="6" spans="1:7" ht="18" hidden="1" customHeight="1">
      <c r="A6" s="167">
        <v>2007</v>
      </c>
      <c r="B6" s="168">
        <v>143332331.22493362</v>
      </c>
      <c r="D6" s="162"/>
      <c r="E6" s="163"/>
      <c r="F6" s="162"/>
      <c r="G6" s="162"/>
    </row>
    <row r="7" spans="1:7" ht="1" customHeight="1">
      <c r="A7" s="1045">
        <v>2008</v>
      </c>
      <c r="B7" s="169">
        <v>213829116.38640201</v>
      </c>
      <c r="D7" s="162"/>
      <c r="E7" s="163"/>
      <c r="F7" s="162"/>
      <c r="G7" s="162"/>
    </row>
    <row r="8" spans="1:7" ht="1" customHeight="1">
      <c r="A8" s="1045">
        <v>2009</v>
      </c>
      <c r="B8" s="169">
        <v>175364334.91890469</v>
      </c>
      <c r="D8" s="162"/>
      <c r="E8" s="163"/>
      <c r="F8" s="162"/>
      <c r="G8" s="162"/>
    </row>
    <row r="9" spans="1:7" ht="1" customHeight="1">
      <c r="A9" s="1045">
        <v>2010</v>
      </c>
      <c r="B9" s="169">
        <v>143554116.64843339</v>
      </c>
      <c r="D9" s="162"/>
      <c r="E9" s="163"/>
      <c r="F9" s="162"/>
      <c r="G9" s="162"/>
    </row>
    <row r="10" spans="1:7" ht="1" customHeight="1">
      <c r="A10" s="1045">
        <v>2011</v>
      </c>
      <c r="B10" s="169">
        <v>150273915</v>
      </c>
      <c r="D10" s="162"/>
      <c r="E10" s="163"/>
      <c r="F10" s="162"/>
      <c r="G10" s="162"/>
    </row>
    <row r="11" spans="1:7" ht="15.65" customHeight="1">
      <c r="A11" s="1045">
        <v>2012</v>
      </c>
      <c r="B11" s="168">
        <v>156945693.35438961</v>
      </c>
      <c r="D11" s="162"/>
      <c r="E11" s="163"/>
      <c r="F11" s="162"/>
      <c r="G11" s="162"/>
    </row>
    <row r="12" spans="1:7" ht="14.15" customHeight="1">
      <c r="A12" s="1045">
        <v>2013</v>
      </c>
      <c r="B12" s="169">
        <v>161434467.78945559</v>
      </c>
      <c r="D12" s="190"/>
      <c r="E12" s="163"/>
      <c r="F12" s="162"/>
      <c r="G12" s="162"/>
    </row>
    <row r="13" spans="1:7" ht="14.15" customHeight="1">
      <c r="A13" s="1045">
        <v>2014</v>
      </c>
      <c r="B13" s="169">
        <v>208366102.08833417</v>
      </c>
      <c r="D13" s="190"/>
      <c r="E13" s="163"/>
      <c r="F13" s="162"/>
      <c r="G13" s="162"/>
    </row>
    <row r="14" spans="1:7" ht="14.15" customHeight="1">
      <c r="A14" s="1045">
        <v>2015</v>
      </c>
      <c r="B14" s="169">
        <v>210994603.36485529</v>
      </c>
      <c r="D14" s="190"/>
      <c r="E14" s="163"/>
      <c r="F14" s="162"/>
      <c r="G14" s="162"/>
    </row>
    <row r="15" spans="1:7" ht="14.15" customHeight="1">
      <c r="A15" s="1045">
        <v>2016</v>
      </c>
      <c r="B15" s="169">
        <v>223074819.58170167</v>
      </c>
      <c r="D15" s="190"/>
      <c r="E15" s="163"/>
      <c r="F15" s="162"/>
      <c r="G15" s="162"/>
    </row>
    <row r="16" spans="1:7" ht="14.15" customHeight="1">
      <c r="A16" s="1045">
        <v>2017</v>
      </c>
      <c r="B16" s="169">
        <v>244370076.32769448</v>
      </c>
      <c r="D16" s="190"/>
      <c r="E16" s="163"/>
      <c r="F16" s="162"/>
      <c r="G16" s="162"/>
    </row>
    <row r="17" spans="1:7" ht="14.15" customHeight="1">
      <c r="A17" s="1045">
        <v>2018</v>
      </c>
      <c r="B17" s="169">
        <v>314543689.44675058</v>
      </c>
      <c r="D17" s="378"/>
      <c r="E17" s="163"/>
      <c r="F17" s="162"/>
      <c r="G17" s="162"/>
    </row>
    <row r="18" spans="1:7" ht="14.15" customHeight="1">
      <c r="A18" s="1045">
        <v>2019</v>
      </c>
      <c r="B18" s="169">
        <v>352673576.32049298</v>
      </c>
      <c r="D18" s="378"/>
      <c r="E18" s="163"/>
      <c r="F18" s="162"/>
      <c r="G18" s="162"/>
    </row>
    <row r="19" spans="1:7" ht="14.15" customHeight="1">
      <c r="A19" s="1045">
        <v>2020</v>
      </c>
      <c r="B19" s="169">
        <v>362781521.93254882</v>
      </c>
      <c r="D19" s="378"/>
      <c r="E19" s="163"/>
      <c r="F19" s="162"/>
      <c r="G19" s="162"/>
    </row>
    <row r="20" spans="1:7" ht="14.15" customHeight="1">
      <c r="A20" s="1045">
        <v>2021</v>
      </c>
      <c r="B20" s="169">
        <v>378603136.28511971</v>
      </c>
      <c r="D20" s="378"/>
      <c r="E20" s="163"/>
      <c r="F20" s="162"/>
      <c r="G20" s="162"/>
    </row>
    <row r="21" spans="1:7" ht="14.15" customHeight="1">
      <c r="A21" s="1045">
        <v>2022</v>
      </c>
      <c r="B21" s="169">
        <v>406492802.46544868</v>
      </c>
      <c r="D21" s="378"/>
      <c r="E21" s="163"/>
      <c r="F21" s="162"/>
      <c r="G21" s="162"/>
    </row>
    <row r="22" spans="1:7" ht="14.15" customHeight="1">
      <c r="A22" s="1045">
        <v>2023</v>
      </c>
      <c r="B22" s="169">
        <v>477274945.34478736</v>
      </c>
      <c r="D22" s="378"/>
      <c r="E22" s="163"/>
      <c r="F22" s="162"/>
    </row>
    <row r="23" spans="1:7" ht="14.15" customHeight="1">
      <c r="A23" s="1045">
        <v>2024</v>
      </c>
      <c r="B23" s="169">
        <v>508206726.9331491</v>
      </c>
      <c r="D23" s="378"/>
      <c r="E23" s="163"/>
      <c r="F23" s="162"/>
    </row>
    <row r="24" spans="1:7" s="1065" customFormat="1" ht="12.75" customHeight="1">
      <c r="A24" s="1045"/>
      <c r="B24" s="169"/>
      <c r="C24" s="160"/>
      <c r="D24" s="378"/>
      <c r="E24" s="163"/>
      <c r="F24" s="162"/>
    </row>
    <row r="25" spans="1:7" s="1065" customFormat="1" ht="11.5">
      <c r="A25" s="1065" t="s">
        <v>1</v>
      </c>
      <c r="C25" s="1231">
        <f>B20/B18-1</f>
        <v>7.3522831608635153E-2</v>
      </c>
      <c r="D25" s="1232"/>
      <c r="F25" s="1233"/>
    </row>
    <row r="26" spans="1:7" s="1065" customFormat="1" ht="28.5" customHeight="1">
      <c r="A26" s="1663" t="s">
        <v>1224</v>
      </c>
      <c r="B26" s="1663"/>
      <c r="C26" s="1663"/>
      <c r="D26" s="1663"/>
      <c r="E26" s="1663"/>
      <c r="F26" s="1663"/>
    </row>
    <row r="27" spans="1:7" s="667" customFormat="1" ht="39.5" customHeight="1">
      <c r="A27" s="1664" t="s">
        <v>1389</v>
      </c>
      <c r="B27" s="1664"/>
      <c r="C27" s="1664"/>
      <c r="D27" s="1664"/>
      <c r="E27" s="1664"/>
      <c r="F27" s="1664"/>
    </row>
    <row r="28" spans="1:7" ht="12.75" customHeight="1">
      <c r="A28" s="745" t="s">
        <v>922</v>
      </c>
      <c r="B28" s="668"/>
      <c r="C28" s="668"/>
      <c r="D28" s="668"/>
      <c r="E28" s="669"/>
      <c r="F28" s="667"/>
    </row>
    <row r="32" spans="1:7" s="1265" customFormat="1" ht="12.75" customHeight="1">
      <c r="A32" s="160"/>
      <c r="B32" s="160"/>
      <c r="C32" s="160"/>
      <c r="D32" s="160"/>
      <c r="E32" s="160"/>
      <c r="F32" s="160"/>
    </row>
  </sheetData>
  <customSheetViews>
    <customSheetView guid="{E6BBE5A7-0B25-4EE8-BA45-5EA5DBAF3AD4}" showPageBreaks="1" fitToPage="1" printArea="1">
      <pageMargins left="1" right="1" top="0.75" bottom="0.75" header="0.5" footer="0.5"/>
      <pageSetup orientation="landscape" r:id="rId1"/>
      <headerFooter alignWithMargins="0"/>
    </customSheetView>
  </customSheetViews>
  <mergeCells count="2">
    <mergeCell ref="A26:F26"/>
    <mergeCell ref="A27:F27"/>
  </mergeCells>
  <hyperlinks>
    <hyperlink ref="G1" location="TOC!A1" display="Back" xr:uid="{00000000-0004-0000-2400-000000000000}"/>
  </hyperlinks>
  <pageMargins left="0.6" right="0.25" top="0.5" bottom="0.25" header="0.25" footer="0.25"/>
  <pageSetup orientation="landscape" r:id="rId2"/>
  <headerFooter scaleWithDoc="0">
    <oddHeader>&amp;R&amp;P</oddHeader>
  </headerFooter>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23"/>
  <dimension ref="A1:D23"/>
  <sheetViews>
    <sheetView zoomScaleNormal="100" workbookViewId="0"/>
  </sheetViews>
  <sheetFormatPr defaultRowHeight="12.5"/>
  <cols>
    <col min="1" max="1" width="2.6328125" customWidth="1"/>
    <col min="2" max="2" width="74.6328125" customWidth="1"/>
    <col min="3" max="3" width="27.6328125" customWidth="1"/>
  </cols>
  <sheetData>
    <row r="1" spans="1:4" ht="15.5">
      <c r="A1" s="1247" t="s">
        <v>232</v>
      </c>
      <c r="B1" s="45"/>
      <c r="D1" s="811" t="s">
        <v>954</v>
      </c>
    </row>
    <row r="2" spans="1:4" ht="14">
      <c r="A2" s="46"/>
      <c r="B2" s="46"/>
    </row>
    <row r="3" spans="1:4" ht="14">
      <c r="B3" s="46" t="s">
        <v>1215</v>
      </c>
    </row>
    <row r="4" spans="1:4" ht="14">
      <c r="B4" s="1248" t="s">
        <v>233</v>
      </c>
    </row>
    <row r="5" spans="1:4" ht="14">
      <c r="B5" s="1248" t="s">
        <v>235</v>
      </c>
    </row>
    <row r="6" spans="1:4">
      <c r="B6" s="1249"/>
    </row>
    <row r="7" spans="1:4" ht="14">
      <c r="B7" s="47" t="s">
        <v>234</v>
      </c>
    </row>
    <row r="8" spans="1:4" ht="14">
      <c r="B8" s="1248" t="s">
        <v>233</v>
      </c>
    </row>
    <row r="9" spans="1:4" ht="14">
      <c r="B9" s="1248" t="s">
        <v>730</v>
      </c>
    </row>
    <row r="10" spans="1:4" ht="14">
      <c r="B10" s="1248" t="s">
        <v>731</v>
      </c>
    </row>
    <row r="11" spans="1:4" ht="14">
      <c r="B11" s="1248" t="s">
        <v>732</v>
      </c>
    </row>
    <row r="12" spans="1:4" ht="6" customHeight="1">
      <c r="B12" s="46"/>
    </row>
    <row r="13" spans="1:4">
      <c r="B13" s="1249" t="s">
        <v>1214</v>
      </c>
    </row>
    <row r="14" spans="1:4" ht="14">
      <c r="B14" s="1248"/>
    </row>
    <row r="15" spans="1:4" ht="14">
      <c r="B15" s="1248"/>
    </row>
    <row r="16" spans="1:4" ht="42">
      <c r="B16" s="1250" t="s">
        <v>1217</v>
      </c>
    </row>
    <row r="17" spans="1:3">
      <c r="B17" s="1252" t="s">
        <v>1216</v>
      </c>
    </row>
    <row r="18" spans="1:3" ht="14.5" thickBot="1">
      <c r="A18" s="48"/>
      <c r="B18" s="48"/>
      <c r="C18" s="48"/>
    </row>
    <row r="19" spans="1:3" ht="14.5" thickTop="1">
      <c r="A19" s="46"/>
      <c r="B19" s="46"/>
      <c r="C19" s="46"/>
    </row>
    <row r="20" spans="1:3" ht="16">
      <c r="A20" s="335"/>
    </row>
    <row r="21" spans="1:3" ht="16">
      <c r="A21" s="335"/>
    </row>
    <row r="22" spans="1:3" ht="16">
      <c r="A22" s="335"/>
    </row>
    <row r="23" spans="1:3" ht="16">
      <c r="A23" s="335"/>
    </row>
  </sheetData>
  <customSheetViews>
    <customSheetView guid="{E6BBE5A7-0B25-4EE8-BA45-5EA5DBAF3AD4}" showPageBreaks="1" printArea="1">
      <selection activeCell="E26" sqref="E26"/>
      <pageMargins left="0.75" right="0.75" top="1" bottom="1" header="0.5" footer="0.5"/>
      <printOptions horizontalCentered="1"/>
      <pageSetup orientation="landscape" r:id="rId1"/>
      <headerFooter alignWithMargins="0"/>
    </customSheetView>
  </customSheetViews>
  <phoneticPr fontId="14" type="noConversion"/>
  <hyperlinks>
    <hyperlink ref="D1" location="TOC!A1" display="Back" xr:uid="{00000000-0004-0000-2500-000000000000}"/>
    <hyperlink ref="B13" r:id="rId2" xr:uid="{00000000-0004-0000-2500-000001000000}"/>
    <hyperlink ref="B17" r:id="rId3" xr:uid="{00000000-0004-0000-2500-000002000000}"/>
  </hyperlinks>
  <pageMargins left="1.5" right="0.25" top="1.25" bottom="1" header="0.25" footer="0.5"/>
  <pageSetup orientation="landscape" r:id="rId4"/>
  <headerFooter scaleWithDoc="0">
    <oddHeader>&amp;R&amp;P</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IB113"/>
  <sheetViews>
    <sheetView zoomScale="85" zoomScaleNormal="85" workbookViewId="0"/>
  </sheetViews>
  <sheetFormatPr defaultColWidth="12.453125" defaultRowHeight="15.5"/>
  <cols>
    <col min="1" max="1" width="46.7265625" style="131" customWidth="1"/>
    <col min="2" max="10" width="0.1796875" style="131" customWidth="1"/>
    <col min="11" max="11" width="18.7265625" style="131" bestFit="1" customWidth="1"/>
    <col min="12" max="12" width="18.7265625" style="131" customWidth="1"/>
    <col min="13" max="13" width="0.81640625" style="130" customWidth="1"/>
    <col min="14" max="14" width="11.7265625" style="552" bestFit="1" customWidth="1"/>
    <col min="15" max="15" width="11.7265625" style="552" hidden="1" customWidth="1"/>
    <col min="16" max="19" width="18.7265625" style="552" customWidth="1"/>
    <col min="20" max="20" width="14.54296875" style="548" customWidth="1"/>
    <col min="21" max="21" width="4.90625" style="552" bestFit="1" customWidth="1"/>
    <col min="22" max="23" width="1.6328125" style="552" customWidth="1"/>
    <col min="24" max="24" width="8.453125" style="552" customWidth="1"/>
    <col min="25" max="25" width="11.6328125" style="552" bestFit="1" customWidth="1"/>
    <col min="26" max="26" width="7.7265625" style="552" customWidth="1"/>
    <col min="27" max="28" width="6.54296875" style="552" bestFit="1" customWidth="1"/>
    <col min="29" max="29" width="8.26953125" style="552" customWidth="1"/>
    <col min="30" max="30" width="7.7265625" style="552" bestFit="1" customWidth="1"/>
    <col min="31" max="37" width="12.453125" style="552"/>
    <col min="38" max="16384" width="12.453125" style="131"/>
  </cols>
  <sheetData>
    <row r="1" spans="1:236" ht="18">
      <c r="A1" s="813" t="s">
        <v>758</v>
      </c>
      <c r="B1" s="129"/>
      <c r="C1" s="129"/>
      <c r="D1" s="129"/>
      <c r="E1" s="129"/>
      <c r="F1" s="129"/>
      <c r="G1" s="129"/>
      <c r="H1" s="129"/>
      <c r="I1" s="129"/>
      <c r="J1" s="129"/>
      <c r="K1" s="129"/>
      <c r="L1" s="129"/>
      <c r="N1" s="1034"/>
      <c r="O1" s="1034"/>
      <c r="P1" s="548"/>
      <c r="Q1" s="548"/>
      <c r="R1" s="548"/>
      <c r="S1" s="548"/>
      <c r="U1" s="811" t="s">
        <v>954</v>
      </c>
      <c r="V1" s="548"/>
      <c r="W1" s="548"/>
      <c r="X1" s="548"/>
      <c r="Y1" s="548"/>
      <c r="Z1" s="548"/>
      <c r="AA1" s="548"/>
      <c r="AB1" s="548"/>
      <c r="AC1" s="548"/>
      <c r="AD1" s="548"/>
      <c r="AE1" s="548"/>
      <c r="AF1" s="548"/>
      <c r="AG1" s="548"/>
      <c r="AH1" s="548"/>
      <c r="AI1" s="548"/>
      <c r="AJ1" s="548"/>
      <c r="AK1" s="548"/>
      <c r="AL1" s="196"/>
      <c r="AM1" s="196"/>
      <c r="AN1" s="196"/>
      <c r="AO1" s="196"/>
      <c r="AP1" s="196"/>
      <c r="AQ1" s="196"/>
      <c r="AR1" s="130"/>
      <c r="AS1" s="130"/>
      <c r="AT1" s="130"/>
      <c r="AU1" s="130"/>
      <c r="AV1" s="130"/>
      <c r="AW1" s="130"/>
      <c r="AX1" s="130"/>
      <c r="AY1" s="130"/>
      <c r="AZ1" s="130"/>
      <c r="BA1" s="130"/>
      <c r="BB1" s="130"/>
      <c r="BC1" s="130"/>
      <c r="BD1" s="130"/>
      <c r="BE1" s="130"/>
      <c r="BF1" s="130"/>
      <c r="BG1" s="130"/>
      <c r="BH1" s="130"/>
      <c r="BI1" s="130"/>
      <c r="BJ1" s="130"/>
      <c r="BK1" s="130"/>
      <c r="BL1" s="130"/>
      <c r="BM1" s="130"/>
      <c r="BN1" s="130"/>
      <c r="BO1" s="130"/>
      <c r="BP1" s="130"/>
      <c r="BQ1" s="130"/>
      <c r="BR1" s="130"/>
      <c r="BS1" s="130"/>
      <c r="BT1" s="130"/>
      <c r="BU1" s="130"/>
      <c r="BV1" s="130"/>
      <c r="BW1" s="130"/>
      <c r="BX1" s="130"/>
      <c r="BY1" s="130"/>
      <c r="BZ1" s="130"/>
      <c r="CA1" s="130"/>
      <c r="CB1" s="130"/>
      <c r="CC1" s="130"/>
      <c r="CD1" s="130"/>
      <c r="CE1" s="130"/>
      <c r="CF1" s="130"/>
      <c r="CG1" s="130"/>
      <c r="CH1" s="130"/>
      <c r="CI1" s="130"/>
      <c r="CJ1" s="130"/>
      <c r="CK1" s="130"/>
      <c r="CL1" s="130"/>
      <c r="CM1" s="130"/>
      <c r="CN1" s="130"/>
      <c r="CO1" s="130"/>
      <c r="CP1" s="130"/>
      <c r="CQ1" s="130"/>
      <c r="CR1" s="130"/>
      <c r="CS1" s="130"/>
      <c r="CT1" s="130"/>
      <c r="CU1" s="130"/>
      <c r="CV1" s="130"/>
      <c r="CW1" s="130"/>
      <c r="CX1" s="130"/>
      <c r="CY1" s="130"/>
      <c r="CZ1" s="130"/>
      <c r="DA1" s="130"/>
      <c r="DB1" s="130"/>
      <c r="DC1" s="130"/>
      <c r="DD1" s="130"/>
      <c r="DE1" s="130"/>
      <c r="DF1" s="130"/>
      <c r="DG1" s="130"/>
      <c r="DH1" s="130"/>
      <c r="DI1" s="130"/>
      <c r="DJ1" s="130"/>
      <c r="DK1" s="130"/>
      <c r="DL1" s="130"/>
      <c r="DM1" s="130"/>
      <c r="DN1" s="130"/>
      <c r="DO1" s="130"/>
      <c r="DP1" s="130"/>
      <c r="DQ1" s="130"/>
      <c r="DR1" s="130"/>
      <c r="DS1" s="130"/>
      <c r="DT1" s="130"/>
      <c r="DU1" s="130"/>
      <c r="DV1" s="130"/>
      <c r="DW1" s="130"/>
      <c r="DX1" s="130"/>
      <c r="DY1" s="130"/>
      <c r="DZ1" s="130"/>
      <c r="EA1" s="130"/>
      <c r="EB1" s="130"/>
      <c r="EC1" s="130"/>
      <c r="ED1" s="130"/>
      <c r="EE1" s="130"/>
      <c r="EF1" s="130"/>
      <c r="EG1" s="130"/>
      <c r="EH1" s="130"/>
      <c r="EI1" s="130"/>
      <c r="EJ1" s="130"/>
      <c r="EK1" s="130"/>
      <c r="EL1" s="130"/>
      <c r="EM1" s="130"/>
      <c r="EN1" s="130"/>
      <c r="EO1" s="130"/>
      <c r="EP1" s="130"/>
      <c r="EQ1" s="130"/>
      <c r="ER1" s="130"/>
      <c r="ES1" s="130"/>
      <c r="ET1" s="130"/>
      <c r="EU1" s="130"/>
      <c r="EV1" s="130"/>
      <c r="EW1" s="130"/>
      <c r="EX1" s="130"/>
      <c r="EY1" s="130"/>
      <c r="EZ1" s="130"/>
      <c r="FA1" s="130"/>
      <c r="FB1" s="130"/>
      <c r="FC1" s="130"/>
      <c r="FD1" s="130"/>
      <c r="FE1" s="130"/>
      <c r="FF1" s="130"/>
      <c r="FG1" s="130"/>
      <c r="FH1" s="130"/>
      <c r="FI1" s="130"/>
      <c r="FJ1" s="130"/>
      <c r="FK1" s="130"/>
      <c r="FL1" s="130"/>
      <c r="FM1" s="130"/>
      <c r="FN1" s="130"/>
      <c r="FO1" s="130"/>
      <c r="FP1" s="130"/>
      <c r="FQ1" s="130"/>
      <c r="FR1" s="130"/>
      <c r="FS1" s="130"/>
      <c r="FT1" s="130"/>
      <c r="FU1" s="130"/>
      <c r="FV1" s="130"/>
      <c r="FW1" s="130"/>
      <c r="FX1" s="130"/>
      <c r="FY1" s="130"/>
      <c r="FZ1" s="130"/>
      <c r="GA1" s="130"/>
      <c r="GB1" s="130"/>
      <c r="GC1" s="130"/>
      <c r="GD1" s="130"/>
      <c r="GE1" s="130"/>
      <c r="GF1" s="130"/>
      <c r="GG1" s="130"/>
      <c r="GH1" s="130"/>
      <c r="GI1" s="130"/>
      <c r="GJ1" s="130"/>
      <c r="GK1" s="130"/>
      <c r="GL1" s="130"/>
      <c r="GM1" s="130"/>
      <c r="GN1" s="130"/>
      <c r="GO1" s="130"/>
      <c r="GP1" s="130"/>
      <c r="GQ1" s="130"/>
      <c r="GR1" s="130"/>
      <c r="GS1" s="130"/>
      <c r="GT1" s="130"/>
      <c r="GU1" s="130"/>
      <c r="GV1" s="130"/>
      <c r="GW1" s="130"/>
      <c r="GX1" s="130"/>
      <c r="GY1" s="130"/>
      <c r="GZ1" s="130"/>
      <c r="HA1" s="130"/>
      <c r="HB1" s="130"/>
      <c r="HC1" s="130"/>
      <c r="HD1" s="130"/>
      <c r="HE1" s="130"/>
      <c r="HF1" s="130"/>
      <c r="HG1" s="130"/>
      <c r="HH1" s="130"/>
      <c r="HI1" s="130"/>
      <c r="HJ1" s="130"/>
      <c r="HK1" s="130"/>
      <c r="HL1" s="130"/>
      <c r="HM1" s="130"/>
      <c r="HN1" s="130"/>
      <c r="HO1" s="130"/>
      <c r="HP1" s="130"/>
      <c r="HQ1" s="130"/>
      <c r="HR1" s="130"/>
      <c r="HS1" s="130"/>
      <c r="HT1" s="130"/>
      <c r="HU1" s="130"/>
      <c r="HV1" s="130"/>
      <c r="HW1" s="130"/>
      <c r="HX1" s="130"/>
      <c r="HY1" s="130"/>
      <c r="HZ1" s="130"/>
      <c r="IA1" s="130"/>
    </row>
    <row r="2" spans="1:236">
      <c r="A2" s="130" t="s">
        <v>243</v>
      </c>
      <c r="B2" s="129"/>
      <c r="C2" s="129"/>
      <c r="D2" s="129"/>
      <c r="E2" s="129"/>
      <c r="F2" s="129"/>
      <c r="G2" s="129"/>
      <c r="H2" s="129"/>
      <c r="I2" s="129"/>
      <c r="J2" s="129"/>
      <c r="K2" s="129"/>
      <c r="L2" s="129"/>
      <c r="N2" s="1034"/>
      <c r="O2" s="1034"/>
      <c r="P2" s="548"/>
      <c r="Q2" s="548"/>
      <c r="R2" s="548"/>
      <c r="S2" s="548"/>
      <c r="U2" s="550"/>
      <c r="V2" s="551"/>
      <c r="W2" s="551"/>
      <c r="X2" s="551"/>
      <c r="Y2" s="551"/>
      <c r="AG2" s="548"/>
      <c r="AH2" s="548"/>
      <c r="AI2" s="548"/>
      <c r="AJ2" s="548"/>
      <c r="AK2" s="548"/>
      <c r="AL2" s="196"/>
      <c r="AM2" s="196"/>
      <c r="AN2" s="196"/>
      <c r="AO2" s="196"/>
      <c r="AP2" s="196"/>
      <c r="AQ2" s="196"/>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30"/>
      <c r="DX2" s="130"/>
      <c r="DY2" s="130"/>
      <c r="DZ2" s="130"/>
      <c r="EA2" s="130"/>
      <c r="EB2" s="130"/>
      <c r="EC2" s="130"/>
      <c r="ED2" s="130"/>
      <c r="EE2" s="130"/>
      <c r="EF2" s="130"/>
      <c r="EG2" s="130"/>
      <c r="EH2" s="130"/>
      <c r="EI2" s="130"/>
      <c r="EJ2" s="130"/>
      <c r="EK2" s="130"/>
      <c r="EL2" s="130"/>
      <c r="EM2" s="130"/>
      <c r="EN2" s="130"/>
      <c r="EO2" s="130"/>
      <c r="EP2" s="130"/>
      <c r="EQ2" s="130"/>
      <c r="ER2" s="130"/>
      <c r="ES2" s="130"/>
      <c r="ET2" s="130"/>
      <c r="EU2" s="130"/>
      <c r="EV2" s="130"/>
      <c r="EW2" s="130"/>
      <c r="EX2" s="130"/>
      <c r="EY2" s="130"/>
      <c r="EZ2" s="130"/>
      <c r="FA2" s="130"/>
      <c r="FB2" s="130"/>
      <c r="FC2" s="130"/>
      <c r="FD2" s="130"/>
      <c r="FE2" s="130"/>
      <c r="FF2" s="130"/>
      <c r="FG2" s="130"/>
      <c r="FH2" s="130"/>
      <c r="FI2" s="130"/>
      <c r="FJ2" s="130"/>
      <c r="FK2" s="130"/>
      <c r="FL2" s="130"/>
      <c r="FM2" s="130"/>
      <c r="FN2" s="130"/>
      <c r="FO2" s="130"/>
      <c r="FP2" s="130"/>
      <c r="FQ2" s="130"/>
      <c r="FR2" s="130"/>
      <c r="FS2" s="130"/>
      <c r="FT2" s="130"/>
      <c r="FU2" s="130"/>
      <c r="FV2" s="130"/>
      <c r="FW2" s="130"/>
      <c r="FX2" s="130"/>
      <c r="FY2" s="130"/>
      <c r="FZ2" s="130"/>
      <c r="GA2" s="130"/>
      <c r="GB2" s="130"/>
      <c r="GC2" s="130"/>
      <c r="GD2" s="130"/>
      <c r="GE2" s="130"/>
      <c r="GF2" s="130"/>
      <c r="GG2" s="130"/>
      <c r="GH2" s="130"/>
      <c r="GI2" s="130"/>
      <c r="GJ2" s="130"/>
      <c r="GK2" s="130"/>
      <c r="GL2" s="130"/>
      <c r="GM2" s="130"/>
      <c r="GN2" s="130"/>
      <c r="GO2" s="130"/>
      <c r="GP2" s="130"/>
      <c r="GQ2" s="130"/>
      <c r="GR2" s="130"/>
      <c r="GS2" s="130"/>
      <c r="GT2" s="130"/>
      <c r="GU2" s="130"/>
      <c r="GV2" s="130"/>
      <c r="GW2" s="130"/>
      <c r="GX2" s="130"/>
      <c r="GY2" s="130"/>
      <c r="GZ2" s="130"/>
      <c r="HA2" s="130"/>
      <c r="HB2" s="130"/>
      <c r="HC2" s="130"/>
      <c r="HD2" s="130"/>
      <c r="HE2" s="130"/>
      <c r="HF2" s="130"/>
      <c r="HG2" s="130"/>
      <c r="HH2" s="130"/>
      <c r="HI2" s="130"/>
      <c r="HJ2" s="130"/>
      <c r="HK2" s="130"/>
      <c r="HL2" s="130"/>
      <c r="HM2" s="130"/>
      <c r="HN2" s="130"/>
      <c r="HO2" s="130"/>
      <c r="HP2" s="130"/>
      <c r="HQ2" s="130"/>
      <c r="HR2" s="130"/>
      <c r="HS2" s="130"/>
      <c r="HT2" s="130"/>
      <c r="HU2" s="130"/>
      <c r="HV2" s="130"/>
      <c r="HW2" s="130"/>
      <c r="HX2" s="130"/>
      <c r="HY2" s="130"/>
      <c r="HZ2" s="130"/>
      <c r="IA2" s="130"/>
    </row>
    <row r="3" spans="1:236" ht="15" customHeight="1">
      <c r="A3" s="199"/>
      <c r="B3" s="130"/>
      <c r="C3" s="130"/>
      <c r="D3" s="130"/>
      <c r="E3" s="130"/>
      <c r="F3" s="130"/>
      <c r="G3" s="130"/>
      <c r="H3" s="130"/>
      <c r="I3" s="130"/>
      <c r="J3" s="130"/>
      <c r="K3" s="130"/>
      <c r="L3" s="130"/>
      <c r="N3" s="1588" t="str">
        <f>RIGHT(L4,4)&amp;"/"&amp;RIGHT(K4,4)</f>
        <v>2024/2023</v>
      </c>
      <c r="O3" s="551"/>
      <c r="P3" s="548"/>
      <c r="Q3" s="548"/>
      <c r="R3" s="548"/>
      <c r="S3" s="548"/>
      <c r="U3" s="548"/>
      <c r="V3" s="553"/>
      <c r="W3" s="553"/>
      <c r="X3" s="553"/>
      <c r="Y3" s="554"/>
      <c r="AG3" s="548"/>
      <c r="AH3" s="548"/>
      <c r="AI3" s="548"/>
      <c r="AJ3" s="548"/>
      <c r="AK3" s="548"/>
      <c r="AL3" s="196"/>
      <c r="AM3" s="196"/>
      <c r="AN3" s="196"/>
      <c r="AO3" s="196"/>
      <c r="AP3" s="196"/>
      <c r="AQ3" s="196"/>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30"/>
      <c r="DX3" s="130"/>
      <c r="DY3" s="130"/>
      <c r="DZ3" s="130"/>
      <c r="EA3" s="130"/>
      <c r="EB3" s="130"/>
      <c r="EC3" s="130"/>
      <c r="ED3" s="130"/>
      <c r="EE3" s="130"/>
      <c r="EF3" s="130"/>
      <c r="EG3" s="130"/>
      <c r="EH3" s="130"/>
      <c r="EI3" s="130"/>
      <c r="EJ3" s="130"/>
      <c r="EK3" s="130"/>
      <c r="EL3" s="130"/>
      <c r="EM3" s="130"/>
      <c r="EN3" s="130"/>
      <c r="EO3" s="130"/>
      <c r="EP3" s="130"/>
      <c r="EQ3" s="130"/>
      <c r="ER3" s="130"/>
      <c r="ES3" s="130"/>
      <c r="ET3" s="130"/>
      <c r="EU3" s="130"/>
      <c r="EV3" s="130"/>
      <c r="EW3" s="130"/>
      <c r="EX3" s="130"/>
      <c r="EY3" s="130"/>
      <c r="EZ3" s="130"/>
      <c r="FA3" s="130"/>
      <c r="FB3" s="130"/>
      <c r="FC3" s="130"/>
      <c r="FD3" s="130"/>
      <c r="FE3" s="130"/>
      <c r="FF3" s="130"/>
      <c r="FG3" s="130"/>
      <c r="FH3" s="130"/>
      <c r="FI3" s="130"/>
      <c r="FJ3" s="130"/>
      <c r="FK3" s="130"/>
      <c r="FL3" s="130"/>
      <c r="FM3" s="130"/>
      <c r="FN3" s="130"/>
      <c r="FO3" s="130"/>
      <c r="FP3" s="130"/>
      <c r="FQ3" s="130"/>
      <c r="FR3" s="130"/>
      <c r="FS3" s="130"/>
      <c r="FT3" s="130"/>
      <c r="FU3" s="130"/>
      <c r="FV3" s="130"/>
      <c r="FW3" s="130"/>
      <c r="FX3" s="130"/>
      <c r="FY3" s="130"/>
      <c r="FZ3" s="130"/>
      <c r="GA3" s="130"/>
      <c r="GB3" s="130"/>
      <c r="GC3" s="130"/>
      <c r="GD3" s="130"/>
      <c r="GE3" s="130"/>
      <c r="GF3" s="130"/>
      <c r="GG3" s="130"/>
      <c r="GH3" s="130"/>
      <c r="GI3" s="130"/>
      <c r="GJ3" s="130"/>
      <c r="GK3" s="130"/>
      <c r="GL3" s="130"/>
      <c r="GM3" s="130"/>
      <c r="GN3" s="130"/>
      <c r="GO3" s="130"/>
      <c r="GP3" s="130"/>
      <c r="GQ3" s="130"/>
      <c r="GR3" s="130"/>
      <c r="GS3" s="130"/>
      <c r="GT3" s="130"/>
      <c r="GU3" s="130"/>
      <c r="GV3" s="130"/>
      <c r="GW3" s="130"/>
      <c r="GX3" s="130"/>
      <c r="GY3" s="130"/>
      <c r="GZ3" s="130"/>
      <c r="HA3" s="130"/>
      <c r="HB3" s="130"/>
      <c r="HC3" s="130"/>
      <c r="HD3" s="130"/>
      <c r="HE3" s="130"/>
      <c r="HF3" s="130"/>
      <c r="HG3" s="130"/>
      <c r="HH3" s="130"/>
      <c r="HI3" s="130"/>
      <c r="HJ3" s="130"/>
      <c r="HK3" s="130"/>
      <c r="HL3" s="130"/>
      <c r="HM3" s="130"/>
      <c r="HN3" s="130"/>
      <c r="HO3" s="130"/>
      <c r="HP3" s="130"/>
      <c r="HQ3" s="130"/>
      <c r="HR3" s="130"/>
      <c r="HS3" s="130"/>
      <c r="HT3" s="130"/>
      <c r="HU3" s="130"/>
      <c r="HV3" s="130"/>
      <c r="HW3" s="130"/>
      <c r="HX3" s="130"/>
      <c r="HY3" s="130"/>
      <c r="HZ3" s="130"/>
      <c r="IA3" s="130"/>
    </row>
    <row r="4" spans="1:236" ht="15" customHeight="1">
      <c r="A4" s="132" t="s">
        <v>244</v>
      </c>
      <c r="B4" s="1421">
        <v>2014</v>
      </c>
      <c r="C4" s="1421" t="s">
        <v>881</v>
      </c>
      <c r="D4" s="1421" t="s">
        <v>882</v>
      </c>
      <c r="E4" s="1421" t="s">
        <v>883</v>
      </c>
      <c r="F4" s="1421" t="s">
        <v>884</v>
      </c>
      <c r="G4" s="1421" t="s">
        <v>885</v>
      </c>
      <c r="H4" s="560" t="s">
        <v>886</v>
      </c>
      <c r="I4" s="560" t="s">
        <v>887</v>
      </c>
      <c r="J4" s="560" t="s">
        <v>1168</v>
      </c>
      <c r="K4" s="2" t="s">
        <v>1263</v>
      </c>
      <c r="L4" s="2" t="s">
        <v>1313</v>
      </c>
      <c r="N4" s="1589" t="s">
        <v>242</v>
      </c>
      <c r="O4" s="1292" t="s">
        <v>1236</v>
      </c>
      <c r="P4" s="555"/>
      <c r="Q4" s="555"/>
      <c r="R4" s="555"/>
      <c r="S4" s="555"/>
      <c r="U4" s="548"/>
      <c r="V4" s="553"/>
      <c r="W4" s="553"/>
      <c r="X4" s="553"/>
      <c r="Y4" s="554"/>
      <c r="AG4" s="548"/>
      <c r="AH4" s="548"/>
      <c r="AI4" s="548"/>
      <c r="AJ4" s="548"/>
      <c r="AK4" s="548"/>
      <c r="AL4" s="196"/>
      <c r="AM4" s="196"/>
      <c r="AN4" s="196"/>
      <c r="AO4" s="196"/>
      <c r="AP4" s="196"/>
      <c r="AQ4" s="196"/>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0"/>
      <c r="BX4" s="130"/>
      <c r="BY4" s="130"/>
      <c r="BZ4" s="130"/>
      <c r="CA4" s="130"/>
      <c r="CB4" s="130"/>
      <c r="CC4" s="130"/>
      <c r="CD4" s="130"/>
      <c r="CE4" s="130"/>
      <c r="CF4" s="130"/>
      <c r="CG4" s="130"/>
      <c r="CH4" s="130"/>
      <c r="CI4" s="130"/>
      <c r="CJ4" s="130"/>
      <c r="CK4" s="130"/>
      <c r="CL4" s="130"/>
      <c r="CM4" s="130"/>
      <c r="CN4" s="130"/>
      <c r="CO4" s="130"/>
      <c r="CP4" s="130"/>
      <c r="CQ4" s="130"/>
      <c r="CR4" s="130"/>
      <c r="CS4" s="130"/>
      <c r="CT4" s="130"/>
      <c r="CU4" s="130"/>
      <c r="CV4" s="130"/>
      <c r="CW4" s="130"/>
      <c r="CX4" s="130"/>
      <c r="CY4" s="130"/>
      <c r="CZ4" s="130"/>
      <c r="DA4" s="130"/>
      <c r="DB4" s="130"/>
      <c r="DC4" s="130"/>
      <c r="DD4" s="130"/>
      <c r="DE4" s="130"/>
      <c r="DF4" s="130"/>
      <c r="DG4" s="130"/>
      <c r="DH4" s="130"/>
      <c r="DI4" s="130"/>
      <c r="DJ4" s="130"/>
      <c r="DK4" s="130"/>
      <c r="DL4" s="130"/>
      <c r="DM4" s="130"/>
      <c r="DN4" s="130"/>
      <c r="DO4" s="130"/>
      <c r="DP4" s="130"/>
      <c r="DQ4" s="130"/>
      <c r="DR4" s="130"/>
      <c r="DS4" s="130"/>
      <c r="DT4" s="130"/>
      <c r="DU4" s="130"/>
      <c r="DV4" s="130"/>
      <c r="DW4" s="130"/>
      <c r="DX4" s="130"/>
      <c r="DY4" s="130"/>
      <c r="DZ4" s="130"/>
      <c r="EA4" s="130"/>
      <c r="EB4" s="130"/>
      <c r="EC4" s="130"/>
      <c r="ED4" s="130"/>
      <c r="EE4" s="130"/>
      <c r="EF4" s="130"/>
      <c r="EG4" s="130"/>
      <c r="EH4" s="130"/>
      <c r="EI4" s="130"/>
      <c r="EJ4" s="130"/>
      <c r="EK4" s="130"/>
      <c r="EL4" s="130"/>
      <c r="EM4" s="130"/>
      <c r="EN4" s="130"/>
      <c r="EO4" s="130"/>
      <c r="EP4" s="130"/>
      <c r="EQ4" s="130"/>
      <c r="ER4" s="130"/>
      <c r="ES4" s="130"/>
      <c r="ET4" s="130"/>
      <c r="EU4" s="130"/>
      <c r="EV4" s="130"/>
      <c r="EW4" s="130"/>
      <c r="EX4" s="130"/>
      <c r="EY4" s="130"/>
      <c r="EZ4" s="130"/>
      <c r="FA4" s="130"/>
      <c r="FB4" s="130"/>
      <c r="FC4" s="130"/>
      <c r="FD4" s="130"/>
      <c r="FE4" s="130"/>
      <c r="FF4" s="130"/>
      <c r="FG4" s="130"/>
      <c r="FH4" s="130"/>
      <c r="FI4" s="130"/>
      <c r="FJ4" s="130"/>
      <c r="FK4" s="130"/>
      <c r="FL4" s="130"/>
      <c r="FM4" s="130"/>
      <c r="FN4" s="130"/>
      <c r="FO4" s="130"/>
      <c r="FP4" s="130"/>
      <c r="FQ4" s="130"/>
      <c r="FR4" s="130"/>
      <c r="FS4" s="130"/>
      <c r="FT4" s="130"/>
      <c r="FU4" s="130"/>
      <c r="FV4" s="130"/>
      <c r="FW4" s="130"/>
      <c r="FX4" s="130"/>
      <c r="FY4" s="130"/>
      <c r="FZ4" s="130"/>
      <c r="GA4" s="130"/>
      <c r="GB4" s="130"/>
      <c r="GC4" s="130"/>
      <c r="GD4" s="130"/>
      <c r="GE4" s="130"/>
      <c r="GF4" s="130"/>
      <c r="GG4" s="130"/>
      <c r="GH4" s="130"/>
      <c r="GI4" s="130"/>
      <c r="GJ4" s="130"/>
      <c r="GK4" s="130"/>
      <c r="GL4" s="130"/>
      <c r="GM4" s="130"/>
      <c r="GN4" s="130"/>
      <c r="GO4" s="130"/>
      <c r="GP4" s="130"/>
      <c r="GQ4" s="130"/>
      <c r="GR4" s="130"/>
      <c r="GS4" s="130"/>
      <c r="GT4" s="130"/>
      <c r="GU4" s="130"/>
      <c r="GV4" s="130"/>
      <c r="GW4" s="130"/>
      <c r="GX4" s="130"/>
      <c r="GY4" s="130"/>
      <c r="GZ4" s="130"/>
      <c r="HA4" s="130"/>
      <c r="HB4" s="130"/>
      <c r="HC4" s="130"/>
      <c r="HD4" s="130"/>
      <c r="HE4" s="130"/>
      <c r="HF4" s="130"/>
      <c r="HG4" s="130"/>
      <c r="HH4" s="130"/>
      <c r="HI4" s="130"/>
      <c r="HJ4" s="130"/>
      <c r="HK4" s="130"/>
      <c r="HL4" s="130"/>
      <c r="HM4" s="130"/>
      <c r="HN4" s="130"/>
      <c r="HO4" s="130"/>
      <c r="HP4" s="130"/>
      <c r="HQ4" s="130"/>
      <c r="HR4" s="130"/>
      <c r="HS4" s="130"/>
      <c r="HT4" s="130"/>
      <c r="HU4" s="130"/>
      <c r="HV4" s="130"/>
      <c r="HW4" s="130"/>
      <c r="HX4" s="130"/>
      <c r="HY4" s="130"/>
      <c r="HZ4" s="130"/>
      <c r="IA4" s="130"/>
    </row>
    <row r="5" spans="1:236" ht="14.15" customHeight="1">
      <c r="A5" s="204"/>
      <c r="B5" s="133"/>
      <c r="C5" s="133"/>
      <c r="D5" s="133"/>
      <c r="E5" s="133"/>
      <c r="F5" s="133"/>
      <c r="G5" s="133"/>
      <c r="H5" s="133"/>
      <c r="I5" s="133"/>
      <c r="J5" s="133"/>
      <c r="K5" s="1590"/>
      <c r="L5" s="1590"/>
      <c r="N5" s="131"/>
      <c r="O5" s="1293"/>
      <c r="P5" s="555"/>
      <c r="Q5" s="555"/>
      <c r="R5" s="555"/>
      <c r="S5" s="555"/>
      <c r="U5" s="549"/>
      <c r="V5" s="548"/>
      <c r="W5" s="548"/>
      <c r="X5" s="548"/>
      <c r="Y5" s="548"/>
      <c r="Z5" s="548"/>
      <c r="AA5" s="548"/>
      <c r="AB5" s="548"/>
      <c r="AC5" s="548"/>
      <c r="AD5" s="548"/>
      <c r="AE5" s="548"/>
      <c r="AF5" s="548"/>
      <c r="AG5" s="548"/>
      <c r="AH5" s="548"/>
      <c r="AI5" s="548"/>
      <c r="AJ5" s="548"/>
      <c r="AK5" s="548"/>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0"/>
      <c r="BK5" s="130"/>
      <c r="BL5" s="130"/>
      <c r="BM5" s="130"/>
      <c r="BN5" s="130"/>
      <c r="BO5" s="130"/>
      <c r="BP5" s="130"/>
      <c r="BQ5" s="130"/>
      <c r="BR5" s="130"/>
      <c r="BS5" s="130"/>
      <c r="BT5" s="130"/>
      <c r="BU5" s="130"/>
      <c r="BV5" s="130"/>
      <c r="BW5" s="130"/>
      <c r="BX5" s="130"/>
      <c r="BY5" s="130"/>
      <c r="BZ5" s="130"/>
      <c r="CA5" s="130"/>
      <c r="CB5" s="130"/>
      <c r="CC5" s="130"/>
      <c r="CD5" s="130"/>
      <c r="CE5" s="130"/>
      <c r="CF5" s="130"/>
      <c r="CG5" s="130"/>
      <c r="CH5" s="130"/>
      <c r="CI5" s="130"/>
      <c r="CJ5" s="130"/>
      <c r="CK5" s="130"/>
      <c r="CL5" s="130"/>
      <c r="CM5" s="130"/>
      <c r="CN5" s="130"/>
      <c r="CO5" s="130"/>
      <c r="CP5" s="130"/>
      <c r="CQ5" s="130"/>
      <c r="CR5" s="130"/>
      <c r="CS5" s="130"/>
      <c r="CT5" s="130"/>
      <c r="CU5" s="130"/>
      <c r="CV5" s="130"/>
      <c r="CW5" s="130"/>
      <c r="CX5" s="130"/>
      <c r="CY5" s="130"/>
      <c r="CZ5" s="130"/>
      <c r="DA5" s="130"/>
      <c r="DB5" s="130"/>
      <c r="DC5" s="130"/>
      <c r="DD5" s="130"/>
      <c r="DE5" s="130"/>
      <c r="DF5" s="130"/>
      <c r="DG5" s="130"/>
      <c r="DH5" s="130"/>
      <c r="DI5" s="130"/>
      <c r="DJ5" s="130"/>
      <c r="DK5" s="130"/>
      <c r="DL5" s="130"/>
      <c r="DM5" s="130"/>
      <c r="DN5" s="130"/>
      <c r="DO5" s="130"/>
      <c r="DP5" s="130"/>
      <c r="DQ5" s="130"/>
      <c r="DR5" s="130"/>
      <c r="DS5" s="130"/>
      <c r="DT5" s="130"/>
      <c r="DU5" s="130"/>
      <c r="DV5" s="130"/>
      <c r="DW5" s="130"/>
      <c r="DX5" s="130"/>
      <c r="DY5" s="130"/>
      <c r="DZ5" s="130"/>
      <c r="EA5" s="130"/>
      <c r="EB5" s="130"/>
      <c r="EC5" s="130"/>
      <c r="ED5" s="130"/>
      <c r="EE5" s="130"/>
      <c r="EF5" s="130"/>
      <c r="EG5" s="130"/>
      <c r="EH5" s="130"/>
      <c r="EI5" s="130"/>
      <c r="EJ5" s="130"/>
      <c r="EK5" s="130"/>
      <c r="EL5" s="130"/>
      <c r="EM5" s="130"/>
      <c r="EN5" s="130"/>
      <c r="EO5" s="130"/>
      <c r="EP5" s="130"/>
      <c r="EQ5" s="130"/>
      <c r="ER5" s="130"/>
      <c r="ES5" s="130"/>
      <c r="ET5" s="130"/>
      <c r="EU5" s="130"/>
      <c r="EV5" s="130"/>
      <c r="EW5" s="130"/>
      <c r="EX5" s="130"/>
      <c r="EY5" s="130"/>
      <c r="EZ5" s="130"/>
      <c r="FA5" s="130"/>
      <c r="FB5" s="130"/>
      <c r="FC5" s="130"/>
      <c r="FD5" s="130"/>
      <c r="FE5" s="130"/>
      <c r="FF5" s="130"/>
      <c r="FG5" s="130"/>
      <c r="FH5" s="130"/>
      <c r="FI5" s="130"/>
      <c r="FJ5" s="130"/>
      <c r="FK5" s="130"/>
      <c r="FL5" s="130"/>
      <c r="FM5" s="130"/>
      <c r="FN5" s="130"/>
      <c r="FO5" s="130"/>
      <c r="FP5" s="130"/>
      <c r="FQ5" s="130"/>
      <c r="FR5" s="130"/>
      <c r="FS5" s="130"/>
      <c r="FT5" s="130"/>
      <c r="FU5" s="130"/>
      <c r="FV5" s="130"/>
      <c r="FW5" s="130"/>
      <c r="FX5" s="130"/>
      <c r="FY5" s="130"/>
      <c r="FZ5" s="130"/>
      <c r="GA5" s="130"/>
      <c r="GB5" s="130"/>
      <c r="GC5" s="130"/>
      <c r="GD5" s="130"/>
      <c r="GE5" s="130"/>
      <c r="GF5" s="130"/>
      <c r="GG5" s="130"/>
      <c r="GH5" s="130"/>
      <c r="GI5" s="130"/>
      <c r="GJ5" s="130"/>
      <c r="GK5" s="130"/>
      <c r="GL5" s="130"/>
      <c r="GM5" s="130"/>
      <c r="GN5" s="130"/>
      <c r="GO5" s="130"/>
      <c r="GP5" s="130"/>
      <c r="GQ5" s="130"/>
      <c r="GR5" s="130"/>
      <c r="GS5" s="130"/>
      <c r="GT5" s="130"/>
      <c r="GU5" s="130"/>
      <c r="GV5" s="130"/>
      <c r="GW5" s="130"/>
      <c r="GX5" s="130"/>
      <c r="GY5" s="130"/>
      <c r="GZ5" s="130"/>
      <c r="HA5" s="130"/>
      <c r="HB5" s="130"/>
      <c r="HC5" s="130"/>
      <c r="HD5" s="130"/>
      <c r="HE5" s="130"/>
      <c r="HF5" s="130"/>
      <c r="HG5" s="130"/>
      <c r="HH5" s="130"/>
      <c r="HI5" s="130"/>
      <c r="HJ5" s="130"/>
      <c r="HK5" s="130"/>
      <c r="HL5" s="130"/>
      <c r="HM5" s="130"/>
      <c r="HN5" s="130"/>
      <c r="HO5" s="130"/>
      <c r="HP5" s="130"/>
      <c r="HQ5" s="130"/>
      <c r="HR5" s="130"/>
      <c r="HS5" s="130"/>
      <c r="HT5" s="130"/>
      <c r="HU5" s="130"/>
      <c r="HV5" s="130"/>
      <c r="HW5" s="130"/>
      <c r="HX5" s="130"/>
      <c r="HY5" s="130"/>
      <c r="HZ5" s="130"/>
      <c r="IA5" s="130"/>
      <c r="IB5" s="130"/>
    </row>
    <row r="6" spans="1:236" ht="14.15" customHeight="1">
      <c r="A6" s="132" t="s">
        <v>245</v>
      </c>
      <c r="B6" s="900"/>
      <c r="C6" s="900"/>
      <c r="D6" s="900"/>
      <c r="E6" s="900"/>
      <c r="F6" s="900"/>
      <c r="G6" s="900"/>
      <c r="H6" s="900"/>
      <c r="I6" s="134"/>
      <c r="J6" s="134"/>
      <c r="K6" s="1591"/>
      <c r="L6" s="1591"/>
      <c r="N6" s="1592"/>
      <c r="O6" s="1294"/>
      <c r="P6" s="548"/>
      <c r="Q6" s="548"/>
      <c r="R6" s="548"/>
      <c r="S6" s="548"/>
      <c r="U6" s="549"/>
      <c r="V6" s="548"/>
      <c r="W6" s="548"/>
      <c r="X6" s="548"/>
      <c r="Y6" s="548"/>
      <c r="Z6" s="548"/>
      <c r="AA6" s="548"/>
      <c r="AB6" s="548"/>
      <c r="AC6" s="548"/>
      <c r="AD6" s="548"/>
      <c r="AE6" s="548"/>
      <c r="AF6" s="548"/>
      <c r="AG6" s="548"/>
      <c r="AH6" s="548"/>
      <c r="AI6" s="548"/>
      <c r="AJ6" s="548"/>
      <c r="AK6" s="548"/>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c r="DA6" s="130"/>
      <c r="DB6" s="130"/>
      <c r="DC6" s="130"/>
      <c r="DD6" s="130"/>
      <c r="DE6" s="130"/>
      <c r="DF6" s="130"/>
      <c r="DG6" s="130"/>
      <c r="DH6" s="130"/>
      <c r="DI6" s="130"/>
      <c r="DJ6" s="130"/>
      <c r="DK6" s="130"/>
      <c r="DL6" s="130"/>
      <c r="DM6" s="130"/>
      <c r="DN6" s="130"/>
      <c r="DO6" s="130"/>
      <c r="DP6" s="130"/>
      <c r="DQ6" s="130"/>
      <c r="DR6" s="130"/>
      <c r="DS6" s="130"/>
      <c r="DT6" s="130"/>
      <c r="DU6" s="130"/>
      <c r="DV6" s="130"/>
      <c r="DW6" s="130"/>
      <c r="DX6" s="130"/>
      <c r="DY6" s="130"/>
      <c r="DZ6" s="130"/>
      <c r="EA6" s="130"/>
      <c r="EB6" s="130"/>
      <c r="EC6" s="130"/>
      <c r="ED6" s="130"/>
      <c r="EE6" s="130"/>
      <c r="EF6" s="130"/>
      <c r="EG6" s="130"/>
      <c r="EH6" s="130"/>
      <c r="EI6" s="130"/>
      <c r="EJ6" s="130"/>
      <c r="EK6" s="130"/>
      <c r="EL6" s="130"/>
      <c r="EM6" s="130"/>
      <c r="EN6" s="130"/>
      <c r="EO6" s="130"/>
      <c r="EP6" s="130"/>
      <c r="EQ6" s="130"/>
      <c r="ER6" s="130"/>
      <c r="ES6" s="130"/>
      <c r="ET6" s="130"/>
      <c r="EU6" s="130"/>
      <c r="EV6" s="130"/>
      <c r="EW6" s="130"/>
      <c r="EX6" s="130"/>
      <c r="EY6" s="130"/>
      <c r="EZ6" s="130"/>
      <c r="FA6" s="130"/>
      <c r="FB6" s="130"/>
      <c r="FC6" s="130"/>
      <c r="FD6" s="130"/>
      <c r="FE6" s="130"/>
      <c r="FF6" s="130"/>
      <c r="FG6" s="130"/>
      <c r="FH6" s="130"/>
      <c r="FI6" s="130"/>
      <c r="FJ6" s="130"/>
      <c r="FK6" s="130"/>
      <c r="FL6" s="130"/>
      <c r="FM6" s="130"/>
      <c r="FN6" s="130"/>
      <c r="FO6" s="130"/>
      <c r="FP6" s="130"/>
      <c r="FQ6" s="130"/>
      <c r="FR6" s="130"/>
      <c r="FS6" s="130"/>
      <c r="FT6" s="130"/>
      <c r="FU6" s="130"/>
      <c r="FV6" s="130"/>
      <c r="FW6" s="130"/>
      <c r="FX6" s="130"/>
      <c r="FY6" s="130"/>
      <c r="FZ6" s="130"/>
      <c r="GA6" s="130"/>
      <c r="GB6" s="130"/>
      <c r="GC6" s="130"/>
      <c r="GD6" s="130"/>
      <c r="GE6" s="130"/>
      <c r="GF6" s="130"/>
      <c r="GG6" s="130"/>
      <c r="GH6" s="130"/>
      <c r="GI6" s="130"/>
      <c r="GJ6" s="130"/>
      <c r="GK6" s="130"/>
      <c r="GL6" s="130"/>
      <c r="GM6" s="130"/>
      <c r="GN6" s="130"/>
      <c r="GO6" s="130"/>
      <c r="GP6" s="130"/>
      <c r="GQ6" s="130"/>
      <c r="GR6" s="130"/>
      <c r="GS6" s="130"/>
      <c r="GT6" s="130"/>
      <c r="GU6" s="130"/>
      <c r="GV6" s="130"/>
      <c r="GW6" s="130"/>
      <c r="GX6" s="130"/>
      <c r="GY6" s="130"/>
      <c r="GZ6" s="130"/>
      <c r="HA6" s="130"/>
      <c r="HB6" s="130"/>
      <c r="HC6" s="130"/>
      <c r="HD6" s="130"/>
      <c r="HE6" s="130"/>
      <c r="HF6" s="130"/>
      <c r="HG6" s="130"/>
      <c r="HH6" s="130"/>
      <c r="HI6" s="130"/>
      <c r="HJ6" s="130"/>
      <c r="HK6" s="130"/>
      <c r="HL6" s="130"/>
      <c r="HM6" s="130"/>
      <c r="HN6" s="130"/>
      <c r="HO6" s="130"/>
      <c r="HP6" s="130"/>
      <c r="HQ6" s="130"/>
      <c r="HR6" s="130"/>
      <c r="HS6" s="130"/>
      <c r="HT6" s="130"/>
      <c r="HU6" s="130"/>
      <c r="HV6" s="130"/>
      <c r="HW6" s="130"/>
      <c r="HX6" s="130"/>
      <c r="HY6" s="130"/>
      <c r="HZ6" s="130"/>
      <c r="IA6" s="130"/>
      <c r="IB6" s="130"/>
    </row>
    <row r="7" spans="1:236" ht="15.65" customHeight="1">
      <c r="A7" s="1243" t="s">
        <v>1265</v>
      </c>
      <c r="B7" s="901"/>
      <c r="C7" s="901"/>
      <c r="D7" s="901"/>
      <c r="E7" s="901"/>
      <c r="F7" s="901"/>
      <c r="G7" s="1387">
        <v>29641000</v>
      </c>
      <c r="H7" s="1462">
        <v>25949000</v>
      </c>
      <c r="I7" s="1462">
        <v>29336000</v>
      </c>
      <c r="J7" s="1462">
        <v>30170000</v>
      </c>
      <c r="K7" s="1462">
        <v>30120000</v>
      </c>
      <c r="L7" s="1462">
        <v>31319000</v>
      </c>
      <c r="N7" s="1593">
        <f>IFERROR((L7/K7)-1,"")</f>
        <v>3.9807436918990691E-2</v>
      </c>
      <c r="O7" s="1291"/>
      <c r="P7" s="557"/>
      <c r="Q7" s="548"/>
      <c r="R7" s="548"/>
      <c r="S7" s="548"/>
      <c r="U7" s="558"/>
      <c r="V7" s="548"/>
      <c r="W7" s="549"/>
      <c r="X7" s="548"/>
      <c r="Y7" s="551"/>
      <c r="AE7" s="548"/>
      <c r="AF7" s="548"/>
      <c r="AG7" s="548"/>
      <c r="AH7" s="548"/>
      <c r="AI7" s="548"/>
      <c r="AJ7" s="548"/>
      <c r="AK7" s="548"/>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0"/>
      <c r="BJ7" s="130"/>
      <c r="BK7" s="130"/>
      <c r="BL7" s="130"/>
      <c r="BM7" s="130"/>
      <c r="BN7" s="130"/>
      <c r="BO7" s="130"/>
      <c r="BP7" s="130"/>
      <c r="BQ7" s="130"/>
      <c r="BR7" s="130"/>
      <c r="BS7" s="130"/>
      <c r="BT7" s="130"/>
      <c r="BU7" s="130"/>
      <c r="BV7" s="130"/>
      <c r="BW7" s="130"/>
      <c r="BX7" s="130"/>
      <c r="BY7" s="130"/>
      <c r="BZ7" s="130"/>
      <c r="CA7" s="130"/>
      <c r="CB7" s="130"/>
      <c r="CC7" s="130"/>
      <c r="CD7" s="130"/>
      <c r="CE7" s="130"/>
      <c r="CF7" s="130"/>
      <c r="CG7" s="130"/>
      <c r="CH7" s="130"/>
      <c r="CI7" s="130"/>
      <c r="CJ7" s="130"/>
      <c r="CK7" s="130"/>
      <c r="CL7" s="130"/>
      <c r="CM7" s="130"/>
      <c r="CN7" s="130"/>
      <c r="CO7" s="130"/>
      <c r="CP7" s="130"/>
      <c r="CQ7" s="130"/>
      <c r="CR7" s="130"/>
      <c r="CS7" s="130"/>
      <c r="CT7" s="130"/>
      <c r="CU7" s="130"/>
      <c r="CV7" s="130"/>
      <c r="CW7" s="130"/>
      <c r="CX7" s="130"/>
      <c r="CY7" s="130"/>
      <c r="CZ7" s="130"/>
      <c r="DA7" s="130"/>
      <c r="DB7" s="130"/>
      <c r="DC7" s="130"/>
      <c r="DD7" s="130"/>
      <c r="DE7" s="130"/>
      <c r="DF7" s="130"/>
      <c r="DG7" s="130"/>
      <c r="DH7" s="130"/>
      <c r="DI7" s="130"/>
      <c r="DJ7" s="130"/>
      <c r="DK7" s="130"/>
      <c r="DL7" s="130"/>
      <c r="DM7" s="130"/>
      <c r="DN7" s="130"/>
      <c r="DO7" s="130"/>
      <c r="DP7" s="130"/>
      <c r="DQ7" s="130"/>
      <c r="DR7" s="130"/>
      <c r="DS7" s="130"/>
      <c r="DT7" s="130"/>
      <c r="DU7" s="130"/>
      <c r="DV7" s="130"/>
      <c r="DW7" s="130"/>
      <c r="DX7" s="130"/>
      <c r="DY7" s="130"/>
      <c r="DZ7" s="130"/>
      <c r="EA7" s="130"/>
      <c r="EB7" s="130"/>
      <c r="EC7" s="130"/>
      <c r="ED7" s="130"/>
      <c r="EE7" s="130"/>
      <c r="EF7" s="130"/>
      <c r="EG7" s="130"/>
      <c r="EH7" s="130"/>
      <c r="EI7" s="130"/>
      <c r="EJ7" s="130"/>
      <c r="EK7" s="130"/>
      <c r="EL7" s="130"/>
      <c r="EM7" s="130"/>
      <c r="EN7" s="130"/>
      <c r="EO7" s="130"/>
      <c r="EP7" s="130"/>
      <c r="EQ7" s="130"/>
      <c r="ER7" s="130"/>
      <c r="ES7" s="130"/>
      <c r="ET7" s="130"/>
      <c r="EU7" s="130"/>
      <c r="EV7" s="130"/>
      <c r="EW7" s="130"/>
      <c r="EX7" s="130"/>
      <c r="EY7" s="130"/>
      <c r="EZ7" s="130"/>
      <c r="FA7" s="130"/>
      <c r="FB7" s="130"/>
      <c r="FC7" s="130"/>
      <c r="FD7" s="130"/>
      <c r="FE7" s="130"/>
      <c r="FF7" s="130"/>
      <c r="FG7" s="130"/>
      <c r="FH7" s="130"/>
      <c r="FI7" s="130"/>
      <c r="FJ7" s="130"/>
      <c r="FK7" s="130"/>
      <c r="FL7" s="130"/>
      <c r="FM7" s="130"/>
      <c r="FN7" s="130"/>
      <c r="FO7" s="130"/>
      <c r="FP7" s="130"/>
      <c r="FQ7" s="130"/>
      <c r="FR7" s="130"/>
      <c r="FS7" s="130"/>
      <c r="FT7" s="130"/>
      <c r="FU7" s="130"/>
      <c r="FV7" s="130"/>
      <c r="FW7" s="130"/>
      <c r="FX7" s="130"/>
      <c r="FY7" s="130"/>
      <c r="FZ7" s="130"/>
      <c r="GA7" s="130"/>
      <c r="GB7" s="130"/>
      <c r="GC7" s="130"/>
      <c r="GD7" s="130"/>
      <c r="GE7" s="130"/>
      <c r="GF7" s="130"/>
      <c r="GG7" s="130"/>
      <c r="GH7" s="130"/>
      <c r="GI7" s="130"/>
      <c r="GJ7" s="130"/>
      <c r="GK7" s="130"/>
      <c r="GL7" s="130"/>
      <c r="GM7" s="130"/>
      <c r="GN7" s="130"/>
      <c r="GO7" s="130"/>
      <c r="GP7" s="130"/>
      <c r="GQ7" s="130"/>
      <c r="GR7" s="130"/>
      <c r="GS7" s="130"/>
      <c r="GT7" s="130"/>
      <c r="GU7" s="130"/>
      <c r="GV7" s="130"/>
      <c r="GW7" s="130"/>
      <c r="GX7" s="130"/>
      <c r="GY7" s="130"/>
      <c r="GZ7" s="130"/>
      <c r="HA7" s="130"/>
      <c r="HB7" s="130"/>
      <c r="HC7" s="130"/>
      <c r="HD7" s="130"/>
      <c r="HE7" s="130"/>
      <c r="HF7" s="130"/>
      <c r="HG7" s="130"/>
      <c r="HH7" s="130"/>
      <c r="HI7" s="130"/>
      <c r="HJ7" s="130"/>
      <c r="HK7" s="130"/>
      <c r="HL7" s="130"/>
      <c r="HM7" s="130"/>
      <c r="HN7" s="130"/>
      <c r="HO7" s="130"/>
      <c r="HP7" s="130"/>
      <c r="HQ7" s="130"/>
      <c r="HR7" s="130"/>
      <c r="HS7" s="130"/>
      <c r="HT7" s="130"/>
      <c r="HU7" s="130"/>
      <c r="HV7" s="130"/>
      <c r="HW7" s="130"/>
      <c r="HX7" s="130"/>
      <c r="HY7" s="130"/>
      <c r="HZ7" s="130"/>
      <c r="IA7" s="130"/>
      <c r="IB7" s="130"/>
    </row>
    <row r="8" spans="1:236" ht="15.65" customHeight="1">
      <c r="A8" s="1243" t="s">
        <v>757</v>
      </c>
      <c r="B8" s="899">
        <v>757490742.09000015</v>
      </c>
      <c r="C8" s="899">
        <v>831906887.15999985</v>
      </c>
      <c r="D8" s="899">
        <v>764948013.7700001</v>
      </c>
      <c r="E8" s="899">
        <v>826960822.31000006</v>
      </c>
      <c r="F8" s="899">
        <v>861897138.17999983</v>
      </c>
      <c r="G8" s="899">
        <v>943391000</v>
      </c>
      <c r="H8" s="129">
        <f>ROUND(1456048948.77-254758722.16-189640608.54,-3)</f>
        <v>1011650000</v>
      </c>
      <c r="I8" s="129">
        <v>1515692000</v>
      </c>
      <c r="J8" s="129">
        <v>1978697000</v>
      </c>
      <c r="K8" s="129">
        <v>2031120000</v>
      </c>
      <c r="L8" s="129">
        <v>1907065000</v>
      </c>
      <c r="N8" s="1593">
        <f t="shared" ref="N8:N16" si="0">IFERROR((L8/K8)-1,"")</f>
        <v>-6.1077139706172012E-2</v>
      </c>
      <c r="O8" s="1295">
        <f>K8/$K$41</f>
        <v>7.1621487673421927E-2</v>
      </c>
      <c r="P8" s="557"/>
      <c r="Q8" s="548"/>
      <c r="R8" s="548"/>
      <c r="S8" s="548"/>
      <c r="U8" s="558"/>
      <c r="V8" s="548"/>
      <c r="W8" s="549"/>
      <c r="X8" s="548"/>
      <c r="Y8" s="556"/>
      <c r="AE8" s="548"/>
      <c r="AF8" s="548"/>
      <c r="AG8" s="548"/>
      <c r="AH8" s="548"/>
      <c r="AI8" s="548"/>
      <c r="AJ8" s="548"/>
      <c r="AK8" s="548"/>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c r="BM8" s="130"/>
      <c r="BN8" s="130"/>
      <c r="BO8" s="130"/>
      <c r="BP8" s="130"/>
      <c r="BQ8" s="130"/>
      <c r="BR8" s="130"/>
      <c r="BS8" s="130"/>
      <c r="BT8" s="130"/>
      <c r="BU8" s="130"/>
      <c r="BV8" s="130"/>
      <c r="BW8" s="130"/>
      <c r="BX8" s="130"/>
      <c r="BY8" s="130"/>
      <c r="BZ8" s="130"/>
      <c r="CA8" s="130"/>
      <c r="CB8" s="130"/>
      <c r="CC8" s="130"/>
      <c r="CD8" s="130"/>
      <c r="CE8" s="130"/>
      <c r="CF8" s="130"/>
      <c r="CG8" s="130"/>
      <c r="CH8" s="130"/>
      <c r="CI8" s="130"/>
      <c r="CJ8" s="130"/>
      <c r="CK8" s="130"/>
      <c r="CL8" s="130"/>
      <c r="CM8" s="130"/>
      <c r="CN8" s="130"/>
      <c r="CO8" s="130"/>
      <c r="CP8" s="130"/>
      <c r="CQ8" s="130"/>
      <c r="CR8" s="130"/>
      <c r="CS8" s="130"/>
      <c r="CT8" s="130"/>
      <c r="CU8" s="130"/>
      <c r="CV8" s="130"/>
      <c r="CW8" s="130"/>
      <c r="CX8" s="130"/>
      <c r="CY8" s="130"/>
      <c r="CZ8" s="130"/>
      <c r="DA8" s="130"/>
      <c r="DB8" s="130"/>
      <c r="DC8" s="130"/>
      <c r="DD8" s="130"/>
      <c r="DE8" s="130"/>
      <c r="DF8" s="130"/>
      <c r="DG8" s="130"/>
      <c r="DH8" s="130"/>
      <c r="DI8" s="130"/>
      <c r="DJ8" s="130"/>
      <c r="DK8" s="130"/>
      <c r="DL8" s="130"/>
      <c r="DM8" s="130"/>
      <c r="DN8" s="130"/>
      <c r="DO8" s="130"/>
      <c r="DP8" s="130"/>
      <c r="DQ8" s="130"/>
      <c r="DR8" s="130"/>
      <c r="DS8" s="130"/>
      <c r="DT8" s="130"/>
      <c r="DU8" s="130"/>
      <c r="DV8" s="130"/>
      <c r="DW8" s="130"/>
      <c r="DX8" s="130"/>
      <c r="DY8" s="130"/>
      <c r="DZ8" s="130"/>
      <c r="EA8" s="130"/>
      <c r="EB8" s="130"/>
      <c r="EC8" s="130"/>
      <c r="ED8" s="130"/>
      <c r="EE8" s="130"/>
      <c r="EF8" s="130"/>
      <c r="EG8" s="130"/>
      <c r="EH8" s="130"/>
      <c r="EI8" s="130"/>
      <c r="EJ8" s="130"/>
      <c r="EK8" s="130"/>
      <c r="EL8" s="130"/>
      <c r="EM8" s="130"/>
      <c r="EN8" s="130"/>
      <c r="EO8" s="130"/>
      <c r="EP8" s="130"/>
      <c r="EQ8" s="130"/>
      <c r="ER8" s="130"/>
      <c r="ES8" s="130"/>
      <c r="ET8" s="130"/>
      <c r="EU8" s="130"/>
      <c r="EV8" s="130"/>
      <c r="EW8" s="130"/>
      <c r="EX8" s="130"/>
      <c r="EY8" s="130"/>
      <c r="EZ8" s="130"/>
      <c r="FA8" s="130"/>
      <c r="FB8" s="130"/>
      <c r="FC8" s="130"/>
      <c r="FD8" s="130"/>
      <c r="FE8" s="130"/>
      <c r="FF8" s="130"/>
      <c r="FG8" s="130"/>
      <c r="FH8" s="130"/>
      <c r="FI8" s="130"/>
      <c r="FJ8" s="130"/>
      <c r="FK8" s="130"/>
      <c r="FL8" s="130"/>
      <c r="FM8" s="130"/>
      <c r="FN8" s="130"/>
      <c r="FO8" s="130"/>
      <c r="FP8" s="130"/>
      <c r="FQ8" s="130"/>
      <c r="FR8" s="130"/>
      <c r="FS8" s="130"/>
      <c r="FT8" s="130"/>
      <c r="FU8" s="130"/>
      <c r="FV8" s="130"/>
      <c r="FW8" s="130"/>
      <c r="FX8" s="130"/>
      <c r="FY8" s="130"/>
      <c r="FZ8" s="130"/>
      <c r="GA8" s="130"/>
      <c r="GB8" s="130"/>
      <c r="GC8" s="130"/>
      <c r="GD8" s="130"/>
      <c r="GE8" s="130"/>
      <c r="GF8" s="130"/>
      <c r="GG8" s="130"/>
      <c r="GH8" s="130"/>
      <c r="GI8" s="130"/>
      <c r="GJ8" s="130"/>
      <c r="GK8" s="130"/>
      <c r="GL8" s="130"/>
      <c r="GM8" s="130"/>
      <c r="GN8" s="130"/>
      <c r="GO8" s="130"/>
      <c r="GP8" s="130"/>
      <c r="GQ8" s="130"/>
      <c r="GR8" s="130"/>
      <c r="GS8" s="130"/>
      <c r="GT8" s="130"/>
      <c r="GU8" s="130"/>
      <c r="GV8" s="130"/>
      <c r="GW8" s="130"/>
      <c r="GX8" s="130"/>
      <c r="GY8" s="130"/>
      <c r="GZ8" s="130"/>
      <c r="HA8" s="130"/>
      <c r="HB8" s="130"/>
      <c r="HC8" s="130"/>
      <c r="HD8" s="130"/>
      <c r="HE8" s="130"/>
      <c r="HF8" s="130"/>
      <c r="HG8" s="130"/>
      <c r="HH8" s="130"/>
      <c r="HI8" s="130"/>
      <c r="HJ8" s="130"/>
      <c r="HK8" s="130"/>
      <c r="HL8" s="130"/>
      <c r="HM8" s="130"/>
      <c r="HN8" s="130"/>
      <c r="HO8" s="130"/>
      <c r="HP8" s="130"/>
      <c r="HQ8" s="130"/>
      <c r="HR8" s="130"/>
      <c r="HS8" s="130"/>
      <c r="HT8" s="130"/>
      <c r="HU8" s="130"/>
      <c r="HV8" s="130"/>
      <c r="HW8" s="130"/>
      <c r="HX8" s="130"/>
      <c r="HY8" s="130"/>
      <c r="HZ8" s="130"/>
      <c r="IA8" s="130"/>
      <c r="IB8" s="130"/>
    </row>
    <row r="9" spans="1:236" ht="15.65" customHeight="1">
      <c r="A9" s="1243" t="s">
        <v>1330</v>
      </c>
      <c r="B9" s="899">
        <v>11253348000</v>
      </c>
      <c r="C9" s="899">
        <v>12328675000</v>
      </c>
      <c r="D9" s="899">
        <v>12555624000</v>
      </c>
      <c r="E9" s="899">
        <v>13052887000</v>
      </c>
      <c r="F9" s="899">
        <v>14105766000</v>
      </c>
      <c r="G9" s="899">
        <v>15226471000</v>
      </c>
      <c r="H9" s="362">
        <f>ROUND(172944264.74+1634338.44+14076560.05+-12000+-2591+85344535.6+47636381.35+1347009257.04+-1782372432.02+1926281006.61+13205120102.82+-16589175.92+245232938.82+137254190.49+-31965054.43,-3)</f>
        <v>15351592000</v>
      </c>
      <c r="I9" s="1386">
        <f>ROUND(17303666344.54,-3)</f>
        <v>17303666000</v>
      </c>
      <c r="J9" s="129">
        <v>20410203000</v>
      </c>
      <c r="K9" s="129">
        <v>18983555000</v>
      </c>
      <c r="L9" s="129">
        <v>20310406000</v>
      </c>
      <c r="N9" s="1593">
        <f t="shared" si="0"/>
        <v>6.9894758911068111E-2</v>
      </c>
      <c r="O9" s="1296">
        <f>K9/$K$41</f>
        <v>0.6693993710023175</v>
      </c>
      <c r="P9" s="557"/>
      <c r="Q9" s="548"/>
      <c r="R9" s="548"/>
      <c r="S9" s="548"/>
      <c r="U9" s="558"/>
      <c r="V9" s="548"/>
      <c r="W9" s="549"/>
      <c r="X9" s="548"/>
      <c r="Y9" s="556"/>
      <c r="AE9" s="548"/>
      <c r="AF9" s="548"/>
      <c r="AG9" s="548"/>
      <c r="AH9" s="548"/>
      <c r="AI9" s="548"/>
      <c r="AJ9" s="548"/>
      <c r="AK9" s="548"/>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30"/>
      <c r="BV9" s="130"/>
      <c r="BW9" s="130"/>
      <c r="BX9" s="130"/>
      <c r="BY9" s="130"/>
      <c r="BZ9" s="130"/>
      <c r="CA9" s="130"/>
      <c r="CB9" s="130"/>
      <c r="CC9" s="130"/>
      <c r="CD9" s="130"/>
      <c r="CE9" s="130"/>
      <c r="CF9" s="130"/>
      <c r="CG9" s="130"/>
      <c r="CH9" s="130"/>
      <c r="CI9" s="130"/>
      <c r="CJ9" s="130"/>
      <c r="CK9" s="130"/>
      <c r="CL9" s="130"/>
      <c r="CM9" s="130"/>
      <c r="CN9" s="130"/>
      <c r="CO9" s="130"/>
      <c r="CP9" s="130"/>
      <c r="CQ9" s="130"/>
      <c r="CR9" s="130"/>
      <c r="CS9" s="130"/>
      <c r="CT9" s="130"/>
      <c r="CU9" s="130"/>
      <c r="CV9" s="130"/>
      <c r="CW9" s="130"/>
      <c r="CX9" s="130"/>
      <c r="CY9" s="130"/>
      <c r="CZ9" s="130"/>
      <c r="DA9" s="130"/>
      <c r="DB9" s="130"/>
      <c r="DC9" s="130"/>
      <c r="DD9" s="130"/>
      <c r="DE9" s="130"/>
      <c r="DF9" s="130"/>
      <c r="DG9" s="130"/>
      <c r="DH9" s="130"/>
      <c r="DI9" s="130"/>
      <c r="DJ9" s="130"/>
      <c r="DK9" s="130"/>
      <c r="DL9" s="130"/>
      <c r="DM9" s="130"/>
      <c r="DN9" s="130"/>
      <c r="DO9" s="130"/>
      <c r="DP9" s="130"/>
      <c r="DQ9" s="130"/>
      <c r="DR9" s="130"/>
      <c r="DS9" s="130"/>
      <c r="DT9" s="130"/>
      <c r="DU9" s="130"/>
      <c r="DV9" s="130"/>
      <c r="DW9" s="130"/>
      <c r="DX9" s="130"/>
      <c r="DY9" s="130"/>
      <c r="DZ9" s="130"/>
      <c r="EA9" s="130"/>
      <c r="EB9" s="130"/>
      <c r="EC9" s="130"/>
      <c r="ED9" s="130"/>
      <c r="EE9" s="130"/>
      <c r="EF9" s="130"/>
      <c r="EG9" s="130"/>
      <c r="EH9" s="130"/>
      <c r="EI9" s="130"/>
      <c r="EJ9" s="130"/>
      <c r="EK9" s="130"/>
      <c r="EL9" s="130"/>
      <c r="EM9" s="130"/>
      <c r="EN9" s="130"/>
      <c r="EO9" s="130"/>
      <c r="EP9" s="130"/>
      <c r="EQ9" s="130"/>
      <c r="ER9" s="130"/>
      <c r="ES9" s="130"/>
      <c r="ET9" s="130"/>
      <c r="EU9" s="130"/>
      <c r="EV9" s="130"/>
      <c r="EW9" s="130"/>
      <c r="EX9" s="130"/>
      <c r="EY9" s="130"/>
      <c r="EZ9" s="130"/>
      <c r="FA9" s="130"/>
      <c r="FB9" s="130"/>
      <c r="FC9" s="130"/>
      <c r="FD9" s="130"/>
      <c r="FE9" s="130"/>
      <c r="FF9" s="130"/>
      <c r="FG9" s="130"/>
      <c r="FH9" s="130"/>
      <c r="FI9" s="130"/>
      <c r="FJ9" s="130"/>
      <c r="FK9" s="130"/>
      <c r="FL9" s="130"/>
      <c r="FM9" s="130"/>
      <c r="FN9" s="130"/>
      <c r="FO9" s="130"/>
      <c r="FP9" s="130"/>
      <c r="FQ9" s="130"/>
      <c r="FR9" s="130"/>
      <c r="FS9" s="130"/>
      <c r="FT9" s="130"/>
      <c r="FU9" s="130"/>
      <c r="FV9" s="130"/>
      <c r="FW9" s="130"/>
      <c r="FX9" s="130"/>
      <c r="FY9" s="130"/>
      <c r="FZ9" s="130"/>
      <c r="GA9" s="130"/>
      <c r="GB9" s="130"/>
      <c r="GC9" s="130"/>
      <c r="GD9" s="130"/>
      <c r="GE9" s="130"/>
      <c r="GF9" s="130"/>
      <c r="GG9" s="130"/>
      <c r="GH9" s="130"/>
      <c r="GI9" s="130"/>
      <c r="GJ9" s="130"/>
      <c r="GK9" s="130"/>
      <c r="GL9" s="130"/>
      <c r="GM9" s="130"/>
      <c r="GN9" s="130"/>
      <c r="GO9" s="130"/>
      <c r="GP9" s="130"/>
      <c r="GQ9" s="130"/>
      <c r="GR9" s="130"/>
      <c r="GS9" s="130"/>
      <c r="GT9" s="130"/>
      <c r="GU9" s="130"/>
      <c r="GV9" s="130"/>
      <c r="GW9" s="130"/>
      <c r="GX9" s="130"/>
      <c r="GY9" s="130"/>
      <c r="GZ9" s="130"/>
      <c r="HA9" s="130"/>
      <c r="HB9" s="130"/>
      <c r="HC9" s="130"/>
      <c r="HD9" s="130"/>
      <c r="HE9" s="130"/>
      <c r="HF9" s="130"/>
      <c r="HG9" s="130"/>
      <c r="HH9" s="130"/>
      <c r="HI9" s="130"/>
      <c r="HJ9" s="130"/>
      <c r="HK9" s="130"/>
      <c r="HL9" s="130"/>
      <c r="HM9" s="130"/>
      <c r="HN9" s="130"/>
      <c r="HO9" s="130"/>
      <c r="HP9" s="130"/>
      <c r="HQ9" s="130"/>
      <c r="HR9" s="130"/>
      <c r="HS9" s="130"/>
      <c r="HT9" s="130"/>
      <c r="HU9" s="130"/>
      <c r="HV9" s="130"/>
      <c r="HW9" s="130"/>
      <c r="HX9" s="130"/>
      <c r="HY9" s="130"/>
      <c r="HZ9" s="130"/>
      <c r="IA9" s="130"/>
      <c r="IB9" s="130"/>
    </row>
    <row r="10" spans="1:236" ht="15.65" customHeight="1">
      <c r="A10" s="1243" t="s">
        <v>761</v>
      </c>
      <c r="B10" s="899"/>
      <c r="C10" s="899"/>
      <c r="D10" s="899"/>
      <c r="E10" s="899"/>
      <c r="F10" s="899"/>
      <c r="G10" s="899">
        <v>191000</v>
      </c>
      <c r="H10" s="129">
        <f>ROUND(10996+69278.18,-3)</f>
        <v>80000</v>
      </c>
      <c r="I10" s="129">
        <v>810000</v>
      </c>
      <c r="J10" s="129">
        <v>27000</v>
      </c>
      <c r="K10" s="129">
        <v>0</v>
      </c>
      <c r="L10" s="129">
        <v>0</v>
      </c>
      <c r="N10" s="1593" t="str">
        <f t="shared" si="0"/>
        <v/>
      </c>
      <c r="O10" s="1291"/>
      <c r="P10" s="559"/>
      <c r="Q10" s="548"/>
      <c r="R10" s="548"/>
      <c r="S10" s="548"/>
      <c r="U10" s="558"/>
      <c r="V10" s="548"/>
      <c r="W10" s="549"/>
      <c r="X10" s="548"/>
      <c r="Y10" s="556"/>
      <c r="Z10" s="548"/>
      <c r="AA10" s="548"/>
      <c r="AB10" s="548"/>
      <c r="AC10" s="548"/>
      <c r="AD10" s="548"/>
      <c r="AE10" s="548"/>
      <c r="AF10" s="548"/>
      <c r="AG10" s="548"/>
      <c r="AH10" s="548"/>
      <c r="AI10" s="548"/>
      <c r="AJ10" s="548"/>
      <c r="AK10" s="548"/>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0"/>
      <c r="CQ10" s="130"/>
      <c r="CR10" s="130"/>
      <c r="CS10" s="130"/>
      <c r="CT10" s="130"/>
      <c r="CU10" s="130"/>
      <c r="CV10" s="130"/>
      <c r="CW10" s="130"/>
      <c r="CX10" s="130"/>
      <c r="CY10" s="130"/>
      <c r="CZ10" s="130"/>
      <c r="DA10" s="130"/>
      <c r="DB10" s="130"/>
      <c r="DC10" s="130"/>
      <c r="DD10" s="130"/>
      <c r="DE10" s="130"/>
      <c r="DF10" s="130"/>
      <c r="DG10" s="130"/>
      <c r="DH10" s="130"/>
      <c r="DI10" s="130"/>
      <c r="DJ10" s="130"/>
      <c r="DK10" s="130"/>
      <c r="DL10" s="130"/>
      <c r="DM10" s="130"/>
      <c r="DN10" s="130"/>
      <c r="DO10" s="130"/>
      <c r="DP10" s="130"/>
      <c r="DQ10" s="130"/>
      <c r="DR10" s="130"/>
      <c r="DS10" s="130"/>
      <c r="DT10" s="130"/>
      <c r="DU10" s="130"/>
      <c r="DV10" s="130"/>
      <c r="DW10" s="130"/>
      <c r="DX10" s="130"/>
      <c r="DY10" s="130"/>
      <c r="DZ10" s="130"/>
      <c r="EA10" s="130"/>
      <c r="EB10" s="130"/>
      <c r="EC10" s="130"/>
      <c r="ED10" s="130"/>
      <c r="EE10" s="130"/>
      <c r="EF10" s="130"/>
      <c r="EG10" s="130"/>
      <c r="EH10" s="130"/>
      <c r="EI10" s="130"/>
      <c r="EJ10" s="130"/>
      <c r="EK10" s="130"/>
      <c r="EL10" s="130"/>
      <c r="EM10" s="130"/>
      <c r="EN10" s="130"/>
      <c r="EO10" s="130"/>
      <c r="EP10" s="130"/>
      <c r="EQ10" s="130"/>
      <c r="ER10" s="130"/>
      <c r="ES10" s="130"/>
      <c r="ET10" s="130"/>
      <c r="EU10" s="130"/>
      <c r="EV10" s="130"/>
      <c r="EW10" s="130"/>
      <c r="EX10" s="130"/>
      <c r="EY10" s="130"/>
      <c r="EZ10" s="130"/>
      <c r="FA10" s="130"/>
      <c r="FB10" s="130"/>
      <c r="FC10" s="130"/>
      <c r="FD10" s="130"/>
      <c r="FE10" s="130"/>
      <c r="FF10" s="130"/>
      <c r="FG10" s="130"/>
      <c r="FH10" s="130"/>
      <c r="FI10" s="130"/>
      <c r="FJ10" s="130"/>
      <c r="FK10" s="130"/>
      <c r="FL10" s="130"/>
      <c r="FM10" s="130"/>
      <c r="FN10" s="130"/>
      <c r="FO10" s="130"/>
      <c r="FP10" s="130"/>
      <c r="FQ10" s="130"/>
      <c r="FR10" s="130"/>
      <c r="FS10" s="130"/>
      <c r="FT10" s="130"/>
      <c r="FU10" s="130"/>
      <c r="FV10" s="130"/>
      <c r="FW10" s="130"/>
      <c r="FX10" s="130"/>
      <c r="FY10" s="130"/>
      <c r="FZ10" s="130"/>
      <c r="GA10" s="130"/>
      <c r="GB10" s="130"/>
      <c r="GC10" s="130"/>
      <c r="GD10" s="130"/>
      <c r="GE10" s="130"/>
      <c r="GF10" s="130"/>
      <c r="GG10" s="130"/>
      <c r="GH10" s="130"/>
      <c r="GI10" s="130"/>
      <c r="GJ10" s="130"/>
      <c r="GK10" s="130"/>
      <c r="GL10" s="130"/>
      <c r="GM10" s="130"/>
      <c r="GN10" s="130"/>
      <c r="GO10" s="130"/>
      <c r="GP10" s="130"/>
      <c r="GQ10" s="130"/>
      <c r="GR10" s="130"/>
      <c r="GS10" s="130"/>
      <c r="GT10" s="130"/>
      <c r="GU10" s="130"/>
      <c r="GV10" s="130"/>
      <c r="GW10" s="130"/>
      <c r="GX10" s="130"/>
      <c r="GY10" s="130"/>
      <c r="GZ10" s="130"/>
      <c r="HA10" s="130"/>
      <c r="HB10" s="130"/>
      <c r="HC10" s="130"/>
      <c r="HD10" s="130"/>
      <c r="HE10" s="130"/>
      <c r="HF10" s="130"/>
      <c r="HG10" s="130"/>
      <c r="HH10" s="130"/>
      <c r="HI10" s="130"/>
      <c r="HJ10" s="130"/>
      <c r="HK10" s="130"/>
      <c r="HL10" s="130"/>
      <c r="HM10" s="130"/>
      <c r="HN10" s="130"/>
      <c r="HO10" s="130"/>
      <c r="HP10" s="130"/>
      <c r="HQ10" s="130"/>
      <c r="HR10" s="130"/>
      <c r="HS10" s="130"/>
      <c r="HT10" s="130"/>
      <c r="HU10" s="130"/>
      <c r="HV10" s="130"/>
      <c r="HW10" s="130"/>
      <c r="HX10" s="130"/>
      <c r="HY10" s="130"/>
      <c r="HZ10" s="130"/>
      <c r="IA10" s="130"/>
      <c r="IB10" s="130"/>
    </row>
    <row r="11" spans="1:236" ht="15.65" customHeight="1">
      <c r="A11" s="1243" t="s">
        <v>246</v>
      </c>
      <c r="B11" s="899"/>
      <c r="C11" s="899"/>
      <c r="D11" s="899"/>
      <c r="E11" s="899"/>
      <c r="F11" s="899"/>
      <c r="G11" s="899">
        <v>372107000</v>
      </c>
      <c r="H11" s="129">
        <f>ROUND(39715917.44+-6507.25+-48621.15+487130322.81+-59669923.88,-3)</f>
        <v>467121000</v>
      </c>
      <c r="I11" s="129">
        <v>656756000</v>
      </c>
      <c r="J11" s="129">
        <v>634000000</v>
      </c>
      <c r="K11" s="129">
        <v>415504000</v>
      </c>
      <c r="L11" s="129">
        <v>392017000</v>
      </c>
      <c r="N11" s="1593">
        <f t="shared" si="0"/>
        <v>-5.6526531633871113E-2</v>
      </c>
      <c r="O11" s="1291"/>
      <c r="P11" s="557"/>
      <c r="Q11" s="548"/>
      <c r="R11" s="548"/>
      <c r="S11" s="548"/>
      <c r="U11" s="558"/>
      <c r="V11" s="548"/>
      <c r="W11" s="549"/>
      <c r="X11" s="548"/>
      <c r="Y11" s="548"/>
      <c r="Z11" s="548"/>
      <c r="AA11" s="548"/>
      <c r="AB11" s="548"/>
      <c r="AC11" s="548"/>
      <c r="AD11" s="548"/>
      <c r="AE11" s="548"/>
      <c r="AF11" s="548"/>
      <c r="AG11" s="548"/>
      <c r="AH11" s="548"/>
      <c r="AI11" s="548"/>
      <c r="AJ11" s="548"/>
      <c r="AK11" s="548"/>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c r="BW11" s="130"/>
      <c r="BX11" s="130"/>
      <c r="BY11" s="130"/>
      <c r="BZ11" s="130"/>
      <c r="CA11" s="130"/>
      <c r="CB11" s="130"/>
      <c r="CC11" s="130"/>
      <c r="CD11" s="130"/>
      <c r="CE11" s="130"/>
      <c r="CF11" s="130"/>
      <c r="CG11" s="130"/>
      <c r="CH11" s="130"/>
      <c r="CI11" s="130"/>
      <c r="CJ11" s="130"/>
      <c r="CK11" s="130"/>
      <c r="CL11" s="130"/>
      <c r="CM11" s="130"/>
      <c r="CN11" s="130"/>
      <c r="CO11" s="130"/>
      <c r="CP11" s="130"/>
      <c r="CQ11" s="130"/>
      <c r="CR11" s="130"/>
      <c r="CS11" s="130"/>
      <c r="CT11" s="130"/>
      <c r="CU11" s="130"/>
      <c r="CV11" s="130"/>
      <c r="CW11" s="130"/>
      <c r="CX11" s="130"/>
      <c r="CY11" s="130"/>
      <c r="CZ11" s="130"/>
      <c r="DA11" s="130"/>
      <c r="DB11" s="130"/>
      <c r="DC11" s="130"/>
      <c r="DD11" s="130"/>
      <c r="DE11" s="130"/>
      <c r="DF11" s="130"/>
      <c r="DG11" s="130"/>
      <c r="DH11" s="130"/>
      <c r="DI11" s="130"/>
      <c r="DJ11" s="130"/>
      <c r="DK11" s="130"/>
      <c r="DL11" s="130"/>
      <c r="DM11" s="130"/>
      <c r="DN11" s="130"/>
      <c r="DO11" s="130"/>
      <c r="DP11" s="130"/>
      <c r="DQ11" s="130"/>
      <c r="DR11" s="130"/>
      <c r="DS11" s="130"/>
      <c r="DT11" s="130"/>
      <c r="DU11" s="130"/>
      <c r="DV11" s="130"/>
      <c r="DW11" s="130"/>
      <c r="DX11" s="130"/>
      <c r="DY11" s="130"/>
      <c r="DZ11" s="130"/>
      <c r="EA11" s="130"/>
      <c r="EB11" s="130"/>
      <c r="EC11" s="130"/>
      <c r="ED11" s="130"/>
      <c r="EE11" s="130"/>
      <c r="EF11" s="130"/>
      <c r="EG11" s="130"/>
      <c r="EH11" s="130"/>
      <c r="EI11" s="130"/>
      <c r="EJ11" s="130"/>
      <c r="EK11" s="130"/>
      <c r="EL11" s="130"/>
      <c r="EM11" s="130"/>
      <c r="EN11" s="130"/>
      <c r="EO11" s="130"/>
      <c r="EP11" s="130"/>
      <c r="EQ11" s="130"/>
      <c r="ER11" s="130"/>
      <c r="ES11" s="130"/>
      <c r="ET11" s="130"/>
      <c r="EU11" s="130"/>
      <c r="EV11" s="130"/>
      <c r="EW11" s="130"/>
      <c r="EX11" s="130"/>
      <c r="EY11" s="130"/>
      <c r="EZ11" s="130"/>
      <c r="FA11" s="130"/>
      <c r="FB11" s="130"/>
      <c r="FC11" s="130"/>
      <c r="FD11" s="130"/>
      <c r="FE11" s="130"/>
      <c r="FF11" s="130"/>
      <c r="FG11" s="130"/>
      <c r="FH11" s="130"/>
      <c r="FI11" s="130"/>
      <c r="FJ11" s="130"/>
      <c r="FK11" s="130"/>
      <c r="FL11" s="130"/>
      <c r="FM11" s="130"/>
      <c r="FN11" s="130"/>
      <c r="FO11" s="130"/>
      <c r="FP11" s="130"/>
      <c r="FQ11" s="130"/>
      <c r="FR11" s="130"/>
      <c r="FS11" s="130"/>
      <c r="FT11" s="130"/>
      <c r="FU11" s="130"/>
      <c r="FV11" s="130"/>
      <c r="FW11" s="130"/>
      <c r="FX11" s="130"/>
      <c r="FY11" s="130"/>
      <c r="FZ11" s="130"/>
      <c r="GA11" s="130"/>
      <c r="GB11" s="130"/>
      <c r="GC11" s="130"/>
      <c r="GD11" s="130"/>
      <c r="GE11" s="130"/>
      <c r="GF11" s="130"/>
      <c r="GG11" s="130"/>
      <c r="GH11" s="130"/>
      <c r="GI11" s="130"/>
      <c r="GJ11" s="130"/>
      <c r="GK11" s="130"/>
      <c r="GL11" s="130"/>
      <c r="GM11" s="130"/>
      <c r="GN11" s="130"/>
      <c r="GO11" s="130"/>
      <c r="GP11" s="130"/>
      <c r="GQ11" s="130"/>
      <c r="GR11" s="130"/>
      <c r="GS11" s="130"/>
      <c r="GT11" s="130"/>
      <c r="GU11" s="130"/>
      <c r="GV11" s="130"/>
      <c r="GW11" s="130"/>
      <c r="GX11" s="130"/>
      <c r="GY11" s="130"/>
      <c r="GZ11" s="130"/>
      <c r="HA11" s="130"/>
      <c r="HB11" s="130"/>
      <c r="HC11" s="130"/>
      <c r="HD11" s="130"/>
      <c r="HE11" s="130"/>
      <c r="HF11" s="130"/>
      <c r="HG11" s="130"/>
      <c r="HH11" s="130"/>
      <c r="HI11" s="130"/>
      <c r="HJ11" s="130"/>
      <c r="HK11" s="130"/>
      <c r="HL11" s="130"/>
      <c r="HM11" s="130"/>
      <c r="HN11" s="130"/>
      <c r="HO11" s="130"/>
      <c r="HP11" s="130"/>
      <c r="HQ11" s="130"/>
      <c r="HR11" s="130"/>
      <c r="HS11" s="130"/>
      <c r="HT11" s="130"/>
      <c r="HU11" s="130"/>
      <c r="HV11" s="130"/>
      <c r="HW11" s="130"/>
      <c r="HX11" s="130"/>
      <c r="HY11" s="130"/>
      <c r="HZ11" s="130"/>
      <c r="IA11" s="130"/>
      <c r="IB11" s="130"/>
    </row>
    <row r="12" spans="1:236" ht="15.65" customHeight="1">
      <c r="A12" s="1243" t="s">
        <v>247</v>
      </c>
      <c r="B12" s="899"/>
      <c r="C12" s="899"/>
      <c r="D12" s="899"/>
      <c r="E12" s="899"/>
      <c r="F12" s="899"/>
      <c r="G12" s="899">
        <v>6738000</v>
      </c>
      <c r="H12" s="129">
        <f>ROUND(6074046.59+-46849.18+0+560500.22,-3)</f>
        <v>6588000</v>
      </c>
      <c r="I12" s="129">
        <v>7769000</v>
      </c>
      <c r="J12" s="129">
        <v>8542000</v>
      </c>
      <c r="K12" s="129">
        <v>8465000</v>
      </c>
      <c r="L12" s="129">
        <v>8501000</v>
      </c>
      <c r="N12" s="1593">
        <f t="shared" si="0"/>
        <v>4.2528056704076445E-3</v>
      </c>
      <c r="O12" s="1291"/>
      <c r="P12" s="557"/>
      <c r="Q12" s="548"/>
      <c r="R12" s="548"/>
      <c r="S12" s="548"/>
      <c r="U12" s="558"/>
      <c r="V12" s="548"/>
      <c r="W12" s="549"/>
      <c r="X12" s="548"/>
      <c r="Y12" s="548"/>
      <c r="Z12" s="548"/>
      <c r="AA12" s="548"/>
      <c r="AB12" s="548"/>
      <c r="AC12" s="548"/>
      <c r="AD12" s="548"/>
      <c r="AE12" s="548"/>
      <c r="AF12" s="548"/>
      <c r="AG12" s="548"/>
      <c r="AH12" s="548"/>
      <c r="AI12" s="548"/>
      <c r="AJ12" s="548"/>
      <c r="AK12" s="548"/>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c r="BW12" s="130"/>
      <c r="BX12" s="130"/>
      <c r="BY12" s="130"/>
      <c r="BZ12" s="130"/>
      <c r="CA12" s="130"/>
      <c r="CB12" s="130"/>
      <c r="CC12" s="130"/>
      <c r="CD12" s="130"/>
      <c r="CE12" s="130"/>
      <c r="CF12" s="130"/>
      <c r="CG12" s="130"/>
      <c r="CH12" s="130"/>
      <c r="CI12" s="130"/>
      <c r="CJ12" s="130"/>
      <c r="CK12" s="130"/>
      <c r="CL12" s="130"/>
      <c r="CM12" s="130"/>
      <c r="CN12" s="130"/>
      <c r="CO12" s="130"/>
      <c r="CP12" s="130"/>
      <c r="CQ12" s="130"/>
      <c r="CR12" s="130"/>
      <c r="CS12" s="130"/>
      <c r="CT12" s="130"/>
      <c r="CU12" s="130"/>
      <c r="CV12" s="130"/>
      <c r="CW12" s="130"/>
      <c r="CX12" s="130"/>
      <c r="CY12" s="130"/>
      <c r="CZ12" s="130"/>
      <c r="DA12" s="130"/>
      <c r="DB12" s="130"/>
      <c r="DC12" s="130"/>
      <c r="DD12" s="130"/>
      <c r="DE12" s="130"/>
      <c r="DF12" s="130"/>
      <c r="DG12" s="130"/>
      <c r="DH12" s="130"/>
      <c r="DI12" s="130"/>
      <c r="DJ12" s="130"/>
      <c r="DK12" s="130"/>
      <c r="DL12" s="130"/>
      <c r="DM12" s="130"/>
      <c r="DN12" s="130"/>
      <c r="DO12" s="130"/>
      <c r="DP12" s="130"/>
      <c r="DQ12" s="130"/>
      <c r="DR12" s="130"/>
      <c r="DS12" s="130"/>
      <c r="DT12" s="130"/>
      <c r="DU12" s="130"/>
      <c r="DV12" s="130"/>
      <c r="DW12" s="130"/>
      <c r="DX12" s="130"/>
      <c r="DY12" s="130"/>
      <c r="DZ12" s="130"/>
      <c r="EA12" s="130"/>
      <c r="EB12" s="130"/>
      <c r="EC12" s="130"/>
      <c r="ED12" s="130"/>
      <c r="EE12" s="130"/>
      <c r="EF12" s="130"/>
      <c r="EG12" s="130"/>
      <c r="EH12" s="130"/>
      <c r="EI12" s="130"/>
      <c r="EJ12" s="130"/>
      <c r="EK12" s="130"/>
      <c r="EL12" s="130"/>
      <c r="EM12" s="130"/>
      <c r="EN12" s="130"/>
      <c r="EO12" s="130"/>
      <c r="EP12" s="130"/>
      <c r="EQ12" s="130"/>
      <c r="ER12" s="130"/>
      <c r="ES12" s="130"/>
      <c r="ET12" s="130"/>
      <c r="EU12" s="130"/>
      <c r="EV12" s="130"/>
      <c r="EW12" s="130"/>
      <c r="EX12" s="130"/>
      <c r="EY12" s="130"/>
      <c r="EZ12" s="130"/>
      <c r="FA12" s="130"/>
      <c r="FB12" s="130"/>
      <c r="FC12" s="130"/>
      <c r="FD12" s="130"/>
      <c r="FE12" s="130"/>
      <c r="FF12" s="130"/>
      <c r="FG12" s="130"/>
      <c r="FH12" s="130"/>
      <c r="FI12" s="130"/>
      <c r="FJ12" s="130"/>
      <c r="FK12" s="130"/>
      <c r="FL12" s="130"/>
      <c r="FM12" s="130"/>
      <c r="FN12" s="130"/>
      <c r="FO12" s="130"/>
      <c r="FP12" s="130"/>
      <c r="FQ12" s="130"/>
      <c r="FR12" s="130"/>
      <c r="FS12" s="130"/>
      <c r="FT12" s="130"/>
      <c r="FU12" s="130"/>
      <c r="FV12" s="130"/>
      <c r="FW12" s="130"/>
      <c r="FX12" s="130"/>
      <c r="FY12" s="130"/>
      <c r="FZ12" s="130"/>
      <c r="GA12" s="130"/>
      <c r="GB12" s="130"/>
      <c r="GC12" s="130"/>
      <c r="GD12" s="130"/>
      <c r="GE12" s="130"/>
      <c r="GF12" s="130"/>
      <c r="GG12" s="130"/>
      <c r="GH12" s="130"/>
      <c r="GI12" s="130"/>
      <c r="GJ12" s="130"/>
      <c r="GK12" s="130"/>
      <c r="GL12" s="130"/>
      <c r="GM12" s="130"/>
      <c r="GN12" s="130"/>
      <c r="GO12" s="130"/>
      <c r="GP12" s="130"/>
      <c r="GQ12" s="130"/>
      <c r="GR12" s="130"/>
      <c r="GS12" s="130"/>
      <c r="GT12" s="130"/>
      <c r="GU12" s="130"/>
      <c r="GV12" s="130"/>
      <c r="GW12" s="130"/>
      <c r="GX12" s="130"/>
      <c r="GY12" s="130"/>
      <c r="GZ12" s="130"/>
      <c r="HA12" s="130"/>
      <c r="HB12" s="130"/>
      <c r="HC12" s="130"/>
      <c r="HD12" s="130"/>
      <c r="HE12" s="130"/>
      <c r="HF12" s="130"/>
      <c r="HG12" s="130"/>
      <c r="HH12" s="130"/>
      <c r="HI12" s="130"/>
      <c r="HJ12" s="130"/>
      <c r="HK12" s="130"/>
      <c r="HL12" s="130"/>
      <c r="HM12" s="130"/>
      <c r="HN12" s="130"/>
      <c r="HO12" s="130"/>
      <c r="HP12" s="130"/>
      <c r="HQ12" s="130"/>
      <c r="HR12" s="130"/>
      <c r="HS12" s="130"/>
      <c r="HT12" s="130"/>
      <c r="HU12" s="130"/>
      <c r="HV12" s="130"/>
      <c r="HW12" s="130"/>
      <c r="HX12" s="130"/>
      <c r="HY12" s="130"/>
      <c r="HZ12" s="130"/>
      <c r="IA12" s="130"/>
      <c r="IB12" s="130"/>
    </row>
    <row r="13" spans="1:236" ht="15.65" customHeight="1">
      <c r="A13" s="1243" t="s">
        <v>248</v>
      </c>
      <c r="B13" s="899">
        <v>3066456000</v>
      </c>
      <c r="C13" s="899">
        <v>3235444000</v>
      </c>
      <c r="D13" s="899">
        <v>3295853000</v>
      </c>
      <c r="E13" s="899">
        <v>3354561000</v>
      </c>
      <c r="F13" s="899">
        <v>3458249000</v>
      </c>
      <c r="G13" s="899">
        <v>3580355000</v>
      </c>
      <c r="H13" s="129">
        <f>ROUND(2683258.31+208033441.59+53040341.29+3169525635.96+-34441737.4+2478935.49+173593188.29+-5477492.26+540921001.82+-406044118.99+132233.73+2033538.76+338923.1,-3)</f>
        <v>3706817000</v>
      </c>
      <c r="I13" s="129">
        <v>4166182000</v>
      </c>
      <c r="J13" s="129">
        <v>4558082000</v>
      </c>
      <c r="K13" s="129">
        <v>4734549000</v>
      </c>
      <c r="L13" s="129">
        <v>4709661000</v>
      </c>
      <c r="N13" s="1593">
        <f t="shared" si="0"/>
        <v>-5.2566780911972311E-3</v>
      </c>
      <c r="O13" s="1297">
        <f>K13/$K$41</f>
        <v>0.16694997973665371</v>
      </c>
      <c r="P13" s="557"/>
      <c r="Q13" s="548"/>
      <c r="R13" s="548"/>
      <c r="S13" s="548"/>
      <c r="U13" s="558"/>
      <c r="V13" s="548"/>
      <c r="W13" s="549"/>
      <c r="X13" s="548"/>
      <c r="Y13" s="548"/>
      <c r="Z13" s="548"/>
      <c r="AA13" s="548"/>
      <c r="AB13" s="548"/>
      <c r="AC13" s="548"/>
      <c r="AD13" s="548"/>
      <c r="AE13" s="548"/>
      <c r="AF13" s="548"/>
      <c r="AG13" s="548"/>
      <c r="AH13" s="548"/>
      <c r="AI13" s="548"/>
      <c r="AJ13" s="548"/>
      <c r="AK13" s="548"/>
      <c r="AL13" s="130"/>
      <c r="AM13" s="130"/>
      <c r="AN13" s="130"/>
      <c r="AO13" s="130"/>
      <c r="AP13" s="130"/>
      <c r="AQ13" s="130"/>
      <c r="AR13" s="130"/>
      <c r="AS13" s="130"/>
      <c r="AT13" s="130"/>
      <c r="AU13" s="130"/>
      <c r="AV13" s="130"/>
      <c r="AW13" s="130"/>
      <c r="AX13" s="130"/>
      <c r="AY13" s="130"/>
      <c r="AZ13" s="130"/>
      <c r="BA13" s="130"/>
      <c r="BB13" s="130"/>
      <c r="BC13" s="130"/>
      <c r="BD13" s="130"/>
      <c r="BE13" s="130"/>
      <c r="BF13" s="130"/>
      <c r="BG13" s="130"/>
      <c r="BH13" s="130"/>
      <c r="BI13" s="130"/>
      <c r="BJ13" s="130"/>
      <c r="BK13" s="130"/>
      <c r="BL13" s="130"/>
      <c r="BM13" s="130"/>
      <c r="BN13" s="130"/>
      <c r="BO13" s="130"/>
      <c r="BP13" s="130"/>
      <c r="BQ13" s="130"/>
      <c r="BR13" s="130"/>
      <c r="BS13" s="130"/>
      <c r="BT13" s="130"/>
      <c r="BU13" s="130"/>
      <c r="BV13" s="130"/>
      <c r="BW13" s="130"/>
      <c r="BX13" s="130"/>
      <c r="BY13" s="130"/>
      <c r="BZ13" s="130"/>
      <c r="CA13" s="130"/>
      <c r="CB13" s="130"/>
      <c r="CC13" s="130"/>
      <c r="CD13" s="130"/>
      <c r="CE13" s="130"/>
      <c r="CF13" s="130"/>
      <c r="CG13" s="130"/>
      <c r="CH13" s="130"/>
      <c r="CI13" s="130"/>
      <c r="CJ13" s="130"/>
      <c r="CK13" s="130"/>
      <c r="CL13" s="130"/>
      <c r="CM13" s="130"/>
      <c r="CN13" s="130"/>
      <c r="CO13" s="130"/>
      <c r="CP13" s="130"/>
      <c r="CQ13" s="130"/>
      <c r="CR13" s="130"/>
      <c r="CS13" s="130"/>
      <c r="CT13" s="130"/>
      <c r="CU13" s="130"/>
      <c r="CV13" s="130"/>
      <c r="CW13" s="130"/>
      <c r="CX13" s="130"/>
      <c r="CY13" s="130"/>
      <c r="CZ13" s="130"/>
      <c r="DA13" s="130"/>
      <c r="DB13" s="130"/>
      <c r="DC13" s="130"/>
      <c r="DD13" s="130"/>
      <c r="DE13" s="130"/>
      <c r="DF13" s="130"/>
      <c r="DG13" s="130"/>
      <c r="DH13" s="130"/>
      <c r="DI13" s="130"/>
      <c r="DJ13" s="130"/>
      <c r="DK13" s="130"/>
      <c r="DL13" s="130"/>
      <c r="DM13" s="130"/>
      <c r="DN13" s="130"/>
      <c r="DO13" s="130"/>
      <c r="DP13" s="130"/>
      <c r="DQ13" s="130"/>
      <c r="DR13" s="130"/>
      <c r="DS13" s="130"/>
      <c r="DT13" s="130"/>
      <c r="DU13" s="130"/>
      <c r="DV13" s="130"/>
      <c r="DW13" s="130"/>
      <c r="DX13" s="130"/>
      <c r="DY13" s="130"/>
      <c r="DZ13" s="130"/>
      <c r="EA13" s="130"/>
      <c r="EB13" s="130"/>
      <c r="EC13" s="130"/>
      <c r="ED13" s="130"/>
      <c r="EE13" s="130"/>
      <c r="EF13" s="130"/>
      <c r="EG13" s="130"/>
      <c r="EH13" s="130"/>
      <c r="EI13" s="130"/>
      <c r="EJ13" s="130"/>
      <c r="EK13" s="130"/>
      <c r="EL13" s="130"/>
      <c r="EM13" s="130"/>
      <c r="EN13" s="130"/>
      <c r="EO13" s="130"/>
      <c r="EP13" s="130"/>
      <c r="EQ13" s="130"/>
      <c r="ER13" s="130"/>
      <c r="ES13" s="130"/>
      <c r="ET13" s="130"/>
      <c r="EU13" s="130"/>
      <c r="EV13" s="130"/>
      <c r="EW13" s="130"/>
      <c r="EX13" s="130"/>
      <c r="EY13" s="130"/>
      <c r="EZ13" s="130"/>
      <c r="FA13" s="130"/>
      <c r="FB13" s="130"/>
      <c r="FC13" s="130"/>
      <c r="FD13" s="130"/>
      <c r="FE13" s="130"/>
      <c r="FF13" s="130"/>
      <c r="FG13" s="130"/>
      <c r="FH13" s="130"/>
      <c r="FI13" s="130"/>
      <c r="FJ13" s="130"/>
      <c r="FK13" s="130"/>
      <c r="FL13" s="130"/>
      <c r="FM13" s="130"/>
      <c r="FN13" s="130"/>
      <c r="FO13" s="130"/>
      <c r="FP13" s="130"/>
      <c r="FQ13" s="130"/>
      <c r="FR13" s="130"/>
      <c r="FS13" s="130"/>
      <c r="FT13" s="130"/>
      <c r="FU13" s="130"/>
      <c r="FV13" s="130"/>
      <c r="FW13" s="130"/>
      <c r="FX13" s="130"/>
      <c r="FY13" s="130"/>
      <c r="FZ13" s="130"/>
      <c r="GA13" s="130"/>
      <c r="GB13" s="130"/>
      <c r="GC13" s="130"/>
      <c r="GD13" s="130"/>
      <c r="GE13" s="130"/>
      <c r="GF13" s="130"/>
      <c r="GG13" s="130"/>
      <c r="GH13" s="130"/>
      <c r="GI13" s="130"/>
      <c r="GJ13" s="130"/>
      <c r="GK13" s="130"/>
      <c r="GL13" s="130"/>
      <c r="GM13" s="130"/>
      <c r="GN13" s="130"/>
      <c r="GO13" s="130"/>
      <c r="GP13" s="130"/>
      <c r="GQ13" s="130"/>
      <c r="GR13" s="130"/>
      <c r="GS13" s="130"/>
      <c r="GT13" s="130"/>
      <c r="GU13" s="130"/>
      <c r="GV13" s="130"/>
      <c r="GW13" s="130"/>
      <c r="GX13" s="130"/>
      <c r="GY13" s="130"/>
      <c r="GZ13" s="130"/>
      <c r="HA13" s="130"/>
      <c r="HB13" s="130"/>
      <c r="HC13" s="130"/>
      <c r="HD13" s="130"/>
      <c r="HE13" s="130"/>
      <c r="HF13" s="130"/>
      <c r="HG13" s="130"/>
      <c r="HH13" s="130"/>
      <c r="HI13" s="130"/>
      <c r="HJ13" s="130"/>
      <c r="HK13" s="130"/>
      <c r="HL13" s="130"/>
      <c r="HM13" s="130"/>
      <c r="HN13" s="130"/>
      <c r="HO13" s="130"/>
      <c r="HP13" s="130"/>
      <c r="HQ13" s="130"/>
      <c r="HR13" s="130"/>
      <c r="HS13" s="130"/>
      <c r="HT13" s="130"/>
      <c r="HU13" s="130"/>
      <c r="HV13" s="130"/>
      <c r="HW13" s="130"/>
      <c r="HX13" s="130"/>
      <c r="HY13" s="130"/>
      <c r="HZ13" s="130"/>
      <c r="IA13" s="130"/>
      <c r="IB13" s="130"/>
    </row>
    <row r="14" spans="1:236" ht="15.65" customHeight="1">
      <c r="A14" s="1243" t="s">
        <v>249</v>
      </c>
      <c r="B14" s="899"/>
      <c r="C14" s="899"/>
      <c r="D14" s="899"/>
      <c r="E14" s="899"/>
      <c r="F14" s="899"/>
      <c r="G14" s="899">
        <v>5681000</v>
      </c>
      <c r="H14" s="129">
        <f>ROUND(6772425.16,-3)</f>
        <v>6772000</v>
      </c>
      <c r="I14" s="129">
        <v>9398000</v>
      </c>
      <c r="J14" s="129">
        <v>9070000</v>
      </c>
      <c r="K14" s="129">
        <v>9306000</v>
      </c>
      <c r="L14" s="129">
        <v>8049000</v>
      </c>
      <c r="N14" s="1593">
        <f t="shared" si="0"/>
        <v>-0.13507414571244358</v>
      </c>
      <c r="O14" s="1291"/>
      <c r="P14" s="557"/>
      <c r="Q14" s="548"/>
      <c r="R14" s="548"/>
      <c r="S14" s="548"/>
      <c r="U14" s="558"/>
      <c r="V14" s="548"/>
      <c r="W14" s="549"/>
      <c r="X14" s="548"/>
      <c r="Y14" s="548"/>
      <c r="Z14" s="548"/>
      <c r="AA14" s="548"/>
      <c r="AB14" s="548"/>
      <c r="AC14" s="548"/>
      <c r="AD14" s="548"/>
      <c r="AE14" s="548"/>
      <c r="AF14" s="548"/>
      <c r="AG14" s="548"/>
      <c r="AH14" s="548"/>
      <c r="AI14" s="548"/>
      <c r="AJ14" s="548"/>
      <c r="AK14" s="548"/>
      <c r="AL14" s="130"/>
      <c r="AM14" s="130"/>
      <c r="AN14" s="130"/>
      <c r="AO14" s="130"/>
      <c r="AP14" s="130"/>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c r="BM14" s="130"/>
      <c r="BN14" s="130"/>
      <c r="BO14" s="130"/>
      <c r="BP14" s="130"/>
      <c r="BQ14" s="130"/>
      <c r="BR14" s="130"/>
      <c r="BS14" s="130"/>
      <c r="BT14" s="130"/>
      <c r="BU14" s="130"/>
      <c r="BV14" s="130"/>
      <c r="BW14" s="130"/>
      <c r="BX14" s="130"/>
      <c r="BY14" s="130"/>
      <c r="BZ14" s="130"/>
      <c r="CA14" s="130"/>
      <c r="CB14" s="130"/>
      <c r="CC14" s="130"/>
      <c r="CD14" s="130"/>
      <c r="CE14" s="130"/>
      <c r="CF14" s="130"/>
      <c r="CG14" s="130"/>
      <c r="CH14" s="130"/>
      <c r="CI14" s="130"/>
      <c r="CJ14" s="130"/>
      <c r="CK14" s="130"/>
      <c r="CL14" s="130"/>
      <c r="CM14" s="130"/>
      <c r="CN14" s="130"/>
      <c r="CO14" s="130"/>
      <c r="CP14" s="130"/>
      <c r="CQ14" s="130"/>
      <c r="CR14" s="130"/>
      <c r="CS14" s="130"/>
      <c r="CT14" s="130"/>
      <c r="CU14" s="130"/>
      <c r="CV14" s="130"/>
      <c r="CW14" s="130"/>
      <c r="CX14" s="130"/>
      <c r="CY14" s="130"/>
      <c r="CZ14" s="130"/>
      <c r="DA14" s="130"/>
      <c r="DB14" s="130"/>
      <c r="DC14" s="130"/>
      <c r="DD14" s="130"/>
      <c r="DE14" s="130"/>
      <c r="DF14" s="130"/>
      <c r="DG14" s="130"/>
      <c r="DH14" s="130"/>
      <c r="DI14" s="130"/>
      <c r="DJ14" s="130"/>
      <c r="DK14" s="130"/>
      <c r="DL14" s="130"/>
      <c r="DM14" s="130"/>
      <c r="DN14" s="130"/>
      <c r="DO14" s="130"/>
      <c r="DP14" s="130"/>
      <c r="DQ14" s="130"/>
      <c r="DR14" s="130"/>
      <c r="DS14" s="130"/>
      <c r="DT14" s="130"/>
      <c r="DU14" s="130"/>
      <c r="DV14" s="130"/>
      <c r="DW14" s="130"/>
      <c r="DX14" s="130"/>
      <c r="DY14" s="130"/>
      <c r="DZ14" s="130"/>
      <c r="EA14" s="130"/>
      <c r="EB14" s="130"/>
      <c r="EC14" s="130"/>
      <c r="ED14" s="130"/>
      <c r="EE14" s="130"/>
      <c r="EF14" s="130"/>
      <c r="EG14" s="130"/>
      <c r="EH14" s="130"/>
      <c r="EI14" s="130"/>
      <c r="EJ14" s="130"/>
      <c r="EK14" s="130"/>
      <c r="EL14" s="130"/>
      <c r="EM14" s="130"/>
      <c r="EN14" s="130"/>
      <c r="EO14" s="130"/>
      <c r="EP14" s="130"/>
      <c r="EQ14" s="130"/>
      <c r="ER14" s="130"/>
      <c r="ES14" s="130"/>
      <c r="ET14" s="130"/>
      <c r="EU14" s="130"/>
      <c r="EV14" s="130"/>
      <c r="EW14" s="130"/>
      <c r="EX14" s="130"/>
      <c r="EY14" s="130"/>
      <c r="EZ14" s="130"/>
      <c r="FA14" s="130"/>
      <c r="FB14" s="130"/>
      <c r="FC14" s="130"/>
      <c r="FD14" s="130"/>
      <c r="FE14" s="130"/>
      <c r="FF14" s="130"/>
      <c r="FG14" s="130"/>
      <c r="FH14" s="130"/>
      <c r="FI14" s="130"/>
      <c r="FJ14" s="130"/>
      <c r="FK14" s="130"/>
      <c r="FL14" s="130"/>
      <c r="FM14" s="130"/>
      <c r="FN14" s="130"/>
      <c r="FO14" s="130"/>
      <c r="FP14" s="130"/>
      <c r="FQ14" s="130"/>
      <c r="FR14" s="130"/>
      <c r="FS14" s="130"/>
      <c r="FT14" s="130"/>
      <c r="FU14" s="130"/>
      <c r="FV14" s="130"/>
      <c r="FW14" s="130"/>
      <c r="FX14" s="130"/>
      <c r="FY14" s="130"/>
      <c r="FZ14" s="130"/>
      <c r="GA14" s="130"/>
      <c r="GB14" s="130"/>
      <c r="GC14" s="130"/>
      <c r="GD14" s="130"/>
      <c r="GE14" s="130"/>
      <c r="GF14" s="130"/>
      <c r="GG14" s="130"/>
      <c r="GH14" s="130"/>
      <c r="GI14" s="130"/>
      <c r="GJ14" s="130"/>
      <c r="GK14" s="130"/>
      <c r="GL14" s="130"/>
      <c r="GM14" s="130"/>
      <c r="GN14" s="130"/>
      <c r="GO14" s="130"/>
      <c r="GP14" s="130"/>
      <c r="GQ14" s="130"/>
      <c r="GR14" s="130"/>
      <c r="GS14" s="130"/>
      <c r="GT14" s="130"/>
      <c r="GU14" s="130"/>
      <c r="GV14" s="130"/>
      <c r="GW14" s="130"/>
      <c r="GX14" s="130"/>
      <c r="GY14" s="130"/>
      <c r="GZ14" s="130"/>
      <c r="HA14" s="130"/>
      <c r="HB14" s="130"/>
      <c r="HC14" s="130"/>
      <c r="HD14" s="130"/>
      <c r="HE14" s="130"/>
      <c r="HF14" s="130"/>
      <c r="HG14" s="130"/>
      <c r="HH14" s="130"/>
      <c r="HI14" s="130"/>
      <c r="HJ14" s="130"/>
      <c r="HK14" s="130"/>
      <c r="HL14" s="130"/>
      <c r="HM14" s="130"/>
      <c r="HN14" s="130"/>
      <c r="HO14" s="130"/>
      <c r="HP14" s="130"/>
      <c r="HQ14" s="130"/>
      <c r="HR14" s="130"/>
      <c r="HS14" s="130"/>
      <c r="HT14" s="130"/>
      <c r="HU14" s="130"/>
      <c r="HV14" s="130"/>
      <c r="HW14" s="130"/>
      <c r="HX14" s="130"/>
      <c r="HY14" s="130"/>
      <c r="HZ14" s="130"/>
      <c r="IA14" s="130"/>
      <c r="IB14" s="130"/>
    </row>
    <row r="15" spans="1:236" ht="15.65" customHeight="1">
      <c r="A15" s="130" t="s">
        <v>1331</v>
      </c>
      <c r="B15" s="899"/>
      <c r="C15" s="899"/>
      <c r="D15" s="899"/>
      <c r="E15" s="899"/>
      <c r="F15" s="899"/>
      <c r="G15" s="899">
        <v>6444000</v>
      </c>
      <c r="H15" s="129">
        <f>ROUND(5794346.74+726593.28,-3)</f>
        <v>6521000</v>
      </c>
      <c r="I15" s="129">
        <v>6051000</v>
      </c>
      <c r="J15" s="129">
        <v>6110000</v>
      </c>
      <c r="K15" s="129">
        <v>6681000</v>
      </c>
      <c r="L15" s="129">
        <v>7251000</v>
      </c>
      <c r="N15" s="1593">
        <f t="shared" si="0"/>
        <v>8.5316569375841977E-2</v>
      </c>
      <c r="O15" s="1291"/>
      <c r="P15" s="557"/>
      <c r="Q15" s="548"/>
      <c r="R15" s="548"/>
      <c r="S15" s="548"/>
      <c r="U15" s="558"/>
      <c r="V15" s="548"/>
      <c r="W15" s="549"/>
      <c r="X15" s="548"/>
      <c r="Y15" s="548"/>
      <c r="Z15" s="548"/>
      <c r="AA15" s="548"/>
      <c r="AB15" s="548"/>
      <c r="AC15" s="548"/>
      <c r="AD15" s="548"/>
      <c r="AE15" s="548"/>
      <c r="AF15" s="548"/>
      <c r="AG15" s="548"/>
      <c r="AH15" s="548"/>
      <c r="AI15" s="548"/>
      <c r="AJ15" s="548"/>
      <c r="AK15" s="548"/>
      <c r="AL15" s="130"/>
      <c r="AM15" s="130"/>
      <c r="AN15" s="130"/>
      <c r="AO15" s="130"/>
      <c r="AP15" s="130"/>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s="130"/>
      <c r="BQ15" s="130"/>
      <c r="BR15" s="130"/>
      <c r="BS15" s="130"/>
      <c r="BT15" s="130"/>
      <c r="BU15" s="130"/>
      <c r="BV15" s="130"/>
      <c r="BW15" s="130"/>
      <c r="BX15" s="130"/>
      <c r="BY15" s="130"/>
      <c r="BZ15" s="130"/>
      <c r="CA15" s="130"/>
      <c r="CB15" s="130"/>
      <c r="CC15" s="130"/>
      <c r="CD15" s="130"/>
      <c r="CE15" s="130"/>
      <c r="CF15" s="130"/>
      <c r="CG15" s="130"/>
      <c r="CH15" s="130"/>
      <c r="CI15" s="130"/>
      <c r="CJ15" s="130"/>
      <c r="CK15" s="130"/>
      <c r="CL15" s="130"/>
      <c r="CM15" s="130"/>
      <c r="CN15" s="130"/>
      <c r="CO15" s="130"/>
      <c r="CP15" s="130"/>
      <c r="CQ15" s="130"/>
      <c r="CR15" s="130"/>
      <c r="CS15" s="130"/>
      <c r="CT15" s="130"/>
      <c r="CU15" s="130"/>
      <c r="CV15" s="130"/>
      <c r="CW15" s="130"/>
      <c r="CX15" s="130"/>
      <c r="CY15" s="130"/>
      <c r="CZ15" s="130"/>
      <c r="DA15" s="130"/>
      <c r="DB15" s="130"/>
      <c r="DC15" s="130"/>
      <c r="DD15" s="130"/>
      <c r="DE15" s="130"/>
      <c r="DF15" s="130"/>
      <c r="DG15" s="130"/>
      <c r="DH15" s="130"/>
      <c r="DI15" s="130"/>
      <c r="DJ15" s="130"/>
      <c r="DK15" s="130"/>
      <c r="DL15" s="130"/>
      <c r="DM15" s="130"/>
      <c r="DN15" s="130"/>
      <c r="DO15" s="130"/>
      <c r="DP15" s="130"/>
      <c r="DQ15" s="130"/>
      <c r="DR15" s="130"/>
      <c r="DS15" s="130"/>
      <c r="DT15" s="130"/>
      <c r="DU15" s="130"/>
      <c r="DV15" s="130"/>
      <c r="DW15" s="130"/>
      <c r="DX15" s="130"/>
      <c r="DY15" s="130"/>
      <c r="DZ15" s="130"/>
      <c r="EA15" s="130"/>
      <c r="EB15" s="130"/>
      <c r="EC15" s="130"/>
      <c r="ED15" s="130"/>
      <c r="EE15" s="130"/>
      <c r="EF15" s="130"/>
      <c r="EG15" s="130"/>
      <c r="EH15" s="130"/>
      <c r="EI15" s="130"/>
      <c r="EJ15" s="130"/>
      <c r="EK15" s="130"/>
      <c r="EL15" s="130"/>
      <c r="EM15" s="130"/>
      <c r="EN15" s="130"/>
      <c r="EO15" s="130"/>
      <c r="EP15" s="130"/>
      <c r="EQ15" s="130"/>
      <c r="ER15" s="130"/>
      <c r="ES15" s="130"/>
      <c r="ET15" s="130"/>
      <c r="EU15" s="130"/>
      <c r="EV15" s="130"/>
      <c r="EW15" s="130"/>
      <c r="EX15" s="130"/>
      <c r="EY15" s="130"/>
      <c r="EZ15" s="130"/>
      <c r="FA15" s="130"/>
      <c r="FB15" s="130"/>
      <c r="FC15" s="130"/>
      <c r="FD15" s="130"/>
      <c r="FE15" s="130"/>
      <c r="FF15" s="130"/>
      <c r="FG15" s="130"/>
      <c r="FH15" s="130"/>
      <c r="FI15" s="130"/>
      <c r="FJ15" s="130"/>
      <c r="FK15" s="130"/>
      <c r="FL15" s="130"/>
      <c r="FM15" s="130"/>
      <c r="FN15" s="130"/>
      <c r="FO15" s="130"/>
      <c r="FP15" s="130"/>
      <c r="FQ15" s="130"/>
      <c r="FR15" s="130"/>
      <c r="FS15" s="130"/>
      <c r="FT15" s="130"/>
      <c r="FU15" s="130"/>
      <c r="FV15" s="130"/>
      <c r="FW15" s="130"/>
      <c r="FX15" s="130"/>
      <c r="FY15" s="130"/>
      <c r="FZ15" s="130"/>
      <c r="GA15" s="130"/>
      <c r="GB15" s="130"/>
      <c r="GC15" s="130"/>
      <c r="GD15" s="130"/>
      <c r="GE15" s="130"/>
      <c r="GF15" s="130"/>
      <c r="GG15" s="130"/>
      <c r="GH15" s="130"/>
      <c r="GI15" s="130"/>
      <c r="GJ15" s="130"/>
      <c r="GK15" s="130"/>
      <c r="GL15" s="130"/>
      <c r="GM15" s="130"/>
      <c r="GN15" s="130"/>
      <c r="GO15" s="130"/>
      <c r="GP15" s="130"/>
      <c r="GQ15" s="130"/>
      <c r="GR15" s="130"/>
      <c r="GS15" s="130"/>
      <c r="GT15" s="130"/>
      <c r="GU15" s="130"/>
      <c r="GV15" s="130"/>
      <c r="GW15" s="130"/>
      <c r="GX15" s="130"/>
      <c r="GY15" s="130"/>
      <c r="GZ15" s="130"/>
      <c r="HA15" s="130"/>
      <c r="HB15" s="130"/>
      <c r="HC15" s="130"/>
      <c r="HD15" s="130"/>
      <c r="HE15" s="130"/>
      <c r="HF15" s="130"/>
      <c r="HG15" s="130"/>
      <c r="HH15" s="130"/>
      <c r="HI15" s="130"/>
      <c r="HJ15" s="130"/>
      <c r="HK15" s="130"/>
      <c r="HL15" s="130"/>
      <c r="HM15" s="130"/>
      <c r="HN15" s="130"/>
      <c r="HO15" s="130"/>
      <c r="HP15" s="130"/>
      <c r="HQ15" s="130"/>
      <c r="HR15" s="130"/>
      <c r="HS15" s="130"/>
      <c r="HT15" s="130"/>
      <c r="HU15" s="130"/>
      <c r="HV15" s="130"/>
      <c r="HW15" s="130"/>
      <c r="HX15" s="130"/>
      <c r="HY15" s="130"/>
      <c r="HZ15" s="130"/>
      <c r="IA15" s="130"/>
      <c r="IB15" s="130"/>
    </row>
    <row r="16" spans="1:236" ht="15.65" customHeight="1">
      <c r="A16" s="130" t="s">
        <v>710</v>
      </c>
      <c r="B16" s="899"/>
      <c r="C16" s="899"/>
      <c r="D16" s="899"/>
      <c r="E16" s="899"/>
      <c r="F16" s="899"/>
      <c r="G16" s="899">
        <v>382018000</v>
      </c>
      <c r="H16" s="129">
        <f>ROUND(603081210.21-242492835.9,-3)</f>
        <v>360588000</v>
      </c>
      <c r="I16" s="129">
        <v>363105000</v>
      </c>
      <c r="J16" s="129">
        <v>426830000</v>
      </c>
      <c r="K16" s="129">
        <v>450877000</v>
      </c>
      <c r="L16" s="129">
        <v>468192000</v>
      </c>
      <c r="N16" s="1593">
        <f t="shared" si="0"/>
        <v>3.8402934724991455E-2</v>
      </c>
      <c r="O16" s="1291"/>
      <c r="P16" s="557"/>
      <c r="Q16" s="548"/>
      <c r="R16" s="548"/>
      <c r="S16" s="548"/>
      <c r="U16" s="558"/>
      <c r="V16" s="548"/>
      <c r="W16" s="549"/>
      <c r="X16" s="548"/>
      <c r="Y16" s="548"/>
      <c r="Z16" s="548"/>
      <c r="AA16" s="548"/>
      <c r="AB16" s="548"/>
      <c r="AC16" s="548"/>
      <c r="AD16" s="548"/>
      <c r="AE16" s="548"/>
      <c r="AF16" s="548"/>
      <c r="AG16" s="548"/>
      <c r="AH16" s="548"/>
      <c r="AI16" s="548"/>
      <c r="AJ16" s="548"/>
      <c r="AK16" s="548"/>
      <c r="AL16" s="130"/>
      <c r="AM16" s="130"/>
      <c r="AN16" s="130"/>
      <c r="AO16" s="130"/>
      <c r="AP16" s="130"/>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c r="BR16" s="130"/>
      <c r="BS16" s="130"/>
      <c r="BT16" s="130"/>
      <c r="BU16" s="130"/>
      <c r="BV16" s="130"/>
      <c r="BW16" s="130"/>
      <c r="BX16" s="130"/>
      <c r="BY16" s="130"/>
      <c r="BZ16" s="130"/>
      <c r="CA16" s="130"/>
      <c r="CB16" s="130"/>
      <c r="CC16" s="130"/>
      <c r="CD16" s="130"/>
      <c r="CE16" s="130"/>
      <c r="CF16" s="130"/>
      <c r="CG16" s="130"/>
      <c r="CH16" s="130"/>
      <c r="CI16" s="130"/>
      <c r="CJ16" s="130"/>
      <c r="CK16" s="130"/>
      <c r="CL16" s="130"/>
      <c r="CM16" s="130"/>
      <c r="CN16" s="130"/>
      <c r="CO16" s="130"/>
      <c r="CP16" s="130"/>
      <c r="CQ16" s="130"/>
      <c r="CR16" s="130"/>
      <c r="CS16" s="130"/>
      <c r="CT16" s="130"/>
      <c r="CU16" s="130"/>
      <c r="CV16" s="130"/>
      <c r="CW16" s="130"/>
      <c r="CX16" s="130"/>
      <c r="CY16" s="130"/>
      <c r="CZ16" s="130"/>
      <c r="DA16" s="130"/>
      <c r="DB16" s="130"/>
      <c r="DC16" s="130"/>
      <c r="DD16" s="130"/>
      <c r="DE16" s="130"/>
      <c r="DF16" s="130"/>
      <c r="DG16" s="130"/>
      <c r="DH16" s="130"/>
      <c r="DI16" s="130"/>
      <c r="DJ16" s="130"/>
      <c r="DK16" s="130"/>
      <c r="DL16" s="130"/>
      <c r="DM16" s="130"/>
      <c r="DN16" s="130"/>
      <c r="DO16" s="130"/>
      <c r="DP16" s="130"/>
      <c r="DQ16" s="130"/>
      <c r="DR16" s="130"/>
      <c r="DS16" s="130"/>
      <c r="DT16" s="130"/>
      <c r="DU16" s="130"/>
      <c r="DV16" s="130"/>
      <c r="DW16" s="130"/>
      <c r="DX16" s="130"/>
      <c r="DY16" s="130"/>
      <c r="DZ16" s="130"/>
      <c r="EA16" s="130"/>
      <c r="EB16" s="130"/>
      <c r="EC16" s="130"/>
      <c r="ED16" s="130"/>
      <c r="EE16" s="130"/>
      <c r="EF16" s="130"/>
      <c r="EG16" s="130"/>
      <c r="EH16" s="130"/>
      <c r="EI16" s="130"/>
      <c r="EJ16" s="130"/>
      <c r="EK16" s="130"/>
      <c r="EL16" s="130"/>
      <c r="EM16" s="130"/>
      <c r="EN16" s="130"/>
      <c r="EO16" s="130"/>
      <c r="EP16" s="130"/>
      <c r="EQ16" s="130"/>
      <c r="ER16" s="130"/>
      <c r="ES16" s="130"/>
      <c r="ET16" s="130"/>
      <c r="EU16" s="130"/>
      <c r="EV16" s="130"/>
      <c r="EW16" s="130"/>
      <c r="EX16" s="130"/>
      <c r="EY16" s="130"/>
      <c r="EZ16" s="130"/>
      <c r="FA16" s="130"/>
      <c r="FB16" s="130"/>
      <c r="FC16" s="130"/>
      <c r="FD16" s="130"/>
      <c r="FE16" s="130"/>
      <c r="FF16" s="130"/>
      <c r="FG16" s="130"/>
      <c r="FH16" s="130"/>
      <c r="FI16" s="130"/>
      <c r="FJ16" s="130"/>
      <c r="FK16" s="130"/>
      <c r="FL16" s="130"/>
      <c r="FM16" s="130"/>
      <c r="FN16" s="130"/>
      <c r="FO16" s="130"/>
      <c r="FP16" s="130"/>
      <c r="FQ16" s="130"/>
      <c r="FR16" s="130"/>
      <c r="FS16" s="130"/>
      <c r="FT16" s="130"/>
      <c r="FU16" s="130"/>
      <c r="FV16" s="130"/>
      <c r="FW16" s="130"/>
      <c r="FX16" s="130"/>
      <c r="FY16" s="130"/>
      <c r="FZ16" s="130"/>
      <c r="GA16" s="130"/>
      <c r="GB16" s="130"/>
      <c r="GC16" s="130"/>
      <c r="GD16" s="130"/>
      <c r="GE16" s="130"/>
      <c r="GF16" s="130"/>
      <c r="GG16" s="130"/>
      <c r="GH16" s="130"/>
      <c r="GI16" s="130"/>
      <c r="GJ16" s="130"/>
      <c r="GK16" s="130"/>
      <c r="GL16" s="130"/>
      <c r="GM16" s="130"/>
      <c r="GN16" s="130"/>
      <c r="GO16" s="130"/>
      <c r="GP16" s="130"/>
      <c r="GQ16" s="130"/>
      <c r="GR16" s="130"/>
      <c r="GS16" s="130"/>
      <c r="GT16" s="130"/>
      <c r="GU16" s="130"/>
      <c r="GV16" s="130"/>
      <c r="GW16" s="130"/>
      <c r="GX16" s="130"/>
      <c r="GY16" s="130"/>
      <c r="GZ16" s="130"/>
      <c r="HA16" s="130"/>
      <c r="HB16" s="130"/>
      <c r="HC16" s="130"/>
      <c r="HD16" s="130"/>
      <c r="HE16" s="130"/>
      <c r="HF16" s="130"/>
      <c r="HG16" s="130"/>
      <c r="HH16" s="130"/>
      <c r="HI16" s="130"/>
      <c r="HJ16" s="130"/>
      <c r="HK16" s="130"/>
      <c r="HL16" s="130"/>
      <c r="HM16" s="130"/>
      <c r="HN16" s="130"/>
      <c r="HO16" s="130"/>
      <c r="HP16" s="130"/>
      <c r="HQ16" s="130"/>
      <c r="HR16" s="130"/>
      <c r="HS16" s="130"/>
      <c r="HT16" s="130"/>
      <c r="HU16" s="130"/>
      <c r="HV16" s="130"/>
      <c r="HW16" s="130"/>
      <c r="HX16" s="130"/>
      <c r="HY16" s="130"/>
      <c r="HZ16" s="130"/>
      <c r="IA16" s="130"/>
      <c r="IB16" s="130"/>
    </row>
    <row r="17" spans="1:236" ht="6" customHeight="1">
      <c r="A17" s="130"/>
      <c r="B17" s="902"/>
      <c r="C17" s="902"/>
      <c r="D17" s="902"/>
      <c r="E17" s="902"/>
      <c r="F17" s="902"/>
      <c r="G17" s="902"/>
      <c r="H17" s="902"/>
      <c r="N17" s="1594"/>
      <c r="O17" s="1298"/>
      <c r="P17" s="548"/>
      <c r="Q17" s="548"/>
      <c r="R17" s="548"/>
      <c r="S17" s="548"/>
      <c r="U17" s="558"/>
      <c r="V17" s="548"/>
      <c r="W17" s="549"/>
      <c r="X17" s="548"/>
      <c r="Y17" s="548"/>
      <c r="Z17" s="548"/>
      <c r="AA17" s="548"/>
      <c r="AB17" s="548"/>
      <c r="AC17" s="548"/>
      <c r="AD17" s="548"/>
      <c r="AE17" s="548"/>
      <c r="AF17" s="548"/>
      <c r="AG17" s="548"/>
      <c r="AH17" s="548"/>
      <c r="AI17" s="548"/>
      <c r="AJ17" s="548"/>
      <c r="AK17" s="548"/>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c r="BW17" s="130"/>
      <c r="BX17" s="130"/>
      <c r="BY17" s="130"/>
      <c r="BZ17" s="130"/>
      <c r="CA17" s="130"/>
      <c r="CB17" s="130"/>
      <c r="CC17" s="130"/>
      <c r="CD17" s="130"/>
      <c r="CE17" s="130"/>
      <c r="CF17" s="130"/>
      <c r="CG17" s="130"/>
      <c r="CH17" s="130"/>
      <c r="CI17" s="130"/>
      <c r="CJ17" s="130"/>
      <c r="CK17" s="130"/>
      <c r="CL17" s="130"/>
      <c r="CM17" s="130"/>
      <c r="CN17" s="130"/>
      <c r="CO17" s="130"/>
      <c r="CP17" s="130"/>
      <c r="CQ17" s="130"/>
      <c r="CR17" s="130"/>
      <c r="CS17" s="130"/>
      <c r="CT17" s="130"/>
      <c r="CU17" s="130"/>
      <c r="CV17" s="130"/>
      <c r="CW17" s="130"/>
      <c r="CX17" s="130"/>
      <c r="CY17" s="130"/>
      <c r="CZ17" s="130"/>
      <c r="DA17" s="130"/>
      <c r="DB17" s="130"/>
      <c r="DC17" s="130"/>
      <c r="DD17" s="130"/>
      <c r="DE17" s="130"/>
      <c r="DF17" s="130"/>
      <c r="DG17" s="130"/>
      <c r="DH17" s="130"/>
      <c r="DI17" s="130"/>
      <c r="DJ17" s="130"/>
      <c r="DK17" s="130"/>
      <c r="DL17" s="130"/>
      <c r="DM17" s="130"/>
      <c r="DN17" s="130"/>
      <c r="DO17" s="130"/>
      <c r="DP17" s="130"/>
      <c r="DQ17" s="130"/>
      <c r="DR17" s="130"/>
      <c r="DS17" s="130"/>
      <c r="DT17" s="130"/>
      <c r="DU17" s="130"/>
      <c r="DV17" s="130"/>
      <c r="DW17" s="130"/>
      <c r="DX17" s="130"/>
      <c r="DY17" s="130"/>
      <c r="DZ17" s="130"/>
      <c r="EA17" s="130"/>
      <c r="EB17" s="130"/>
      <c r="EC17" s="130"/>
      <c r="ED17" s="130"/>
      <c r="EE17" s="130"/>
      <c r="EF17" s="130"/>
      <c r="EG17" s="130"/>
      <c r="EH17" s="130"/>
      <c r="EI17" s="130"/>
      <c r="EJ17" s="130"/>
      <c r="EK17" s="130"/>
      <c r="EL17" s="130"/>
      <c r="EM17" s="130"/>
      <c r="EN17" s="130"/>
      <c r="EO17" s="130"/>
      <c r="EP17" s="130"/>
      <c r="EQ17" s="130"/>
      <c r="ER17" s="130"/>
      <c r="ES17" s="130"/>
      <c r="ET17" s="130"/>
      <c r="EU17" s="130"/>
      <c r="EV17" s="130"/>
      <c r="EW17" s="130"/>
      <c r="EX17" s="130"/>
      <c r="EY17" s="130"/>
      <c r="EZ17" s="130"/>
      <c r="FA17" s="130"/>
      <c r="FB17" s="130"/>
      <c r="FC17" s="130"/>
      <c r="FD17" s="130"/>
      <c r="FE17" s="130"/>
      <c r="FF17" s="130"/>
      <c r="FG17" s="130"/>
      <c r="FH17" s="130"/>
      <c r="FI17" s="130"/>
      <c r="FJ17" s="130"/>
      <c r="FK17" s="130"/>
      <c r="FL17" s="130"/>
      <c r="FM17" s="130"/>
      <c r="FN17" s="130"/>
      <c r="FO17" s="130"/>
      <c r="FP17" s="130"/>
      <c r="FQ17" s="130"/>
      <c r="FR17" s="130"/>
      <c r="FS17" s="130"/>
      <c r="FT17" s="130"/>
      <c r="FU17" s="130"/>
      <c r="FV17" s="130"/>
      <c r="FW17" s="130"/>
      <c r="FX17" s="130"/>
      <c r="FY17" s="130"/>
      <c r="FZ17" s="130"/>
      <c r="GA17" s="130"/>
      <c r="GB17" s="130"/>
      <c r="GC17" s="130"/>
      <c r="GD17" s="130"/>
      <c r="GE17" s="130"/>
      <c r="GF17" s="130"/>
      <c r="GG17" s="130"/>
      <c r="GH17" s="130"/>
      <c r="GI17" s="130"/>
      <c r="GJ17" s="130"/>
      <c r="GK17" s="130"/>
      <c r="GL17" s="130"/>
      <c r="GM17" s="130"/>
      <c r="GN17" s="130"/>
      <c r="GO17" s="130"/>
      <c r="GP17" s="130"/>
      <c r="GQ17" s="130"/>
      <c r="GR17" s="130"/>
      <c r="GS17" s="130"/>
      <c r="GT17" s="130"/>
      <c r="GU17" s="130"/>
      <c r="GV17" s="130"/>
      <c r="GW17" s="130"/>
      <c r="GX17" s="130"/>
      <c r="GY17" s="130"/>
      <c r="GZ17" s="130"/>
      <c r="HA17" s="130"/>
      <c r="HB17" s="130"/>
      <c r="HC17" s="130"/>
      <c r="HD17" s="130"/>
      <c r="HE17" s="130"/>
      <c r="HF17" s="130"/>
      <c r="HG17" s="130"/>
      <c r="HH17" s="130"/>
      <c r="HI17" s="130"/>
      <c r="HJ17" s="130"/>
      <c r="HK17" s="130"/>
      <c r="HL17" s="130"/>
      <c r="HM17" s="130"/>
      <c r="HN17" s="130"/>
      <c r="HO17" s="130"/>
      <c r="HP17" s="130"/>
      <c r="HQ17" s="130"/>
      <c r="HR17" s="130"/>
      <c r="HS17" s="130"/>
      <c r="HT17" s="130"/>
      <c r="HU17" s="130"/>
      <c r="HV17" s="130"/>
      <c r="HW17" s="130"/>
      <c r="HX17" s="130"/>
      <c r="HY17" s="130"/>
      <c r="HZ17" s="130"/>
      <c r="IA17" s="130"/>
      <c r="IB17" s="130"/>
    </row>
    <row r="18" spans="1:236" ht="15.65" customHeight="1">
      <c r="A18" s="132" t="s">
        <v>250</v>
      </c>
      <c r="B18" s="1036">
        <v>15733790000</v>
      </c>
      <c r="C18" s="1036">
        <v>17069018000</v>
      </c>
      <c r="D18" s="1036">
        <v>17348564000</v>
      </c>
      <c r="E18" s="1036">
        <v>18001810000</v>
      </c>
      <c r="F18" s="1036">
        <v>19188948000</v>
      </c>
      <c r="G18" s="1036">
        <f>SUM(G7:G16)</f>
        <v>20553037000</v>
      </c>
      <c r="H18" s="1036">
        <f>SUM(H7:H16)</f>
        <v>20943678000</v>
      </c>
      <c r="I18" s="1037">
        <v>24058765000</v>
      </c>
      <c r="J18" s="1037">
        <v>28061732000</v>
      </c>
      <c r="K18" s="1595">
        <v>26670180000</v>
      </c>
      <c r="L18" s="1595">
        <v>27842462000</v>
      </c>
      <c r="M18" s="135"/>
      <c r="N18" s="1596">
        <f>IFERROR((L18/K18)-1,"")</f>
        <v>4.3954783957213639E-2</v>
      </c>
      <c r="O18" s="1299"/>
      <c r="P18" s="557"/>
      <c r="Q18" s="548"/>
      <c r="R18" s="548"/>
      <c r="S18" s="548"/>
      <c r="U18" s="558"/>
      <c r="V18" s="548"/>
      <c r="W18" s="549"/>
      <c r="X18" s="548"/>
      <c r="Y18" s="548"/>
      <c r="Z18" s="548"/>
      <c r="AA18" s="548"/>
      <c r="AB18" s="548"/>
      <c r="AC18" s="548"/>
      <c r="AD18" s="548"/>
      <c r="AE18" s="548"/>
      <c r="AF18" s="548"/>
      <c r="AG18" s="548"/>
      <c r="AH18" s="548"/>
      <c r="AI18" s="548"/>
      <c r="AJ18" s="548"/>
      <c r="AK18" s="548"/>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c r="BW18" s="130"/>
      <c r="BX18" s="130"/>
      <c r="BY18" s="130"/>
      <c r="BZ18" s="130"/>
      <c r="CA18" s="130"/>
      <c r="CB18" s="130"/>
      <c r="CC18" s="130"/>
      <c r="CD18" s="130"/>
      <c r="CE18" s="130"/>
      <c r="CF18" s="130"/>
      <c r="CG18" s="130"/>
      <c r="CH18" s="130"/>
      <c r="CI18" s="130"/>
      <c r="CJ18" s="130"/>
      <c r="CK18" s="130"/>
      <c r="CL18" s="130"/>
      <c r="CM18" s="130"/>
      <c r="CN18" s="130"/>
      <c r="CO18" s="130"/>
      <c r="CP18" s="130"/>
      <c r="CQ18" s="130"/>
      <c r="CR18" s="130"/>
      <c r="CS18" s="130"/>
      <c r="CT18" s="130"/>
      <c r="CU18" s="130"/>
      <c r="CV18" s="130"/>
      <c r="CW18" s="130"/>
      <c r="CX18" s="130"/>
      <c r="CY18" s="130"/>
      <c r="CZ18" s="130"/>
      <c r="DA18" s="130"/>
      <c r="DB18" s="130"/>
      <c r="DC18" s="130"/>
      <c r="DD18" s="130"/>
      <c r="DE18" s="130"/>
      <c r="DF18" s="130"/>
      <c r="DG18" s="130"/>
      <c r="DH18" s="130"/>
      <c r="DI18" s="130"/>
      <c r="DJ18" s="130"/>
      <c r="DK18" s="130"/>
      <c r="DL18" s="130"/>
      <c r="DM18" s="130"/>
      <c r="DN18" s="130"/>
      <c r="DO18" s="130"/>
      <c r="DP18" s="130"/>
      <c r="DQ18" s="130"/>
      <c r="DR18" s="130"/>
      <c r="DS18" s="130"/>
      <c r="DT18" s="130"/>
      <c r="DU18" s="130"/>
      <c r="DV18" s="130"/>
      <c r="DW18" s="130"/>
      <c r="DX18" s="130"/>
      <c r="DY18" s="130"/>
      <c r="DZ18" s="130"/>
      <c r="EA18" s="130"/>
      <c r="EB18" s="130"/>
      <c r="EC18" s="130"/>
      <c r="ED18" s="130"/>
      <c r="EE18" s="130"/>
      <c r="EF18" s="130"/>
      <c r="EG18" s="130"/>
      <c r="EH18" s="130"/>
      <c r="EI18" s="130"/>
      <c r="EJ18" s="130"/>
      <c r="EK18" s="130"/>
      <c r="EL18" s="130"/>
      <c r="EM18" s="130"/>
      <c r="EN18" s="130"/>
      <c r="EO18" s="130"/>
      <c r="EP18" s="130"/>
      <c r="EQ18" s="130"/>
      <c r="ER18" s="130"/>
      <c r="ES18" s="130"/>
      <c r="ET18" s="130"/>
      <c r="EU18" s="130"/>
      <c r="EV18" s="130"/>
      <c r="EW18" s="130"/>
      <c r="EX18" s="130"/>
      <c r="EY18" s="130"/>
      <c r="EZ18" s="130"/>
      <c r="FA18" s="130"/>
      <c r="FB18" s="130"/>
      <c r="FC18" s="130"/>
      <c r="FD18" s="130"/>
      <c r="FE18" s="130"/>
      <c r="FF18" s="130"/>
      <c r="FG18" s="130"/>
      <c r="FH18" s="130"/>
      <c r="FI18" s="130"/>
      <c r="FJ18" s="130"/>
      <c r="FK18" s="130"/>
      <c r="FL18" s="130"/>
      <c r="FM18" s="130"/>
      <c r="FN18" s="130"/>
      <c r="FO18" s="130"/>
      <c r="FP18" s="130"/>
      <c r="FQ18" s="130"/>
      <c r="FR18" s="130"/>
      <c r="FS18" s="130"/>
      <c r="FT18" s="130"/>
      <c r="FU18" s="130"/>
      <c r="FV18" s="130"/>
      <c r="FW18" s="130"/>
      <c r="FX18" s="130"/>
      <c r="FY18" s="130"/>
      <c r="FZ18" s="130"/>
      <c r="GA18" s="130"/>
      <c r="GB18" s="130"/>
      <c r="GC18" s="130"/>
      <c r="GD18" s="130"/>
      <c r="GE18" s="130"/>
      <c r="GF18" s="130"/>
      <c r="GG18" s="130"/>
      <c r="GH18" s="130"/>
      <c r="GI18" s="130"/>
      <c r="GJ18" s="130"/>
      <c r="GK18" s="130"/>
      <c r="GL18" s="130"/>
      <c r="GM18" s="130"/>
      <c r="GN18" s="130"/>
      <c r="GO18" s="130"/>
      <c r="GP18" s="130"/>
      <c r="GQ18" s="130"/>
      <c r="GR18" s="130"/>
      <c r="GS18" s="130"/>
      <c r="GT18" s="130"/>
      <c r="GU18" s="130"/>
      <c r="GV18" s="130"/>
      <c r="GW18" s="130"/>
      <c r="GX18" s="130"/>
      <c r="GY18" s="130"/>
      <c r="GZ18" s="130"/>
      <c r="HA18" s="130"/>
      <c r="HB18" s="130"/>
      <c r="HC18" s="130"/>
      <c r="HD18" s="130"/>
      <c r="HE18" s="130"/>
      <c r="HF18" s="130"/>
      <c r="HG18" s="130"/>
      <c r="HH18" s="130"/>
      <c r="HI18" s="130"/>
      <c r="HJ18" s="130"/>
      <c r="HK18" s="130"/>
      <c r="HL18" s="130"/>
      <c r="HM18" s="130"/>
      <c r="HN18" s="130"/>
      <c r="HO18" s="130"/>
      <c r="HP18" s="130"/>
      <c r="HQ18" s="130"/>
      <c r="HR18" s="130"/>
      <c r="HS18" s="130"/>
      <c r="HT18" s="130"/>
      <c r="HU18" s="130"/>
      <c r="HV18" s="130"/>
      <c r="HW18" s="130"/>
      <c r="HX18" s="130"/>
      <c r="HY18" s="130"/>
      <c r="HZ18" s="130"/>
      <c r="IA18" s="130"/>
      <c r="IB18" s="130"/>
    </row>
    <row r="19" spans="1:236" ht="12" customHeight="1">
      <c r="A19" s="488"/>
      <c r="B19" s="899"/>
      <c r="C19" s="899"/>
      <c r="D19" s="899"/>
      <c r="E19" s="899"/>
      <c r="F19" s="899"/>
      <c r="G19" s="899"/>
      <c r="H19" s="899"/>
      <c r="I19" s="201"/>
      <c r="J19" s="201"/>
      <c r="K19" s="201"/>
      <c r="L19" s="201"/>
      <c r="N19" s="1593"/>
      <c r="O19" s="1291"/>
      <c r="P19" s="548"/>
      <c r="Q19" s="548"/>
      <c r="R19" s="548"/>
      <c r="S19" s="548"/>
      <c r="U19" s="558"/>
      <c r="V19" s="548"/>
      <c r="W19" s="548"/>
      <c r="X19" s="548"/>
      <c r="Y19" s="548"/>
      <c r="Z19" s="548"/>
      <c r="AA19" s="548"/>
      <c r="AB19" s="548"/>
      <c r="AC19" s="548"/>
      <c r="AD19" s="548"/>
      <c r="AE19" s="548"/>
      <c r="AF19" s="548"/>
      <c r="AG19" s="548"/>
      <c r="AH19" s="548"/>
      <c r="AI19" s="548"/>
      <c r="AJ19" s="548"/>
      <c r="AK19" s="548"/>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30"/>
      <c r="BQ19" s="130"/>
      <c r="BR19" s="130"/>
      <c r="BS19" s="130"/>
      <c r="BT19" s="130"/>
      <c r="BU19" s="130"/>
      <c r="BV19" s="130"/>
      <c r="BW19" s="130"/>
      <c r="BX19" s="130"/>
      <c r="BY19" s="130"/>
      <c r="BZ19" s="130"/>
      <c r="CA19" s="130"/>
      <c r="CB19" s="130"/>
      <c r="CC19" s="130"/>
      <c r="CD19" s="130"/>
      <c r="CE19" s="130"/>
      <c r="CF19" s="130"/>
      <c r="CG19" s="130"/>
      <c r="CH19" s="130"/>
      <c r="CI19" s="130"/>
      <c r="CJ19" s="130"/>
      <c r="CK19" s="130"/>
      <c r="CL19" s="130"/>
      <c r="CM19" s="130"/>
      <c r="CN19" s="130"/>
      <c r="CO19" s="130"/>
      <c r="CP19" s="130"/>
      <c r="CQ19" s="130"/>
      <c r="CR19" s="130"/>
      <c r="CS19" s="130"/>
      <c r="CT19" s="130"/>
      <c r="CU19" s="130"/>
      <c r="CV19" s="130"/>
      <c r="CW19" s="130"/>
      <c r="CX19" s="130"/>
      <c r="CY19" s="130"/>
      <c r="CZ19" s="130"/>
      <c r="DA19" s="130"/>
      <c r="DB19" s="130"/>
      <c r="DC19" s="130"/>
      <c r="DD19" s="130"/>
      <c r="DE19" s="130"/>
      <c r="DF19" s="130"/>
      <c r="DG19" s="130"/>
      <c r="DH19" s="130"/>
      <c r="DI19" s="130"/>
      <c r="DJ19" s="130"/>
      <c r="DK19" s="130"/>
      <c r="DL19" s="130"/>
      <c r="DM19" s="130"/>
      <c r="DN19" s="130"/>
      <c r="DO19" s="130"/>
      <c r="DP19" s="130"/>
      <c r="DQ19" s="130"/>
      <c r="DR19" s="130"/>
      <c r="DS19" s="130"/>
      <c r="DT19" s="130"/>
      <c r="DU19" s="130"/>
      <c r="DV19" s="130"/>
      <c r="DW19" s="130"/>
      <c r="DX19" s="130"/>
      <c r="DY19" s="130"/>
      <c r="DZ19" s="130"/>
      <c r="EA19" s="130"/>
      <c r="EB19" s="130"/>
      <c r="EC19" s="130"/>
      <c r="ED19" s="130"/>
      <c r="EE19" s="130"/>
      <c r="EF19" s="130"/>
      <c r="EG19" s="130"/>
      <c r="EH19" s="130"/>
      <c r="EI19" s="130"/>
      <c r="EJ19" s="130"/>
      <c r="EK19" s="130"/>
      <c r="EL19" s="130"/>
      <c r="EM19" s="130"/>
      <c r="EN19" s="130"/>
      <c r="EO19" s="130"/>
      <c r="EP19" s="130"/>
      <c r="EQ19" s="130"/>
      <c r="ER19" s="130"/>
      <c r="ES19" s="130"/>
      <c r="ET19" s="130"/>
      <c r="EU19" s="130"/>
      <c r="EV19" s="130"/>
      <c r="EW19" s="130"/>
      <c r="EX19" s="130"/>
      <c r="EY19" s="130"/>
      <c r="EZ19" s="130"/>
      <c r="FA19" s="130"/>
      <c r="FB19" s="130"/>
      <c r="FC19" s="130"/>
      <c r="FD19" s="130"/>
      <c r="FE19" s="130"/>
      <c r="FF19" s="130"/>
      <c r="FG19" s="130"/>
      <c r="FH19" s="130"/>
      <c r="FI19" s="130"/>
      <c r="FJ19" s="130"/>
      <c r="FK19" s="130"/>
      <c r="FL19" s="130"/>
      <c r="FM19" s="130"/>
      <c r="FN19" s="130"/>
      <c r="FO19" s="130"/>
      <c r="FP19" s="130"/>
      <c r="FQ19" s="130"/>
      <c r="FR19" s="130"/>
      <c r="FS19" s="130"/>
      <c r="FT19" s="130"/>
      <c r="FU19" s="130"/>
      <c r="FV19" s="130"/>
      <c r="FW19" s="130"/>
      <c r="FX19" s="130"/>
      <c r="FY19" s="130"/>
      <c r="FZ19" s="130"/>
      <c r="GA19" s="130"/>
      <c r="GB19" s="130"/>
      <c r="GC19" s="130"/>
      <c r="GD19" s="130"/>
      <c r="GE19" s="130"/>
      <c r="GF19" s="130"/>
      <c r="GG19" s="130"/>
      <c r="GH19" s="130"/>
      <c r="GI19" s="130"/>
      <c r="GJ19" s="130"/>
      <c r="GK19" s="130"/>
      <c r="GL19" s="130"/>
      <c r="GM19" s="130"/>
      <c r="GN19" s="130"/>
      <c r="GO19" s="130"/>
      <c r="GP19" s="130"/>
      <c r="GQ19" s="130"/>
      <c r="GR19" s="130"/>
      <c r="GS19" s="130"/>
      <c r="GT19" s="130"/>
      <c r="GU19" s="130"/>
      <c r="GV19" s="130"/>
      <c r="GW19" s="130"/>
      <c r="GX19" s="130"/>
      <c r="GY19" s="130"/>
      <c r="GZ19" s="130"/>
      <c r="HA19" s="130"/>
      <c r="HB19" s="130"/>
      <c r="HC19" s="130"/>
      <c r="HD19" s="130"/>
      <c r="HE19" s="130"/>
      <c r="HF19" s="130"/>
      <c r="HG19" s="130"/>
      <c r="HH19" s="130"/>
      <c r="HI19" s="130"/>
      <c r="HJ19" s="130"/>
      <c r="HK19" s="130"/>
      <c r="HL19" s="130"/>
      <c r="HM19" s="130"/>
      <c r="HN19" s="130"/>
      <c r="HO19" s="130"/>
      <c r="HP19" s="130"/>
      <c r="HQ19" s="130"/>
      <c r="HR19" s="130"/>
      <c r="HS19" s="130"/>
      <c r="HT19" s="130"/>
      <c r="HU19" s="130"/>
      <c r="HV19" s="130"/>
      <c r="HW19" s="130"/>
      <c r="HX19" s="130"/>
      <c r="HY19" s="130"/>
      <c r="HZ19" s="130"/>
      <c r="IA19" s="130"/>
      <c r="IB19" s="130"/>
    </row>
    <row r="20" spans="1:236">
      <c r="A20" s="132" t="s">
        <v>698</v>
      </c>
      <c r="B20" s="899"/>
      <c r="C20" s="899"/>
      <c r="D20" s="899"/>
      <c r="E20" s="899"/>
      <c r="F20" s="899"/>
      <c r="G20" s="899"/>
      <c r="H20" s="899"/>
      <c r="I20" s="129"/>
      <c r="J20" s="129"/>
      <c r="K20" s="129"/>
      <c r="L20" s="129"/>
      <c r="N20" s="1593"/>
      <c r="O20" s="1291"/>
      <c r="P20" s="548"/>
      <c r="Q20" s="548"/>
      <c r="R20" s="548"/>
      <c r="S20" s="548"/>
      <c r="U20" s="549"/>
      <c r="V20" s="548"/>
      <c r="W20" s="548"/>
      <c r="X20" s="548"/>
      <c r="Y20" s="548"/>
      <c r="Z20" s="548"/>
      <c r="AA20" s="548"/>
      <c r="AB20" s="548"/>
      <c r="AC20" s="548"/>
      <c r="AD20" s="548"/>
      <c r="AE20" s="548"/>
      <c r="AF20" s="548"/>
      <c r="AG20" s="548"/>
      <c r="AH20" s="548"/>
      <c r="AI20" s="548"/>
      <c r="AJ20" s="548"/>
      <c r="AK20" s="548"/>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c r="BQ20" s="130"/>
      <c r="BR20" s="130"/>
      <c r="BS20" s="130"/>
      <c r="BT20" s="130"/>
      <c r="BU20" s="130"/>
      <c r="BV20" s="130"/>
      <c r="BW20" s="130"/>
      <c r="BX20" s="130"/>
      <c r="BY20" s="130"/>
      <c r="BZ20" s="130"/>
      <c r="CA20" s="130"/>
      <c r="CB20" s="130"/>
      <c r="CC20" s="130"/>
      <c r="CD20" s="130"/>
      <c r="CE20" s="130"/>
      <c r="CF20" s="130"/>
      <c r="CG20" s="130"/>
      <c r="CH20" s="130"/>
      <c r="CI20" s="130"/>
      <c r="CJ20" s="130"/>
      <c r="CK20" s="130"/>
      <c r="CL20" s="130"/>
      <c r="CM20" s="130"/>
      <c r="CN20" s="130"/>
      <c r="CO20" s="130"/>
      <c r="CP20" s="130"/>
      <c r="CQ20" s="130"/>
      <c r="CR20" s="130"/>
      <c r="CS20" s="130"/>
      <c r="CT20" s="130"/>
      <c r="CU20" s="130"/>
      <c r="CV20" s="130"/>
      <c r="CW20" s="130"/>
      <c r="CX20" s="130"/>
      <c r="CY20" s="130"/>
      <c r="CZ20" s="130"/>
      <c r="DA20" s="130"/>
      <c r="DB20" s="130"/>
      <c r="DC20" s="130"/>
      <c r="DD20" s="130"/>
      <c r="DE20" s="130"/>
      <c r="DF20" s="130"/>
      <c r="DG20" s="130"/>
      <c r="DH20" s="130"/>
      <c r="DI20" s="130"/>
      <c r="DJ20" s="130"/>
      <c r="DK20" s="130"/>
      <c r="DL20" s="130"/>
      <c r="DM20" s="130"/>
      <c r="DN20" s="130"/>
      <c r="DO20" s="130"/>
      <c r="DP20" s="130"/>
      <c r="DQ20" s="130"/>
      <c r="DR20" s="130"/>
      <c r="DS20" s="130"/>
      <c r="DT20" s="130"/>
      <c r="DU20" s="130"/>
      <c r="DV20" s="130"/>
      <c r="DW20" s="130"/>
      <c r="DX20" s="130"/>
      <c r="DY20" s="130"/>
      <c r="DZ20" s="130"/>
      <c r="EA20" s="130"/>
      <c r="EB20" s="130"/>
      <c r="EC20" s="130"/>
      <c r="ED20" s="130"/>
      <c r="EE20" s="130"/>
      <c r="EF20" s="130"/>
      <c r="EG20" s="130"/>
      <c r="EH20" s="130"/>
      <c r="EI20" s="130"/>
      <c r="EJ20" s="130"/>
      <c r="EK20" s="130"/>
      <c r="EL20" s="130"/>
      <c r="EM20" s="130"/>
      <c r="EN20" s="130"/>
      <c r="EO20" s="130"/>
      <c r="EP20" s="130"/>
      <c r="EQ20" s="130"/>
      <c r="ER20" s="130"/>
      <c r="ES20" s="130"/>
      <c r="ET20" s="130"/>
      <c r="EU20" s="130"/>
      <c r="EV20" s="130"/>
      <c r="EW20" s="130"/>
      <c r="EX20" s="130"/>
      <c r="EY20" s="130"/>
      <c r="EZ20" s="130"/>
      <c r="FA20" s="130"/>
      <c r="FB20" s="130"/>
      <c r="FC20" s="130"/>
      <c r="FD20" s="130"/>
      <c r="FE20" s="130"/>
      <c r="FF20" s="130"/>
      <c r="FG20" s="130"/>
      <c r="FH20" s="130"/>
      <c r="FI20" s="130"/>
      <c r="FJ20" s="130"/>
      <c r="FK20" s="130"/>
      <c r="FL20" s="130"/>
      <c r="FM20" s="130"/>
      <c r="FN20" s="130"/>
      <c r="FO20" s="130"/>
      <c r="FP20" s="130"/>
      <c r="FQ20" s="130"/>
      <c r="FR20" s="130"/>
      <c r="FS20" s="130"/>
      <c r="FT20" s="130"/>
      <c r="FU20" s="130"/>
      <c r="FV20" s="130"/>
      <c r="FW20" s="130"/>
      <c r="FX20" s="130"/>
      <c r="FY20" s="130"/>
      <c r="FZ20" s="130"/>
      <c r="GA20" s="130"/>
      <c r="GB20" s="130"/>
      <c r="GC20" s="130"/>
      <c r="GD20" s="130"/>
      <c r="GE20" s="130"/>
      <c r="GF20" s="130"/>
      <c r="GG20" s="130"/>
      <c r="GH20" s="130"/>
      <c r="GI20" s="130"/>
      <c r="GJ20" s="130"/>
      <c r="GK20" s="130"/>
      <c r="GL20" s="130"/>
      <c r="GM20" s="130"/>
      <c r="GN20" s="130"/>
      <c r="GO20" s="130"/>
      <c r="GP20" s="130"/>
      <c r="GQ20" s="130"/>
      <c r="GR20" s="130"/>
      <c r="GS20" s="130"/>
      <c r="GT20" s="130"/>
      <c r="GU20" s="130"/>
      <c r="GV20" s="130"/>
      <c r="GW20" s="130"/>
      <c r="GX20" s="130"/>
      <c r="GY20" s="130"/>
      <c r="GZ20" s="130"/>
      <c r="HA20" s="130"/>
      <c r="HB20" s="130"/>
      <c r="HC20" s="130"/>
      <c r="HD20" s="130"/>
      <c r="HE20" s="130"/>
      <c r="HF20" s="130"/>
      <c r="HG20" s="130"/>
      <c r="HH20" s="130"/>
      <c r="HI20" s="130"/>
      <c r="HJ20" s="130"/>
      <c r="HK20" s="130"/>
      <c r="HL20" s="130"/>
      <c r="HM20" s="130"/>
      <c r="HN20" s="130"/>
      <c r="HO20" s="130"/>
      <c r="HP20" s="130"/>
      <c r="HQ20" s="130"/>
      <c r="HR20" s="130"/>
      <c r="HS20" s="130"/>
      <c r="HT20" s="130"/>
      <c r="HU20" s="130"/>
      <c r="HV20" s="130"/>
      <c r="HW20" s="130"/>
      <c r="HX20" s="130"/>
      <c r="HY20" s="130"/>
      <c r="HZ20" s="130"/>
      <c r="IA20" s="130"/>
      <c r="IB20" s="130"/>
    </row>
    <row r="21" spans="1:236" ht="15.65" customHeight="1">
      <c r="A21" s="1243" t="s">
        <v>251</v>
      </c>
      <c r="B21" s="903"/>
      <c r="C21" s="903"/>
      <c r="D21" s="903"/>
      <c r="E21" s="903"/>
      <c r="F21" s="903"/>
      <c r="G21" s="903">
        <v>12577000</v>
      </c>
      <c r="H21" s="397">
        <f>ROUND(7557161.83+0,-3)</f>
        <v>7557000</v>
      </c>
      <c r="I21" s="397">
        <v>7253000</v>
      </c>
      <c r="J21" s="397">
        <v>8495000</v>
      </c>
      <c r="K21" s="397">
        <v>12881000</v>
      </c>
      <c r="L21" s="397">
        <v>12126000</v>
      </c>
      <c r="N21" s="1593">
        <f t="shared" ref="N21:N37" si="1">IFERROR((L21/K21)-1,"")</f>
        <v>-5.8613461687757162E-2</v>
      </c>
      <c r="O21" s="1291"/>
      <c r="P21" s="557"/>
      <c r="Q21" s="548"/>
      <c r="R21" s="548"/>
      <c r="S21" s="548"/>
      <c r="U21" s="549"/>
      <c r="V21" s="548"/>
      <c r="W21" s="548"/>
      <c r="X21" s="548"/>
      <c r="Y21" s="548"/>
      <c r="Z21" s="548"/>
      <c r="AA21" s="548"/>
      <c r="AB21" s="548"/>
      <c r="AC21" s="548"/>
      <c r="AD21" s="548"/>
      <c r="AE21" s="548"/>
      <c r="AF21" s="548"/>
      <c r="AG21" s="548"/>
      <c r="AH21" s="548"/>
      <c r="AI21" s="548"/>
      <c r="AJ21" s="548"/>
      <c r="AK21" s="548"/>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c r="BT21" s="130"/>
      <c r="BU21" s="130"/>
      <c r="BV21" s="130"/>
      <c r="BW21" s="130"/>
      <c r="BX21" s="130"/>
      <c r="BY21" s="130"/>
      <c r="BZ21" s="130"/>
      <c r="CA21" s="130"/>
      <c r="CB21" s="130"/>
      <c r="CC21" s="130"/>
      <c r="CD21" s="130"/>
      <c r="CE21" s="130"/>
      <c r="CF21" s="130"/>
      <c r="CG21" s="130"/>
      <c r="CH21" s="130"/>
      <c r="CI21" s="130"/>
      <c r="CJ21" s="130"/>
      <c r="CK21" s="130"/>
      <c r="CL21" s="130"/>
      <c r="CM21" s="130"/>
      <c r="CN21" s="130"/>
      <c r="CO21" s="130"/>
      <c r="CP21" s="130"/>
      <c r="CQ21" s="130"/>
      <c r="CR21" s="130"/>
      <c r="CS21" s="130"/>
      <c r="CT21" s="130"/>
      <c r="CU21" s="130"/>
      <c r="CV21" s="130"/>
      <c r="CW21" s="130"/>
      <c r="CX21" s="130"/>
      <c r="CY21" s="130"/>
      <c r="CZ21" s="130"/>
      <c r="DA21" s="130"/>
      <c r="DB21" s="130"/>
      <c r="DC21" s="130"/>
      <c r="DD21" s="130"/>
      <c r="DE21" s="130"/>
      <c r="DF21" s="130"/>
      <c r="DG21" s="130"/>
      <c r="DH21" s="130"/>
      <c r="DI21" s="130"/>
      <c r="DJ21" s="130"/>
      <c r="DK21" s="130"/>
      <c r="DL21" s="130"/>
      <c r="DM21" s="130"/>
      <c r="DN21" s="130"/>
      <c r="DO21" s="130"/>
      <c r="DP21" s="130"/>
      <c r="DQ21" s="130"/>
      <c r="DR21" s="130"/>
      <c r="DS21" s="130"/>
      <c r="DT21" s="130"/>
      <c r="DU21" s="130"/>
      <c r="DV21" s="130"/>
      <c r="DW21" s="130"/>
      <c r="DX21" s="130"/>
      <c r="DY21" s="130"/>
      <c r="DZ21" s="130"/>
      <c r="EA21" s="130"/>
      <c r="EB21" s="130"/>
      <c r="EC21" s="130"/>
      <c r="ED21" s="130"/>
      <c r="EE21" s="130"/>
      <c r="EF21" s="130"/>
      <c r="EG21" s="130"/>
      <c r="EH21" s="130"/>
      <c r="EI21" s="130"/>
      <c r="EJ21" s="130"/>
      <c r="EK21" s="130"/>
      <c r="EL21" s="130"/>
      <c r="EM21" s="130"/>
      <c r="EN21" s="130"/>
      <c r="EO21" s="130"/>
      <c r="EP21" s="130"/>
      <c r="EQ21" s="130"/>
      <c r="ER21" s="130"/>
      <c r="ES21" s="130"/>
      <c r="ET21" s="130"/>
      <c r="EU21" s="130"/>
      <c r="EV21" s="130"/>
      <c r="EW21" s="130"/>
      <c r="EX21" s="130"/>
      <c r="EY21" s="130"/>
      <c r="EZ21" s="130"/>
      <c r="FA21" s="130"/>
      <c r="FB21" s="130"/>
      <c r="FC21" s="130"/>
      <c r="FD21" s="130"/>
      <c r="FE21" s="130"/>
      <c r="FF21" s="130"/>
      <c r="FG21" s="130"/>
      <c r="FH21" s="130"/>
      <c r="FI21" s="130"/>
      <c r="FJ21" s="130"/>
      <c r="FK21" s="130"/>
      <c r="FL21" s="130"/>
      <c r="FM21" s="130"/>
      <c r="FN21" s="130"/>
      <c r="FO21" s="130"/>
      <c r="FP21" s="130"/>
      <c r="FQ21" s="130"/>
      <c r="FR21" s="130"/>
      <c r="FS21" s="130"/>
      <c r="FT21" s="130"/>
      <c r="FU21" s="130"/>
      <c r="FV21" s="130"/>
      <c r="FW21" s="130"/>
      <c r="FX21" s="130"/>
      <c r="FY21" s="130"/>
      <c r="FZ21" s="130"/>
      <c r="GA21" s="130"/>
      <c r="GB21" s="130"/>
      <c r="GC21" s="130"/>
      <c r="GD21" s="130"/>
      <c r="GE21" s="130"/>
      <c r="GF21" s="130"/>
      <c r="GG21" s="130"/>
      <c r="GH21" s="130"/>
      <c r="GI21" s="130"/>
      <c r="GJ21" s="130"/>
      <c r="GK21" s="130"/>
      <c r="GL21" s="130"/>
      <c r="GM21" s="130"/>
      <c r="GN21" s="130"/>
      <c r="GO21" s="130"/>
      <c r="GP21" s="130"/>
      <c r="GQ21" s="130"/>
      <c r="GR21" s="130"/>
      <c r="GS21" s="130"/>
      <c r="GT21" s="130"/>
      <c r="GU21" s="130"/>
      <c r="GV21" s="130"/>
      <c r="GW21" s="130"/>
      <c r="GX21" s="130"/>
      <c r="GY21" s="130"/>
      <c r="GZ21" s="130"/>
      <c r="HA21" s="130"/>
      <c r="HB21" s="130"/>
      <c r="HC21" s="130"/>
      <c r="HD21" s="130"/>
      <c r="HE21" s="130"/>
      <c r="HF21" s="130"/>
      <c r="HG21" s="130"/>
      <c r="HH21" s="130"/>
      <c r="HI21" s="130"/>
      <c r="HJ21" s="130"/>
      <c r="HK21" s="130"/>
      <c r="HL21" s="130"/>
      <c r="HM21" s="130"/>
      <c r="HN21" s="130"/>
      <c r="HO21" s="130"/>
      <c r="HP21" s="130"/>
      <c r="HQ21" s="130"/>
      <c r="HR21" s="130"/>
      <c r="HS21" s="130"/>
      <c r="HT21" s="130"/>
      <c r="HU21" s="130"/>
      <c r="HV21" s="130"/>
      <c r="HW21" s="130"/>
      <c r="HX21" s="130"/>
      <c r="HY21" s="130"/>
      <c r="HZ21" s="130"/>
      <c r="IA21" s="130"/>
      <c r="IB21" s="130"/>
    </row>
    <row r="22" spans="1:236" ht="15.65" customHeight="1">
      <c r="A22" s="1243" t="s">
        <v>252</v>
      </c>
      <c r="B22" s="904"/>
      <c r="C22" s="904"/>
      <c r="D22" s="904"/>
      <c r="E22" s="904"/>
      <c r="F22" s="904"/>
      <c r="G22" s="904">
        <v>129451000</v>
      </c>
      <c r="H22" s="1244">
        <f>ROUND(131950330.82,-3)</f>
        <v>131950000</v>
      </c>
      <c r="I22" s="397">
        <v>234194000</v>
      </c>
      <c r="J22" s="397">
        <v>219818000</v>
      </c>
      <c r="K22" s="1244">
        <v>188683000</v>
      </c>
      <c r="L22" s="1244">
        <v>169889000</v>
      </c>
      <c r="N22" s="1593">
        <f t="shared" si="1"/>
        <v>-9.960621783626511E-2</v>
      </c>
      <c r="O22" s="1291"/>
      <c r="P22" s="557"/>
      <c r="Q22" s="548"/>
      <c r="R22" s="548"/>
      <c r="S22" s="548"/>
      <c r="U22" s="558"/>
      <c r="V22" s="548"/>
      <c r="W22" s="549"/>
      <c r="X22" s="548"/>
      <c r="Y22" s="548"/>
      <c r="Z22" s="548"/>
      <c r="AA22" s="548"/>
      <c r="AB22" s="548"/>
      <c r="AC22" s="548"/>
      <c r="AD22" s="548"/>
      <c r="AE22" s="548"/>
      <c r="AF22" s="548"/>
      <c r="AG22" s="548"/>
      <c r="AH22" s="548"/>
      <c r="AI22" s="548"/>
      <c r="AJ22" s="548"/>
      <c r="AK22" s="548"/>
      <c r="AL22" s="130"/>
      <c r="AM22" s="130"/>
      <c r="AN22" s="130"/>
      <c r="AO22" s="130"/>
      <c r="AP22" s="130"/>
      <c r="AQ22" s="130"/>
      <c r="AR22" s="130"/>
      <c r="AS22" s="130"/>
      <c r="AT22" s="130"/>
      <c r="AU22" s="130"/>
      <c r="AV22" s="130"/>
      <c r="AW22" s="130"/>
      <c r="AX22" s="130"/>
      <c r="AY22" s="130"/>
      <c r="AZ22" s="130"/>
      <c r="BA22" s="130"/>
      <c r="BB22" s="130"/>
      <c r="BC22" s="130"/>
      <c r="BD22" s="130"/>
      <c r="BE22" s="130"/>
      <c r="BF22" s="130"/>
      <c r="BG22" s="130"/>
      <c r="BH22" s="130"/>
      <c r="BI22" s="130"/>
      <c r="BJ22" s="130"/>
      <c r="BK22" s="130"/>
      <c r="BL22" s="130"/>
      <c r="BM22" s="130"/>
      <c r="BN22" s="130"/>
      <c r="BO22" s="130"/>
      <c r="BP22" s="130"/>
      <c r="BQ22" s="130"/>
      <c r="BR22" s="130"/>
      <c r="BS22" s="130"/>
      <c r="BT22" s="130"/>
      <c r="BU22" s="130"/>
      <c r="BV22" s="130"/>
      <c r="BW22" s="130"/>
      <c r="BX22" s="130"/>
      <c r="BY22" s="130"/>
      <c r="BZ22" s="130"/>
      <c r="CA22" s="130"/>
      <c r="CB22" s="130"/>
      <c r="CC22" s="130"/>
      <c r="CD22" s="130"/>
      <c r="CE22" s="130"/>
      <c r="CF22" s="130"/>
      <c r="CG22" s="130"/>
      <c r="CH22" s="130"/>
      <c r="CI22" s="130"/>
      <c r="CJ22" s="130"/>
      <c r="CK22" s="130"/>
      <c r="CL22" s="130"/>
      <c r="CM22" s="130"/>
      <c r="CN22" s="130"/>
      <c r="CO22" s="130"/>
      <c r="CP22" s="130"/>
      <c r="CQ22" s="130"/>
      <c r="CR22" s="130"/>
      <c r="CS22" s="130"/>
      <c r="CT22" s="130"/>
      <c r="CU22" s="130"/>
      <c r="CV22" s="130"/>
      <c r="CW22" s="130"/>
      <c r="CX22" s="130"/>
      <c r="CY22" s="130"/>
      <c r="CZ22" s="130"/>
      <c r="DA22" s="130"/>
      <c r="DB22" s="130"/>
      <c r="DC22" s="130"/>
      <c r="DD22" s="130"/>
      <c r="DE22" s="130"/>
      <c r="DF22" s="130"/>
      <c r="DG22" s="130"/>
      <c r="DH22" s="130"/>
      <c r="DI22" s="130"/>
      <c r="DJ22" s="130"/>
      <c r="DK22" s="130"/>
      <c r="DL22" s="130"/>
      <c r="DM22" s="130"/>
      <c r="DN22" s="130"/>
      <c r="DO22" s="130"/>
      <c r="DP22" s="130"/>
      <c r="DQ22" s="130"/>
      <c r="DR22" s="130"/>
      <c r="DS22" s="130"/>
      <c r="DT22" s="130"/>
      <c r="DU22" s="130"/>
      <c r="DV22" s="130"/>
      <c r="DW22" s="130"/>
      <c r="DX22" s="130"/>
      <c r="DY22" s="130"/>
      <c r="DZ22" s="130"/>
      <c r="EA22" s="130"/>
      <c r="EB22" s="130"/>
      <c r="EC22" s="130"/>
      <c r="ED22" s="130"/>
      <c r="EE22" s="130"/>
      <c r="EF22" s="130"/>
      <c r="EG22" s="130"/>
      <c r="EH22" s="130"/>
      <c r="EI22" s="130"/>
      <c r="EJ22" s="130"/>
      <c r="EK22" s="130"/>
      <c r="EL22" s="130"/>
      <c r="EM22" s="130"/>
      <c r="EN22" s="130"/>
      <c r="EO22" s="130"/>
      <c r="EP22" s="130"/>
      <c r="EQ22" s="130"/>
      <c r="ER22" s="130"/>
      <c r="ES22" s="130"/>
      <c r="ET22" s="130"/>
      <c r="EU22" s="130"/>
      <c r="EV22" s="130"/>
      <c r="EW22" s="130"/>
      <c r="EX22" s="130"/>
      <c r="EY22" s="130"/>
      <c r="EZ22" s="130"/>
      <c r="FA22" s="130"/>
      <c r="FB22" s="130"/>
      <c r="FC22" s="130"/>
      <c r="FD22" s="130"/>
      <c r="FE22" s="130"/>
      <c r="FF22" s="130"/>
      <c r="FG22" s="130"/>
      <c r="FH22" s="130"/>
      <c r="FI22" s="130"/>
      <c r="FJ22" s="130"/>
      <c r="FK22" s="130"/>
      <c r="FL22" s="130"/>
      <c r="FM22" s="130"/>
      <c r="FN22" s="130"/>
      <c r="FO22" s="130"/>
      <c r="FP22" s="130"/>
      <c r="FQ22" s="130"/>
      <c r="FR22" s="130"/>
      <c r="FS22" s="130"/>
      <c r="FT22" s="130"/>
      <c r="FU22" s="130"/>
      <c r="FV22" s="130"/>
      <c r="FW22" s="130"/>
      <c r="FX22" s="130"/>
      <c r="FY22" s="130"/>
      <c r="FZ22" s="130"/>
      <c r="GA22" s="130"/>
      <c r="GB22" s="130"/>
      <c r="GC22" s="130"/>
      <c r="GD22" s="130"/>
      <c r="GE22" s="130"/>
      <c r="GF22" s="130"/>
      <c r="GG22" s="130"/>
      <c r="GH22" s="130"/>
      <c r="GI22" s="130"/>
      <c r="GJ22" s="130"/>
      <c r="GK22" s="130"/>
      <c r="GL22" s="130"/>
      <c r="GM22" s="130"/>
      <c r="GN22" s="130"/>
      <c r="GO22" s="130"/>
      <c r="GP22" s="130"/>
      <c r="GQ22" s="130"/>
      <c r="GR22" s="130"/>
      <c r="GS22" s="130"/>
      <c r="GT22" s="130"/>
      <c r="GU22" s="130"/>
      <c r="GV22" s="130"/>
      <c r="GW22" s="130"/>
      <c r="GX22" s="130"/>
      <c r="GY22" s="130"/>
      <c r="GZ22" s="130"/>
      <c r="HA22" s="130"/>
      <c r="HB22" s="130"/>
      <c r="HC22" s="130"/>
      <c r="HD22" s="130"/>
      <c r="HE22" s="130"/>
      <c r="HF22" s="130"/>
      <c r="HG22" s="130"/>
      <c r="HH22" s="130"/>
      <c r="HI22" s="130"/>
      <c r="HJ22" s="130"/>
      <c r="HK22" s="130"/>
      <c r="HL22" s="130"/>
      <c r="HM22" s="130"/>
      <c r="HN22" s="130"/>
      <c r="HO22" s="130"/>
      <c r="HP22" s="130"/>
      <c r="HQ22" s="130"/>
      <c r="HR22" s="130"/>
      <c r="HS22" s="130"/>
      <c r="HT22" s="130"/>
      <c r="HU22" s="130"/>
      <c r="HV22" s="130"/>
      <c r="HW22" s="130"/>
      <c r="HX22" s="130"/>
      <c r="HY22" s="130"/>
      <c r="HZ22" s="130"/>
      <c r="IA22" s="130"/>
      <c r="IB22" s="130"/>
    </row>
    <row r="23" spans="1:236" ht="15.65" customHeight="1">
      <c r="A23" s="1243" t="s">
        <v>253</v>
      </c>
      <c r="B23" s="904"/>
      <c r="C23" s="904"/>
      <c r="D23" s="904"/>
      <c r="E23" s="904"/>
      <c r="F23" s="904"/>
      <c r="G23" s="904">
        <v>21838000</v>
      </c>
      <c r="H23" s="1244">
        <f>ROUND(21687544.8,-3)</f>
        <v>21688000</v>
      </c>
      <c r="I23" s="397">
        <v>52438000</v>
      </c>
      <c r="J23" s="397">
        <v>58809000</v>
      </c>
      <c r="K23" s="1244">
        <v>57449000</v>
      </c>
      <c r="L23" s="1244">
        <v>55070000</v>
      </c>
      <c r="N23" s="1593">
        <f t="shared" si="1"/>
        <v>-4.141064248289783E-2</v>
      </c>
      <c r="O23" s="1291"/>
      <c r="P23" s="557"/>
      <c r="Q23" s="548"/>
      <c r="R23" s="548"/>
      <c r="S23" s="548"/>
      <c r="U23" s="558"/>
      <c r="V23" s="548"/>
      <c r="W23" s="549"/>
      <c r="X23" s="548"/>
      <c r="Y23" s="548"/>
      <c r="Z23" s="548"/>
      <c r="AA23" s="548"/>
      <c r="AB23" s="548"/>
      <c r="AC23" s="548"/>
      <c r="AD23" s="548"/>
      <c r="AE23" s="548"/>
      <c r="AF23" s="548"/>
      <c r="AG23" s="548"/>
      <c r="AH23" s="548"/>
      <c r="AI23" s="548"/>
      <c r="AJ23" s="548"/>
      <c r="AK23" s="548"/>
      <c r="AL23" s="130"/>
      <c r="AM23" s="130"/>
      <c r="AN23" s="130"/>
      <c r="AO23" s="130"/>
      <c r="AP23" s="130"/>
      <c r="AQ23" s="130"/>
      <c r="AR23" s="130"/>
      <c r="AS23" s="130"/>
      <c r="AT23" s="130"/>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c r="BQ23" s="130"/>
      <c r="BR23" s="130"/>
      <c r="BS23" s="130"/>
      <c r="BT23" s="130"/>
      <c r="BU23" s="130"/>
      <c r="BV23" s="130"/>
      <c r="BW23" s="130"/>
      <c r="BX23" s="130"/>
      <c r="BY23" s="130"/>
      <c r="BZ23" s="130"/>
      <c r="CA23" s="130"/>
      <c r="CB23" s="130"/>
      <c r="CC23" s="130"/>
      <c r="CD23" s="130"/>
      <c r="CE23" s="130"/>
      <c r="CF23" s="130"/>
      <c r="CG23" s="130"/>
      <c r="CH23" s="130"/>
      <c r="CI23" s="130"/>
      <c r="CJ23" s="130"/>
      <c r="CK23" s="130"/>
      <c r="CL23" s="130"/>
      <c r="CM23" s="130"/>
      <c r="CN23" s="130"/>
      <c r="CO23" s="130"/>
      <c r="CP23" s="130"/>
      <c r="CQ23" s="130"/>
      <c r="CR23" s="130"/>
      <c r="CS23" s="130"/>
      <c r="CT23" s="130"/>
      <c r="CU23" s="130"/>
      <c r="CV23" s="130"/>
      <c r="CW23" s="130"/>
      <c r="CX23" s="130"/>
      <c r="CY23" s="130"/>
      <c r="CZ23" s="130"/>
      <c r="DA23" s="130"/>
      <c r="DB23" s="130"/>
      <c r="DC23" s="130"/>
      <c r="DD23" s="130"/>
      <c r="DE23" s="130"/>
      <c r="DF23" s="130"/>
      <c r="DG23" s="130"/>
      <c r="DH23" s="130"/>
      <c r="DI23" s="130"/>
      <c r="DJ23" s="130"/>
      <c r="DK23" s="130"/>
      <c r="DL23" s="130"/>
      <c r="DM23" s="130"/>
      <c r="DN23" s="130"/>
      <c r="DO23" s="130"/>
      <c r="DP23" s="130"/>
      <c r="DQ23" s="130"/>
      <c r="DR23" s="130"/>
      <c r="DS23" s="130"/>
      <c r="DT23" s="130"/>
      <c r="DU23" s="130"/>
      <c r="DV23" s="130"/>
      <c r="DW23" s="130"/>
      <c r="DX23" s="130"/>
      <c r="DY23" s="130"/>
      <c r="DZ23" s="130"/>
      <c r="EA23" s="130"/>
      <c r="EB23" s="130"/>
      <c r="EC23" s="130"/>
      <c r="ED23" s="130"/>
      <c r="EE23" s="130"/>
      <c r="EF23" s="130"/>
      <c r="EG23" s="130"/>
      <c r="EH23" s="130"/>
      <c r="EI23" s="130"/>
      <c r="EJ23" s="130"/>
      <c r="EK23" s="130"/>
      <c r="EL23" s="130"/>
      <c r="EM23" s="130"/>
      <c r="EN23" s="130"/>
      <c r="EO23" s="130"/>
      <c r="EP23" s="130"/>
      <c r="EQ23" s="130"/>
      <c r="ER23" s="130"/>
      <c r="ES23" s="130"/>
      <c r="ET23" s="130"/>
      <c r="EU23" s="130"/>
      <c r="EV23" s="130"/>
      <c r="EW23" s="130"/>
      <c r="EX23" s="130"/>
      <c r="EY23" s="130"/>
      <c r="EZ23" s="130"/>
      <c r="FA23" s="130"/>
      <c r="FB23" s="130"/>
      <c r="FC23" s="130"/>
      <c r="FD23" s="130"/>
      <c r="FE23" s="130"/>
      <c r="FF23" s="130"/>
      <c r="FG23" s="130"/>
      <c r="FH23" s="130"/>
      <c r="FI23" s="130"/>
      <c r="FJ23" s="130"/>
      <c r="FK23" s="130"/>
      <c r="FL23" s="130"/>
      <c r="FM23" s="130"/>
      <c r="FN23" s="130"/>
      <c r="FO23" s="130"/>
      <c r="FP23" s="130"/>
      <c r="FQ23" s="130"/>
      <c r="FR23" s="130"/>
      <c r="FS23" s="130"/>
      <c r="FT23" s="130"/>
      <c r="FU23" s="130"/>
      <c r="FV23" s="130"/>
      <c r="FW23" s="130"/>
      <c r="FX23" s="130"/>
      <c r="FY23" s="130"/>
      <c r="FZ23" s="130"/>
      <c r="GA23" s="130"/>
      <c r="GB23" s="130"/>
      <c r="GC23" s="130"/>
      <c r="GD23" s="130"/>
      <c r="GE23" s="130"/>
      <c r="GF23" s="130"/>
      <c r="GG23" s="130"/>
      <c r="GH23" s="130"/>
      <c r="GI23" s="130"/>
      <c r="GJ23" s="130"/>
      <c r="GK23" s="130"/>
      <c r="GL23" s="130"/>
      <c r="GM23" s="130"/>
      <c r="GN23" s="130"/>
      <c r="GO23" s="130"/>
      <c r="GP23" s="130"/>
      <c r="GQ23" s="130"/>
      <c r="GR23" s="130"/>
      <c r="GS23" s="130"/>
      <c r="GT23" s="130"/>
      <c r="GU23" s="130"/>
      <c r="GV23" s="130"/>
      <c r="GW23" s="130"/>
      <c r="GX23" s="130"/>
      <c r="GY23" s="130"/>
      <c r="GZ23" s="130"/>
      <c r="HA23" s="130"/>
      <c r="HB23" s="130"/>
      <c r="HC23" s="130"/>
      <c r="HD23" s="130"/>
      <c r="HE23" s="130"/>
      <c r="HF23" s="130"/>
      <c r="HG23" s="130"/>
      <c r="HH23" s="130"/>
      <c r="HI23" s="130"/>
      <c r="HJ23" s="130"/>
      <c r="HK23" s="130"/>
      <c r="HL23" s="130"/>
      <c r="HM23" s="130"/>
      <c r="HN23" s="130"/>
      <c r="HO23" s="130"/>
      <c r="HP23" s="130"/>
      <c r="HQ23" s="130"/>
      <c r="HR23" s="130"/>
      <c r="HS23" s="130"/>
      <c r="HT23" s="130"/>
      <c r="HU23" s="130"/>
      <c r="HV23" s="130"/>
      <c r="HW23" s="130"/>
      <c r="HX23" s="130"/>
      <c r="HY23" s="130"/>
      <c r="HZ23" s="130"/>
      <c r="IA23" s="130"/>
      <c r="IB23" s="130"/>
    </row>
    <row r="24" spans="1:236" ht="15.65" customHeight="1">
      <c r="A24" s="1243" t="s">
        <v>254</v>
      </c>
      <c r="B24" s="899"/>
      <c r="C24" s="899"/>
      <c r="D24" s="899"/>
      <c r="E24" s="899"/>
      <c r="F24" s="899"/>
      <c r="G24" s="899">
        <v>205000</v>
      </c>
      <c r="H24" s="129">
        <f>ROUND(207801.87+0,-3)</f>
        <v>208000</v>
      </c>
      <c r="I24" s="397">
        <v>195000</v>
      </c>
      <c r="J24" s="397">
        <v>202000</v>
      </c>
      <c r="K24" s="1244">
        <v>196000</v>
      </c>
      <c r="L24" s="1244">
        <v>206000</v>
      </c>
      <c r="N24" s="1593">
        <f t="shared" si="1"/>
        <v>5.1020408163265252E-2</v>
      </c>
      <c r="O24" s="1291"/>
      <c r="P24" s="557"/>
      <c r="Q24" s="548"/>
      <c r="R24" s="548"/>
      <c r="S24" s="548"/>
      <c r="U24" s="558"/>
      <c r="V24" s="548"/>
      <c r="W24" s="549"/>
      <c r="X24" s="548"/>
      <c r="Y24" s="548"/>
      <c r="Z24" s="548"/>
      <c r="AA24" s="548"/>
      <c r="AB24" s="548"/>
      <c r="AC24" s="548"/>
      <c r="AD24" s="548"/>
      <c r="AE24" s="548"/>
      <c r="AF24" s="548"/>
      <c r="AG24" s="548"/>
      <c r="AH24" s="548"/>
      <c r="AI24" s="548"/>
      <c r="AJ24" s="548"/>
      <c r="AK24" s="548"/>
      <c r="AL24" s="130"/>
      <c r="AM24" s="130"/>
      <c r="AN24" s="130"/>
      <c r="AO24" s="130"/>
      <c r="AP24" s="130"/>
      <c r="AQ24" s="130"/>
      <c r="AR24" s="130"/>
      <c r="AS24" s="130"/>
      <c r="AT24" s="130"/>
      <c r="AU24" s="130"/>
      <c r="AV24" s="130"/>
      <c r="AW24" s="130"/>
      <c r="AX24" s="130"/>
      <c r="AY24" s="130"/>
      <c r="AZ24" s="130"/>
      <c r="BA24" s="130"/>
      <c r="BB24" s="130"/>
      <c r="BC24" s="130"/>
      <c r="BD24" s="130"/>
      <c r="BE24" s="130"/>
      <c r="BF24" s="130"/>
      <c r="BG24" s="130"/>
      <c r="BH24" s="130"/>
      <c r="BI24" s="130"/>
      <c r="BJ24" s="130"/>
      <c r="BK24" s="130"/>
      <c r="BL24" s="130"/>
      <c r="BM24" s="130"/>
      <c r="BN24" s="130"/>
      <c r="BO24" s="130"/>
      <c r="BP24" s="130"/>
      <c r="BQ24" s="130"/>
      <c r="BR24" s="130"/>
      <c r="BS24" s="130"/>
      <c r="BT24" s="130"/>
      <c r="BU24" s="130"/>
      <c r="BV24" s="130"/>
      <c r="BW24" s="130"/>
      <c r="BX24" s="130"/>
      <c r="BY24" s="130"/>
      <c r="BZ24" s="130"/>
      <c r="CA24" s="130"/>
      <c r="CB24" s="130"/>
      <c r="CC24" s="130"/>
      <c r="CD24" s="130"/>
      <c r="CE24" s="130"/>
      <c r="CF24" s="130"/>
      <c r="CG24" s="130"/>
      <c r="CH24" s="130"/>
      <c r="CI24" s="130"/>
      <c r="CJ24" s="130"/>
      <c r="CK24" s="130"/>
      <c r="CL24" s="130"/>
      <c r="CM24" s="130"/>
      <c r="CN24" s="130"/>
      <c r="CO24" s="130"/>
      <c r="CP24" s="130"/>
      <c r="CQ24" s="130"/>
      <c r="CR24" s="130"/>
      <c r="CS24" s="130"/>
      <c r="CT24" s="130"/>
      <c r="CU24" s="130"/>
      <c r="CV24" s="130"/>
      <c r="CW24" s="130"/>
      <c r="CX24" s="130"/>
      <c r="CY24" s="130"/>
      <c r="CZ24" s="130"/>
      <c r="DA24" s="130"/>
      <c r="DB24" s="130"/>
      <c r="DC24" s="130"/>
      <c r="DD24" s="130"/>
      <c r="DE24" s="130"/>
      <c r="DF24" s="130"/>
      <c r="DG24" s="130"/>
      <c r="DH24" s="130"/>
      <c r="DI24" s="130"/>
      <c r="DJ24" s="130"/>
      <c r="DK24" s="130"/>
      <c r="DL24" s="130"/>
      <c r="DM24" s="130"/>
      <c r="DN24" s="130"/>
      <c r="DO24" s="130"/>
      <c r="DP24" s="130"/>
      <c r="DQ24" s="130"/>
      <c r="DR24" s="130"/>
      <c r="DS24" s="130"/>
      <c r="DT24" s="130"/>
      <c r="DU24" s="130"/>
      <c r="DV24" s="130"/>
      <c r="DW24" s="130"/>
      <c r="DX24" s="130"/>
      <c r="DY24" s="130"/>
      <c r="DZ24" s="130"/>
      <c r="EA24" s="130"/>
      <c r="EB24" s="130"/>
      <c r="EC24" s="130"/>
      <c r="ED24" s="130"/>
      <c r="EE24" s="130"/>
      <c r="EF24" s="130"/>
      <c r="EG24" s="130"/>
      <c r="EH24" s="130"/>
      <c r="EI24" s="130"/>
      <c r="EJ24" s="130"/>
      <c r="EK24" s="130"/>
      <c r="EL24" s="130"/>
      <c r="EM24" s="130"/>
      <c r="EN24" s="130"/>
      <c r="EO24" s="130"/>
      <c r="EP24" s="130"/>
      <c r="EQ24" s="130"/>
      <c r="ER24" s="130"/>
      <c r="ES24" s="130"/>
      <c r="ET24" s="130"/>
      <c r="EU24" s="130"/>
      <c r="EV24" s="130"/>
      <c r="EW24" s="130"/>
      <c r="EX24" s="130"/>
      <c r="EY24" s="130"/>
      <c r="EZ24" s="130"/>
      <c r="FA24" s="130"/>
      <c r="FB24" s="130"/>
      <c r="FC24" s="130"/>
      <c r="FD24" s="130"/>
      <c r="FE24" s="130"/>
      <c r="FF24" s="130"/>
      <c r="FG24" s="130"/>
      <c r="FH24" s="130"/>
      <c r="FI24" s="130"/>
      <c r="FJ24" s="130"/>
      <c r="FK24" s="130"/>
      <c r="FL24" s="130"/>
      <c r="FM24" s="130"/>
      <c r="FN24" s="130"/>
      <c r="FO24" s="130"/>
      <c r="FP24" s="130"/>
      <c r="FQ24" s="130"/>
      <c r="FR24" s="130"/>
      <c r="FS24" s="130"/>
      <c r="FT24" s="130"/>
      <c r="FU24" s="130"/>
      <c r="FV24" s="130"/>
      <c r="FW24" s="130"/>
      <c r="FX24" s="130"/>
      <c r="FY24" s="130"/>
      <c r="FZ24" s="130"/>
      <c r="GA24" s="130"/>
      <c r="GB24" s="130"/>
      <c r="GC24" s="130"/>
      <c r="GD24" s="130"/>
      <c r="GE24" s="130"/>
      <c r="GF24" s="130"/>
      <c r="GG24" s="130"/>
      <c r="GH24" s="130"/>
      <c r="GI24" s="130"/>
      <c r="GJ24" s="130"/>
      <c r="GK24" s="130"/>
      <c r="GL24" s="130"/>
      <c r="GM24" s="130"/>
      <c r="GN24" s="130"/>
      <c r="GO24" s="130"/>
      <c r="GP24" s="130"/>
      <c r="GQ24" s="130"/>
      <c r="GR24" s="130"/>
      <c r="GS24" s="130"/>
      <c r="GT24" s="130"/>
      <c r="GU24" s="130"/>
      <c r="GV24" s="130"/>
      <c r="GW24" s="130"/>
      <c r="GX24" s="130"/>
      <c r="GY24" s="130"/>
      <c r="GZ24" s="130"/>
      <c r="HA24" s="130"/>
      <c r="HB24" s="130"/>
      <c r="HC24" s="130"/>
      <c r="HD24" s="130"/>
      <c r="HE24" s="130"/>
      <c r="HF24" s="130"/>
      <c r="HG24" s="130"/>
      <c r="HH24" s="130"/>
      <c r="HI24" s="130"/>
      <c r="HJ24" s="130"/>
      <c r="HK24" s="130"/>
      <c r="HL24" s="130"/>
      <c r="HM24" s="130"/>
      <c r="HN24" s="130"/>
      <c r="HO24" s="130"/>
      <c r="HP24" s="130"/>
      <c r="HQ24" s="130"/>
      <c r="HR24" s="130"/>
      <c r="HS24" s="130"/>
      <c r="HT24" s="130"/>
      <c r="HU24" s="130"/>
      <c r="HV24" s="130"/>
      <c r="HW24" s="130"/>
      <c r="HX24" s="130"/>
      <c r="HY24" s="130"/>
      <c r="HZ24" s="130"/>
      <c r="IA24" s="130"/>
      <c r="IB24" s="130"/>
    </row>
    <row r="25" spans="1:236" ht="15.65" customHeight="1">
      <c r="A25" s="1243" t="s">
        <v>255</v>
      </c>
      <c r="B25" s="899"/>
      <c r="C25" s="899"/>
      <c r="D25" s="899"/>
      <c r="E25" s="899"/>
      <c r="F25" s="899"/>
      <c r="G25" s="899">
        <v>2604000</v>
      </c>
      <c r="H25" s="129">
        <f>ROUND(1840522.66+614428.88, -3)</f>
        <v>2455000</v>
      </c>
      <c r="I25" s="397">
        <v>2400000</v>
      </c>
      <c r="J25" s="397">
        <v>2576000</v>
      </c>
      <c r="K25" s="1244">
        <v>2513000</v>
      </c>
      <c r="L25" s="1244">
        <v>2328000</v>
      </c>
      <c r="N25" s="1593">
        <f t="shared" si="1"/>
        <v>-7.3617190608834093E-2</v>
      </c>
      <c r="O25" s="1291"/>
      <c r="P25" s="557"/>
      <c r="Q25" s="548"/>
      <c r="R25" s="548"/>
      <c r="S25" s="548"/>
      <c r="U25" s="558"/>
      <c r="V25" s="548"/>
      <c r="W25" s="549"/>
      <c r="X25" s="548"/>
      <c r="Y25" s="548"/>
      <c r="Z25" s="548"/>
      <c r="AA25" s="548"/>
      <c r="AB25" s="548"/>
      <c r="AC25" s="548"/>
      <c r="AD25" s="548"/>
      <c r="AE25" s="548"/>
      <c r="AF25" s="548"/>
      <c r="AG25" s="548"/>
      <c r="AH25" s="548"/>
      <c r="AI25" s="548"/>
      <c r="AJ25" s="548"/>
      <c r="AK25" s="548"/>
      <c r="AL25" s="130"/>
      <c r="AM25" s="130"/>
      <c r="AN25" s="130"/>
      <c r="AO25" s="130"/>
      <c r="AP25" s="130"/>
      <c r="AQ25" s="130"/>
      <c r="AR25" s="130"/>
      <c r="AS25" s="130"/>
      <c r="AT25" s="130"/>
      <c r="AU25" s="130"/>
      <c r="AV25" s="130"/>
      <c r="AW25" s="130"/>
      <c r="AX25" s="130"/>
      <c r="AY25" s="130"/>
      <c r="AZ25" s="130"/>
      <c r="BA25" s="130"/>
      <c r="BB25" s="130"/>
      <c r="BC25" s="130"/>
      <c r="BD25" s="130"/>
      <c r="BE25" s="130"/>
      <c r="BF25" s="130"/>
      <c r="BG25" s="130"/>
      <c r="BH25" s="130"/>
      <c r="BI25" s="130"/>
      <c r="BJ25" s="130"/>
      <c r="BK25" s="130"/>
      <c r="BL25" s="130"/>
      <c r="BM25" s="130"/>
      <c r="BN25" s="130"/>
      <c r="BO25" s="130"/>
      <c r="BP25" s="130"/>
      <c r="BQ25" s="130"/>
      <c r="BR25" s="130"/>
      <c r="BS25" s="130"/>
      <c r="BT25" s="130"/>
      <c r="BU25" s="130"/>
      <c r="BV25" s="130"/>
      <c r="BW25" s="130"/>
      <c r="BX25" s="130"/>
      <c r="BY25" s="130"/>
      <c r="BZ25" s="130"/>
      <c r="CA25" s="130"/>
      <c r="CB25" s="130"/>
      <c r="CC25" s="130"/>
      <c r="CD25" s="130"/>
      <c r="CE25" s="130"/>
      <c r="CF25" s="130"/>
      <c r="CG25" s="130"/>
      <c r="CH25" s="130"/>
      <c r="CI25" s="130"/>
      <c r="CJ25" s="130"/>
      <c r="CK25" s="130"/>
      <c r="CL25" s="130"/>
      <c r="CM25" s="130"/>
      <c r="CN25" s="130"/>
      <c r="CO25" s="130"/>
      <c r="CP25" s="130"/>
      <c r="CQ25" s="130"/>
      <c r="CR25" s="130"/>
      <c r="CS25" s="130"/>
      <c r="CT25" s="130"/>
      <c r="CU25" s="130"/>
      <c r="CV25" s="130"/>
      <c r="CW25" s="130"/>
      <c r="CX25" s="130"/>
      <c r="CY25" s="130"/>
      <c r="CZ25" s="130"/>
      <c r="DA25" s="130"/>
      <c r="DB25" s="130"/>
      <c r="DC25" s="130"/>
      <c r="DD25" s="130"/>
      <c r="DE25" s="130"/>
      <c r="DF25" s="130"/>
      <c r="DG25" s="130"/>
      <c r="DH25" s="130"/>
      <c r="DI25" s="130"/>
      <c r="DJ25" s="130"/>
      <c r="DK25" s="130"/>
      <c r="DL25" s="130"/>
      <c r="DM25" s="130"/>
      <c r="DN25" s="130"/>
      <c r="DO25" s="130"/>
      <c r="DP25" s="130"/>
      <c r="DQ25" s="130"/>
      <c r="DR25" s="130"/>
      <c r="DS25" s="130"/>
      <c r="DT25" s="130"/>
      <c r="DU25" s="130"/>
      <c r="DV25" s="130"/>
      <c r="DW25" s="130"/>
      <c r="DX25" s="130"/>
      <c r="DY25" s="130"/>
      <c r="DZ25" s="130"/>
      <c r="EA25" s="130"/>
      <c r="EB25" s="130"/>
      <c r="EC25" s="130"/>
      <c r="ED25" s="130"/>
      <c r="EE25" s="130"/>
      <c r="EF25" s="130"/>
      <c r="EG25" s="130"/>
      <c r="EH25" s="130"/>
      <c r="EI25" s="130"/>
      <c r="EJ25" s="130"/>
      <c r="EK25" s="130"/>
      <c r="EL25" s="130"/>
      <c r="EM25" s="130"/>
      <c r="EN25" s="130"/>
      <c r="EO25" s="130"/>
      <c r="EP25" s="130"/>
      <c r="EQ25" s="130"/>
      <c r="ER25" s="130"/>
      <c r="ES25" s="130"/>
      <c r="ET25" s="130"/>
      <c r="EU25" s="130"/>
      <c r="EV25" s="130"/>
      <c r="EW25" s="130"/>
      <c r="EX25" s="130"/>
      <c r="EY25" s="130"/>
      <c r="EZ25" s="130"/>
      <c r="FA25" s="130"/>
      <c r="FB25" s="130"/>
      <c r="FC25" s="130"/>
      <c r="FD25" s="130"/>
      <c r="FE25" s="130"/>
      <c r="FF25" s="130"/>
      <c r="FG25" s="130"/>
      <c r="FH25" s="130"/>
      <c r="FI25" s="130"/>
      <c r="FJ25" s="130"/>
      <c r="FK25" s="130"/>
      <c r="FL25" s="130"/>
      <c r="FM25" s="130"/>
      <c r="FN25" s="130"/>
      <c r="FO25" s="130"/>
      <c r="FP25" s="130"/>
      <c r="FQ25" s="130"/>
      <c r="FR25" s="130"/>
      <c r="FS25" s="130"/>
      <c r="FT25" s="130"/>
      <c r="FU25" s="130"/>
      <c r="FV25" s="130"/>
      <c r="FW25" s="130"/>
      <c r="FX25" s="130"/>
      <c r="FY25" s="130"/>
      <c r="FZ25" s="130"/>
      <c r="GA25" s="130"/>
      <c r="GB25" s="130"/>
      <c r="GC25" s="130"/>
      <c r="GD25" s="130"/>
      <c r="GE25" s="130"/>
      <c r="GF25" s="130"/>
      <c r="GG25" s="130"/>
      <c r="GH25" s="130"/>
      <c r="GI25" s="130"/>
      <c r="GJ25" s="130"/>
      <c r="GK25" s="130"/>
      <c r="GL25" s="130"/>
      <c r="GM25" s="130"/>
      <c r="GN25" s="130"/>
      <c r="GO25" s="130"/>
      <c r="GP25" s="130"/>
      <c r="GQ25" s="130"/>
      <c r="GR25" s="130"/>
      <c r="GS25" s="130"/>
      <c r="GT25" s="130"/>
      <c r="GU25" s="130"/>
      <c r="GV25" s="130"/>
      <c r="GW25" s="130"/>
      <c r="GX25" s="130"/>
      <c r="GY25" s="130"/>
      <c r="GZ25" s="130"/>
      <c r="HA25" s="130"/>
      <c r="HB25" s="130"/>
      <c r="HC25" s="130"/>
      <c r="HD25" s="130"/>
      <c r="HE25" s="130"/>
      <c r="HF25" s="130"/>
      <c r="HG25" s="130"/>
      <c r="HH25" s="130"/>
      <c r="HI25" s="130"/>
      <c r="HJ25" s="130"/>
      <c r="HK25" s="130"/>
      <c r="HL25" s="130"/>
      <c r="HM25" s="130"/>
      <c r="HN25" s="130"/>
      <c r="HO25" s="130"/>
      <c r="HP25" s="130"/>
      <c r="HQ25" s="130"/>
      <c r="HR25" s="130"/>
      <c r="HS25" s="130"/>
      <c r="HT25" s="130"/>
      <c r="HU25" s="130"/>
      <c r="HV25" s="130"/>
      <c r="HW25" s="130"/>
      <c r="HX25" s="130"/>
      <c r="HY25" s="130"/>
      <c r="HZ25" s="130"/>
      <c r="IA25" s="130"/>
      <c r="IB25" s="130"/>
    </row>
    <row r="26" spans="1:236" ht="15.65" customHeight="1">
      <c r="A26" s="1243" t="s">
        <v>256</v>
      </c>
      <c r="B26" s="899"/>
      <c r="C26" s="899"/>
      <c r="D26" s="899"/>
      <c r="E26" s="899"/>
      <c r="F26" s="899"/>
      <c r="G26" s="899">
        <v>309000</v>
      </c>
      <c r="H26" s="129">
        <f>ROUND(365532.86,-3)</f>
        <v>366000</v>
      </c>
      <c r="I26" s="397">
        <v>353000</v>
      </c>
      <c r="J26" s="397">
        <v>376000</v>
      </c>
      <c r="K26" s="1244">
        <v>309000</v>
      </c>
      <c r="L26" s="1244">
        <v>340000</v>
      </c>
      <c r="N26" s="1593">
        <f t="shared" si="1"/>
        <v>0.10032362459546929</v>
      </c>
      <c r="O26" s="1291"/>
      <c r="P26" s="557"/>
      <c r="Q26" s="548"/>
      <c r="R26" s="548"/>
      <c r="S26" s="548"/>
      <c r="U26" s="558"/>
      <c r="V26" s="548"/>
      <c r="W26" s="549"/>
      <c r="X26" s="548"/>
      <c r="Y26" s="548"/>
      <c r="Z26" s="548"/>
      <c r="AA26" s="548"/>
      <c r="AB26" s="548"/>
      <c r="AC26" s="548"/>
      <c r="AD26" s="548"/>
      <c r="AE26" s="548"/>
      <c r="AF26" s="548"/>
      <c r="AG26" s="548"/>
      <c r="AH26" s="548"/>
      <c r="AI26" s="548"/>
      <c r="AJ26" s="548"/>
      <c r="AK26" s="548"/>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c r="BW26" s="130"/>
      <c r="BX26" s="130"/>
      <c r="BY26" s="130"/>
      <c r="BZ26" s="130"/>
      <c r="CA26" s="130"/>
      <c r="CB26" s="130"/>
      <c r="CC26" s="130"/>
      <c r="CD26" s="130"/>
      <c r="CE26" s="130"/>
      <c r="CF26" s="130"/>
      <c r="CG26" s="130"/>
      <c r="CH26" s="130"/>
      <c r="CI26" s="130"/>
      <c r="CJ26" s="130"/>
      <c r="CK26" s="130"/>
      <c r="CL26" s="130"/>
      <c r="CM26" s="130"/>
      <c r="CN26" s="130"/>
      <c r="CO26" s="130"/>
      <c r="CP26" s="130"/>
      <c r="CQ26" s="130"/>
      <c r="CR26" s="130"/>
      <c r="CS26" s="130"/>
      <c r="CT26" s="130"/>
      <c r="CU26" s="130"/>
      <c r="CV26" s="130"/>
      <c r="CW26" s="130"/>
      <c r="CX26" s="130"/>
      <c r="CY26" s="130"/>
      <c r="CZ26" s="130"/>
      <c r="DA26" s="130"/>
      <c r="DB26" s="130"/>
      <c r="DC26" s="130"/>
      <c r="DD26" s="130"/>
      <c r="DE26" s="130"/>
      <c r="DF26" s="130"/>
      <c r="DG26" s="130"/>
      <c r="DH26" s="130"/>
      <c r="DI26" s="130"/>
      <c r="DJ26" s="130"/>
      <c r="DK26" s="130"/>
      <c r="DL26" s="130"/>
      <c r="DM26" s="130"/>
      <c r="DN26" s="130"/>
      <c r="DO26" s="130"/>
      <c r="DP26" s="130"/>
      <c r="DQ26" s="130"/>
      <c r="DR26" s="130"/>
      <c r="DS26" s="130"/>
      <c r="DT26" s="130"/>
      <c r="DU26" s="130"/>
      <c r="DV26" s="130"/>
      <c r="DW26" s="130"/>
      <c r="DX26" s="130"/>
      <c r="DY26" s="130"/>
      <c r="DZ26" s="130"/>
      <c r="EA26" s="130"/>
      <c r="EB26" s="130"/>
      <c r="EC26" s="130"/>
      <c r="ED26" s="130"/>
      <c r="EE26" s="130"/>
      <c r="EF26" s="130"/>
      <c r="EG26" s="130"/>
      <c r="EH26" s="130"/>
      <c r="EI26" s="130"/>
      <c r="EJ26" s="130"/>
      <c r="EK26" s="130"/>
      <c r="EL26" s="130"/>
      <c r="EM26" s="130"/>
      <c r="EN26" s="130"/>
      <c r="EO26" s="130"/>
      <c r="EP26" s="130"/>
      <c r="EQ26" s="130"/>
      <c r="ER26" s="130"/>
      <c r="ES26" s="130"/>
      <c r="ET26" s="130"/>
      <c r="EU26" s="130"/>
      <c r="EV26" s="130"/>
      <c r="EW26" s="130"/>
      <c r="EX26" s="130"/>
      <c r="EY26" s="130"/>
      <c r="EZ26" s="130"/>
      <c r="FA26" s="130"/>
      <c r="FB26" s="130"/>
      <c r="FC26" s="130"/>
      <c r="FD26" s="130"/>
      <c r="FE26" s="130"/>
      <c r="FF26" s="130"/>
      <c r="FG26" s="130"/>
      <c r="FH26" s="130"/>
      <c r="FI26" s="130"/>
      <c r="FJ26" s="130"/>
      <c r="FK26" s="130"/>
      <c r="FL26" s="130"/>
      <c r="FM26" s="130"/>
      <c r="FN26" s="130"/>
      <c r="FO26" s="130"/>
      <c r="FP26" s="130"/>
      <c r="FQ26" s="130"/>
      <c r="FR26" s="130"/>
      <c r="FS26" s="130"/>
      <c r="FT26" s="130"/>
      <c r="FU26" s="130"/>
      <c r="FV26" s="130"/>
      <c r="FW26" s="130"/>
      <c r="FX26" s="130"/>
      <c r="FY26" s="130"/>
      <c r="FZ26" s="130"/>
      <c r="GA26" s="130"/>
      <c r="GB26" s="130"/>
      <c r="GC26" s="130"/>
      <c r="GD26" s="130"/>
      <c r="GE26" s="130"/>
      <c r="GF26" s="130"/>
      <c r="GG26" s="130"/>
      <c r="GH26" s="130"/>
      <c r="GI26" s="130"/>
      <c r="GJ26" s="130"/>
      <c r="GK26" s="130"/>
      <c r="GL26" s="130"/>
      <c r="GM26" s="130"/>
      <c r="GN26" s="130"/>
      <c r="GO26" s="130"/>
      <c r="GP26" s="130"/>
      <c r="GQ26" s="130"/>
      <c r="GR26" s="130"/>
      <c r="GS26" s="130"/>
      <c r="GT26" s="130"/>
      <c r="GU26" s="130"/>
      <c r="GV26" s="130"/>
      <c r="GW26" s="130"/>
      <c r="GX26" s="130"/>
      <c r="GY26" s="130"/>
      <c r="GZ26" s="130"/>
      <c r="HA26" s="130"/>
      <c r="HB26" s="130"/>
      <c r="HC26" s="130"/>
      <c r="HD26" s="130"/>
      <c r="HE26" s="130"/>
      <c r="HF26" s="130"/>
      <c r="HG26" s="130"/>
      <c r="HH26" s="130"/>
      <c r="HI26" s="130"/>
      <c r="HJ26" s="130"/>
      <c r="HK26" s="130"/>
      <c r="HL26" s="130"/>
      <c r="HM26" s="130"/>
      <c r="HN26" s="130"/>
      <c r="HO26" s="130"/>
      <c r="HP26" s="130"/>
      <c r="HQ26" s="130"/>
      <c r="HR26" s="130"/>
      <c r="HS26" s="130"/>
      <c r="HT26" s="130"/>
      <c r="HU26" s="130"/>
      <c r="HV26" s="130"/>
      <c r="HW26" s="130"/>
      <c r="HX26" s="130"/>
      <c r="HY26" s="130"/>
      <c r="HZ26" s="130"/>
      <c r="IA26" s="130"/>
      <c r="IB26" s="130"/>
    </row>
    <row r="27" spans="1:236" ht="15.65" customHeight="1">
      <c r="A27" s="1243" t="s">
        <v>257</v>
      </c>
      <c r="B27" s="899"/>
      <c r="C27" s="899"/>
      <c r="D27" s="899"/>
      <c r="E27" s="899"/>
      <c r="F27" s="899"/>
      <c r="G27" s="899">
        <v>1050000</v>
      </c>
      <c r="H27" s="129">
        <f>ROUND(934707.14+0,-3)</f>
        <v>935000</v>
      </c>
      <c r="I27" s="397">
        <v>1363000</v>
      </c>
      <c r="J27" s="397">
        <v>1744000</v>
      </c>
      <c r="K27" s="1244">
        <v>1853000</v>
      </c>
      <c r="L27" s="1244">
        <v>1447000</v>
      </c>
      <c r="N27" s="1593">
        <f t="shared" si="1"/>
        <v>-0.21910415542363737</v>
      </c>
      <c r="O27" s="1291"/>
      <c r="P27" s="557"/>
      <c r="Q27" s="548"/>
      <c r="R27" s="548"/>
      <c r="S27" s="548"/>
      <c r="U27" s="558"/>
      <c r="V27" s="548"/>
      <c r="W27" s="549"/>
      <c r="X27" s="548"/>
      <c r="Y27" s="548"/>
      <c r="Z27" s="548"/>
      <c r="AA27" s="548"/>
      <c r="AB27" s="548"/>
      <c r="AC27" s="548"/>
      <c r="AD27" s="548"/>
      <c r="AE27" s="548"/>
      <c r="AF27" s="548"/>
      <c r="AG27" s="548"/>
      <c r="AH27" s="548"/>
      <c r="AI27" s="548"/>
      <c r="AJ27" s="548"/>
      <c r="AK27" s="548"/>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c r="BW27" s="130"/>
      <c r="BX27" s="130"/>
      <c r="BY27" s="130"/>
      <c r="BZ27" s="130"/>
      <c r="CA27" s="130"/>
      <c r="CB27" s="130"/>
      <c r="CC27" s="130"/>
      <c r="CD27" s="130"/>
      <c r="CE27" s="130"/>
      <c r="CF27" s="130"/>
      <c r="CG27" s="130"/>
      <c r="CH27" s="130"/>
      <c r="CI27" s="130"/>
      <c r="CJ27" s="130"/>
      <c r="CK27" s="130"/>
      <c r="CL27" s="130"/>
      <c r="CM27" s="130"/>
      <c r="CN27" s="130"/>
      <c r="CO27" s="130"/>
      <c r="CP27" s="130"/>
      <c r="CQ27" s="130"/>
      <c r="CR27" s="130"/>
      <c r="CS27" s="130"/>
      <c r="CT27" s="130"/>
      <c r="CU27" s="130"/>
      <c r="CV27" s="130"/>
      <c r="CW27" s="130"/>
      <c r="CX27" s="130"/>
      <c r="CY27" s="130"/>
      <c r="CZ27" s="130"/>
      <c r="DA27" s="130"/>
      <c r="DB27" s="130"/>
      <c r="DC27" s="130"/>
      <c r="DD27" s="130"/>
      <c r="DE27" s="130"/>
      <c r="DF27" s="130"/>
      <c r="DG27" s="130"/>
      <c r="DH27" s="130"/>
      <c r="DI27" s="130"/>
      <c r="DJ27" s="130"/>
      <c r="DK27" s="130"/>
      <c r="DL27" s="130"/>
      <c r="DM27" s="130"/>
      <c r="DN27" s="130"/>
      <c r="DO27" s="130"/>
      <c r="DP27" s="130"/>
      <c r="DQ27" s="130"/>
      <c r="DR27" s="130"/>
      <c r="DS27" s="130"/>
      <c r="DT27" s="130"/>
      <c r="DU27" s="130"/>
      <c r="DV27" s="130"/>
      <c r="DW27" s="130"/>
      <c r="DX27" s="130"/>
      <c r="DY27" s="130"/>
      <c r="DZ27" s="130"/>
      <c r="EA27" s="130"/>
      <c r="EB27" s="130"/>
      <c r="EC27" s="130"/>
      <c r="ED27" s="130"/>
      <c r="EE27" s="130"/>
      <c r="EF27" s="130"/>
      <c r="EG27" s="130"/>
      <c r="EH27" s="130"/>
      <c r="EI27" s="130"/>
      <c r="EJ27" s="130"/>
      <c r="EK27" s="130"/>
      <c r="EL27" s="130"/>
      <c r="EM27" s="130"/>
      <c r="EN27" s="130"/>
      <c r="EO27" s="130"/>
      <c r="EP27" s="130"/>
      <c r="EQ27" s="130"/>
      <c r="ER27" s="130"/>
      <c r="ES27" s="130"/>
      <c r="ET27" s="130"/>
      <c r="EU27" s="130"/>
      <c r="EV27" s="130"/>
      <c r="EW27" s="130"/>
      <c r="EX27" s="130"/>
      <c r="EY27" s="130"/>
      <c r="EZ27" s="130"/>
      <c r="FA27" s="130"/>
      <c r="FB27" s="130"/>
      <c r="FC27" s="130"/>
      <c r="FD27" s="130"/>
      <c r="FE27" s="130"/>
      <c r="FF27" s="130"/>
      <c r="FG27" s="130"/>
      <c r="FH27" s="130"/>
      <c r="FI27" s="130"/>
      <c r="FJ27" s="130"/>
      <c r="FK27" s="130"/>
      <c r="FL27" s="130"/>
      <c r="FM27" s="130"/>
      <c r="FN27" s="130"/>
      <c r="FO27" s="130"/>
      <c r="FP27" s="130"/>
      <c r="FQ27" s="130"/>
      <c r="FR27" s="130"/>
      <c r="FS27" s="130"/>
      <c r="FT27" s="130"/>
      <c r="FU27" s="130"/>
      <c r="FV27" s="130"/>
      <c r="FW27" s="130"/>
      <c r="FX27" s="130"/>
      <c r="FY27" s="130"/>
      <c r="FZ27" s="130"/>
      <c r="GA27" s="130"/>
      <c r="GB27" s="130"/>
      <c r="GC27" s="130"/>
      <c r="GD27" s="130"/>
      <c r="GE27" s="130"/>
      <c r="GF27" s="130"/>
      <c r="GG27" s="130"/>
      <c r="GH27" s="130"/>
      <c r="GI27" s="130"/>
      <c r="GJ27" s="130"/>
      <c r="GK27" s="130"/>
      <c r="GL27" s="130"/>
      <c r="GM27" s="130"/>
      <c r="GN27" s="130"/>
      <c r="GO27" s="130"/>
      <c r="GP27" s="130"/>
      <c r="GQ27" s="130"/>
      <c r="GR27" s="130"/>
      <c r="GS27" s="130"/>
      <c r="GT27" s="130"/>
      <c r="GU27" s="130"/>
      <c r="GV27" s="130"/>
      <c r="GW27" s="130"/>
      <c r="GX27" s="130"/>
      <c r="GY27" s="130"/>
      <c r="GZ27" s="130"/>
      <c r="HA27" s="130"/>
      <c r="HB27" s="130"/>
      <c r="HC27" s="130"/>
      <c r="HD27" s="130"/>
      <c r="HE27" s="130"/>
      <c r="HF27" s="130"/>
      <c r="HG27" s="130"/>
      <c r="HH27" s="130"/>
      <c r="HI27" s="130"/>
      <c r="HJ27" s="130"/>
      <c r="HK27" s="130"/>
      <c r="HL27" s="130"/>
      <c r="HM27" s="130"/>
      <c r="HN27" s="130"/>
      <c r="HO27" s="130"/>
      <c r="HP27" s="130"/>
      <c r="HQ27" s="130"/>
      <c r="HR27" s="130"/>
      <c r="HS27" s="130"/>
      <c r="HT27" s="130"/>
      <c r="HU27" s="130"/>
      <c r="HV27" s="130"/>
      <c r="HW27" s="130"/>
      <c r="HX27" s="130"/>
      <c r="HY27" s="130"/>
      <c r="HZ27" s="130"/>
      <c r="IA27" s="130"/>
      <c r="IB27" s="130"/>
    </row>
    <row r="28" spans="1:236" ht="15.65" customHeight="1">
      <c r="A28" s="1243" t="s">
        <v>1332</v>
      </c>
      <c r="B28" s="899"/>
      <c r="C28" s="899"/>
      <c r="D28" s="899"/>
      <c r="E28" s="899"/>
      <c r="F28" s="899"/>
      <c r="G28" s="899">
        <v>649451000</v>
      </c>
      <c r="H28" s="129">
        <f>SUM('4.1'!$C$15:$G$15)</f>
        <v>1123440000</v>
      </c>
      <c r="I28" s="397">
        <f>'4.1'!$C$16</f>
        <v>1264050000</v>
      </c>
      <c r="J28" s="397">
        <v>1368275000</v>
      </c>
      <c r="K28" s="1244">
        <v>1416622000</v>
      </c>
      <c r="L28" s="1244">
        <v>1377114000</v>
      </c>
      <c r="N28" s="1593">
        <f t="shared" si="1"/>
        <v>-2.7888879319959758E-2</v>
      </c>
      <c r="O28" s="1291"/>
      <c r="P28" s="557"/>
      <c r="Q28" s="548"/>
      <c r="R28" s="548"/>
      <c r="S28" s="548"/>
      <c r="U28" s="558"/>
      <c r="V28" s="548"/>
      <c r="W28" s="549"/>
      <c r="X28" s="548"/>
      <c r="Y28" s="548"/>
      <c r="Z28" s="548"/>
      <c r="AA28" s="548"/>
      <c r="AB28" s="548"/>
      <c r="AC28" s="548"/>
      <c r="AD28" s="548"/>
      <c r="AE28" s="548"/>
      <c r="AF28" s="548"/>
      <c r="AG28" s="548"/>
      <c r="AH28" s="548"/>
      <c r="AI28" s="548"/>
      <c r="AJ28" s="548"/>
      <c r="AK28" s="548"/>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c r="BW28" s="130"/>
      <c r="BX28" s="130"/>
      <c r="BY28" s="130"/>
      <c r="BZ28" s="130"/>
      <c r="CA28" s="130"/>
      <c r="CB28" s="130"/>
      <c r="CC28" s="130"/>
      <c r="CD28" s="130"/>
      <c r="CE28" s="130"/>
      <c r="CF28" s="130"/>
      <c r="CG28" s="130"/>
      <c r="CH28" s="130"/>
      <c r="CI28" s="130"/>
      <c r="CJ28" s="130"/>
      <c r="CK28" s="130"/>
      <c r="CL28" s="130"/>
      <c r="CM28" s="130"/>
      <c r="CN28" s="130"/>
      <c r="CO28" s="130"/>
      <c r="CP28" s="130"/>
      <c r="CQ28" s="130"/>
      <c r="CR28" s="130"/>
      <c r="CS28" s="130"/>
      <c r="CT28" s="130"/>
      <c r="CU28" s="130"/>
      <c r="CV28" s="130"/>
      <c r="CW28" s="130"/>
      <c r="CX28" s="130"/>
      <c r="CY28" s="130"/>
      <c r="CZ28" s="130"/>
      <c r="DA28" s="130"/>
      <c r="DB28" s="130"/>
      <c r="DC28" s="130"/>
      <c r="DD28" s="130"/>
      <c r="DE28" s="130"/>
      <c r="DF28" s="130"/>
      <c r="DG28" s="130"/>
      <c r="DH28" s="130"/>
      <c r="DI28" s="130"/>
      <c r="DJ28" s="130"/>
      <c r="DK28" s="130"/>
      <c r="DL28" s="130"/>
      <c r="DM28" s="130"/>
      <c r="DN28" s="130"/>
      <c r="DO28" s="130"/>
      <c r="DP28" s="130"/>
      <c r="DQ28" s="130"/>
      <c r="DR28" s="130"/>
      <c r="DS28" s="130"/>
      <c r="DT28" s="130"/>
      <c r="DU28" s="130"/>
      <c r="DV28" s="130"/>
      <c r="DW28" s="130"/>
      <c r="DX28" s="130"/>
      <c r="DY28" s="130"/>
      <c r="DZ28" s="130"/>
      <c r="EA28" s="130"/>
      <c r="EB28" s="130"/>
      <c r="EC28" s="130"/>
      <c r="ED28" s="130"/>
      <c r="EE28" s="130"/>
      <c r="EF28" s="130"/>
      <c r="EG28" s="130"/>
      <c r="EH28" s="130"/>
      <c r="EI28" s="130"/>
      <c r="EJ28" s="130"/>
      <c r="EK28" s="130"/>
      <c r="EL28" s="130"/>
      <c r="EM28" s="130"/>
      <c r="EN28" s="130"/>
      <c r="EO28" s="130"/>
      <c r="EP28" s="130"/>
      <c r="EQ28" s="130"/>
      <c r="ER28" s="130"/>
      <c r="ES28" s="130"/>
      <c r="ET28" s="130"/>
      <c r="EU28" s="130"/>
      <c r="EV28" s="130"/>
      <c r="EW28" s="130"/>
      <c r="EX28" s="130"/>
      <c r="EY28" s="130"/>
      <c r="EZ28" s="130"/>
      <c r="FA28" s="130"/>
      <c r="FB28" s="130"/>
      <c r="FC28" s="130"/>
      <c r="FD28" s="130"/>
      <c r="FE28" s="130"/>
      <c r="FF28" s="130"/>
      <c r="FG28" s="130"/>
      <c r="FH28" s="130"/>
      <c r="FI28" s="130"/>
      <c r="FJ28" s="130"/>
      <c r="FK28" s="130"/>
      <c r="FL28" s="130"/>
      <c r="FM28" s="130"/>
      <c r="FN28" s="130"/>
      <c r="FO28" s="130"/>
      <c r="FP28" s="130"/>
      <c r="FQ28" s="130"/>
      <c r="FR28" s="130"/>
      <c r="FS28" s="130"/>
      <c r="FT28" s="130"/>
      <c r="FU28" s="130"/>
      <c r="FV28" s="130"/>
      <c r="FW28" s="130"/>
      <c r="FX28" s="130"/>
      <c r="FY28" s="130"/>
      <c r="FZ28" s="130"/>
      <c r="GA28" s="130"/>
      <c r="GB28" s="130"/>
      <c r="GC28" s="130"/>
      <c r="GD28" s="130"/>
      <c r="GE28" s="130"/>
      <c r="GF28" s="130"/>
      <c r="GG28" s="130"/>
      <c r="GH28" s="130"/>
      <c r="GI28" s="130"/>
      <c r="GJ28" s="130"/>
      <c r="GK28" s="130"/>
      <c r="GL28" s="130"/>
      <c r="GM28" s="130"/>
      <c r="GN28" s="130"/>
      <c r="GO28" s="130"/>
      <c r="GP28" s="130"/>
      <c r="GQ28" s="130"/>
      <c r="GR28" s="130"/>
      <c r="GS28" s="130"/>
      <c r="GT28" s="130"/>
      <c r="GU28" s="130"/>
      <c r="GV28" s="130"/>
      <c r="GW28" s="130"/>
      <c r="GX28" s="130"/>
      <c r="GY28" s="130"/>
      <c r="GZ28" s="130"/>
      <c r="HA28" s="130"/>
      <c r="HB28" s="130"/>
      <c r="HC28" s="130"/>
      <c r="HD28" s="130"/>
      <c r="HE28" s="130"/>
      <c r="HF28" s="130"/>
      <c r="HG28" s="130"/>
      <c r="HH28" s="130"/>
      <c r="HI28" s="130"/>
      <c r="HJ28" s="130"/>
      <c r="HK28" s="130"/>
      <c r="HL28" s="130"/>
      <c r="HM28" s="130"/>
      <c r="HN28" s="130"/>
      <c r="HO28" s="130"/>
      <c r="HP28" s="130"/>
      <c r="HQ28" s="130"/>
      <c r="HR28" s="130"/>
      <c r="HS28" s="130"/>
      <c r="HT28" s="130"/>
      <c r="HU28" s="130"/>
      <c r="HV28" s="130"/>
      <c r="HW28" s="130"/>
      <c r="HX28" s="130"/>
      <c r="HY28" s="130"/>
      <c r="HZ28" s="130"/>
      <c r="IA28" s="130"/>
      <c r="IB28" s="130"/>
    </row>
    <row r="29" spans="1:236" ht="15.65" customHeight="1">
      <c r="A29" s="130" t="s">
        <v>258</v>
      </c>
      <c r="B29" s="899"/>
      <c r="C29" s="899"/>
      <c r="D29" s="899"/>
      <c r="E29" s="899"/>
      <c r="F29" s="899"/>
      <c r="G29" s="899">
        <v>3060000</v>
      </c>
      <c r="H29" s="129">
        <f>ROUND(3214035.05+0,-3)</f>
        <v>3214000</v>
      </c>
      <c r="I29" s="397">
        <v>2893000</v>
      </c>
      <c r="J29" s="397">
        <v>3195000</v>
      </c>
      <c r="K29" s="1244">
        <v>3436000</v>
      </c>
      <c r="L29" s="1244">
        <v>3484000</v>
      </c>
      <c r="N29" s="1593">
        <f t="shared" si="1"/>
        <v>1.396973224679865E-2</v>
      </c>
      <c r="O29" s="1291"/>
      <c r="P29" s="557"/>
      <c r="Q29" s="548"/>
      <c r="R29" s="548"/>
      <c r="S29" s="548"/>
      <c r="U29" s="558"/>
      <c r="V29" s="548"/>
      <c r="W29" s="548"/>
      <c r="X29" s="556"/>
      <c r="Y29" s="548"/>
      <c r="Z29" s="548"/>
      <c r="AA29" s="548"/>
      <c r="AB29" s="548"/>
      <c r="AC29" s="548"/>
      <c r="AD29" s="548"/>
      <c r="AE29" s="548"/>
      <c r="AF29" s="548"/>
      <c r="AG29" s="548"/>
      <c r="AH29" s="548"/>
      <c r="AI29" s="548"/>
      <c r="AJ29" s="548"/>
      <c r="AK29" s="548"/>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c r="BW29" s="130"/>
      <c r="BX29" s="130"/>
      <c r="BY29" s="130"/>
      <c r="BZ29" s="130"/>
      <c r="CA29" s="130"/>
      <c r="CB29" s="130"/>
      <c r="CC29" s="130"/>
      <c r="CD29" s="130"/>
      <c r="CE29" s="130"/>
      <c r="CF29" s="130"/>
      <c r="CG29" s="130"/>
      <c r="CH29" s="130"/>
      <c r="CI29" s="130"/>
      <c r="CJ29" s="130"/>
      <c r="CK29" s="130"/>
      <c r="CL29" s="130"/>
      <c r="CM29" s="130"/>
      <c r="CN29" s="130"/>
      <c r="CO29" s="130"/>
      <c r="CP29" s="130"/>
      <c r="CQ29" s="130"/>
      <c r="CR29" s="130"/>
      <c r="CS29" s="130"/>
      <c r="CT29" s="130"/>
      <c r="CU29" s="130"/>
      <c r="CV29" s="130"/>
      <c r="CW29" s="130"/>
      <c r="CX29" s="130"/>
      <c r="CY29" s="130"/>
      <c r="CZ29" s="130"/>
      <c r="DA29" s="130"/>
      <c r="DB29" s="130"/>
      <c r="DC29" s="130"/>
      <c r="DD29" s="130"/>
      <c r="DE29" s="130"/>
      <c r="DF29" s="130"/>
      <c r="DG29" s="130"/>
      <c r="DH29" s="130"/>
      <c r="DI29" s="130"/>
      <c r="DJ29" s="130"/>
      <c r="DK29" s="130"/>
      <c r="DL29" s="130"/>
      <c r="DM29" s="130"/>
      <c r="DN29" s="130"/>
      <c r="DO29" s="130"/>
      <c r="DP29" s="130"/>
      <c r="DQ29" s="130"/>
      <c r="DR29" s="130"/>
      <c r="DS29" s="130"/>
      <c r="DT29" s="130"/>
      <c r="DU29" s="130"/>
      <c r="DV29" s="130"/>
      <c r="DW29" s="130"/>
      <c r="DX29" s="130"/>
      <c r="DY29" s="130"/>
      <c r="DZ29" s="130"/>
      <c r="EA29" s="130"/>
      <c r="EB29" s="130"/>
      <c r="EC29" s="130"/>
      <c r="ED29" s="130"/>
      <c r="EE29" s="130"/>
      <c r="EF29" s="130"/>
      <c r="EG29" s="130"/>
      <c r="EH29" s="130"/>
      <c r="EI29" s="130"/>
      <c r="EJ29" s="130"/>
      <c r="EK29" s="130"/>
      <c r="EL29" s="130"/>
      <c r="EM29" s="130"/>
      <c r="EN29" s="130"/>
      <c r="EO29" s="130"/>
      <c r="EP29" s="130"/>
      <c r="EQ29" s="130"/>
      <c r="ER29" s="130"/>
      <c r="ES29" s="130"/>
      <c r="ET29" s="130"/>
      <c r="EU29" s="130"/>
      <c r="EV29" s="130"/>
      <c r="EW29" s="130"/>
      <c r="EX29" s="130"/>
      <c r="EY29" s="130"/>
      <c r="EZ29" s="130"/>
      <c r="FA29" s="130"/>
      <c r="FB29" s="130"/>
      <c r="FC29" s="130"/>
      <c r="FD29" s="130"/>
      <c r="FE29" s="130"/>
      <c r="FF29" s="130"/>
      <c r="FG29" s="130"/>
      <c r="FH29" s="130"/>
      <c r="FI29" s="130"/>
      <c r="FJ29" s="130"/>
      <c r="FK29" s="130"/>
      <c r="FL29" s="130"/>
      <c r="FM29" s="130"/>
      <c r="FN29" s="130"/>
      <c r="FO29" s="130"/>
      <c r="FP29" s="130"/>
      <c r="FQ29" s="130"/>
      <c r="FR29" s="130"/>
      <c r="FS29" s="130"/>
      <c r="FT29" s="130"/>
      <c r="FU29" s="130"/>
      <c r="FV29" s="130"/>
      <c r="FW29" s="130"/>
      <c r="FX29" s="130"/>
      <c r="FY29" s="130"/>
      <c r="FZ29" s="130"/>
      <c r="GA29" s="130"/>
      <c r="GB29" s="130"/>
      <c r="GC29" s="130"/>
      <c r="GD29" s="130"/>
      <c r="GE29" s="130"/>
      <c r="GF29" s="130"/>
      <c r="GG29" s="130"/>
      <c r="GH29" s="130"/>
      <c r="GI29" s="130"/>
      <c r="GJ29" s="130"/>
      <c r="GK29" s="130"/>
      <c r="GL29" s="130"/>
      <c r="GM29" s="130"/>
      <c r="GN29" s="130"/>
      <c r="GO29" s="130"/>
      <c r="GP29" s="130"/>
      <c r="GQ29" s="130"/>
      <c r="GR29" s="130"/>
      <c r="GS29" s="130"/>
      <c r="GT29" s="130"/>
      <c r="GU29" s="130"/>
      <c r="GV29" s="130"/>
      <c r="GW29" s="130"/>
      <c r="GX29" s="130"/>
      <c r="GY29" s="130"/>
      <c r="GZ29" s="130"/>
      <c r="HA29" s="130"/>
      <c r="HB29" s="130"/>
      <c r="HC29" s="130"/>
      <c r="HD29" s="130"/>
      <c r="HE29" s="130"/>
      <c r="HF29" s="130"/>
      <c r="HG29" s="130"/>
      <c r="HH29" s="130"/>
      <c r="HI29" s="130"/>
      <c r="HJ29" s="130"/>
      <c r="HK29" s="130"/>
      <c r="HL29" s="130"/>
      <c r="HM29" s="130"/>
      <c r="HN29" s="130"/>
      <c r="HO29" s="130"/>
      <c r="HP29" s="130"/>
      <c r="HQ29" s="130"/>
      <c r="HR29" s="130"/>
      <c r="HS29" s="130"/>
      <c r="HT29" s="130"/>
      <c r="HU29" s="130"/>
      <c r="HV29" s="130"/>
      <c r="HW29" s="130"/>
      <c r="HX29" s="130"/>
      <c r="HY29" s="130"/>
      <c r="HZ29" s="130"/>
      <c r="IA29" s="130"/>
      <c r="IB29" s="130"/>
    </row>
    <row r="30" spans="1:236" ht="15.65" customHeight="1">
      <c r="A30" s="130" t="s">
        <v>260</v>
      </c>
      <c r="B30" s="899"/>
      <c r="C30" s="899"/>
      <c r="D30" s="899"/>
      <c r="E30" s="899"/>
      <c r="F30" s="899"/>
      <c r="G30" s="899">
        <v>398000</v>
      </c>
      <c r="H30" s="129">
        <f>ROUND(460022.04+0,-3)</f>
        <v>460000</v>
      </c>
      <c r="I30" s="397">
        <v>435000</v>
      </c>
      <c r="J30" s="397">
        <v>557000</v>
      </c>
      <c r="K30" s="1244">
        <v>508000</v>
      </c>
      <c r="L30" s="1244">
        <v>512000</v>
      </c>
      <c r="N30" s="1593">
        <f t="shared" si="1"/>
        <v>7.8740157480314821E-3</v>
      </c>
      <c r="O30" s="1291"/>
      <c r="P30" s="557"/>
      <c r="Q30" s="548"/>
      <c r="R30" s="548"/>
      <c r="S30" s="548"/>
      <c r="U30" s="558"/>
      <c r="V30" s="548"/>
      <c r="W30" s="548"/>
      <c r="X30" s="556"/>
      <c r="Y30" s="548"/>
      <c r="Z30" s="548"/>
      <c r="AA30" s="548"/>
      <c r="AB30" s="548"/>
      <c r="AC30" s="548"/>
      <c r="AD30" s="548"/>
      <c r="AE30" s="548"/>
      <c r="AF30" s="548"/>
      <c r="AG30" s="548"/>
      <c r="AH30" s="548"/>
      <c r="AI30" s="548"/>
      <c r="AJ30" s="548"/>
      <c r="AK30" s="548"/>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X30" s="130"/>
      <c r="BY30" s="130"/>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c r="CW30" s="130"/>
      <c r="CX30" s="130"/>
      <c r="CY30" s="130"/>
      <c r="CZ30" s="130"/>
      <c r="DA30" s="130"/>
      <c r="DB30" s="130"/>
      <c r="DC30" s="130"/>
      <c r="DD30" s="130"/>
      <c r="DE30" s="130"/>
      <c r="DF30" s="130"/>
      <c r="DG30" s="130"/>
      <c r="DH30" s="130"/>
      <c r="DI30" s="130"/>
      <c r="DJ30" s="130"/>
      <c r="DK30" s="130"/>
      <c r="DL30" s="130"/>
      <c r="DM30" s="130"/>
      <c r="DN30" s="130"/>
      <c r="DO30" s="130"/>
      <c r="DP30" s="130"/>
      <c r="DQ30" s="130"/>
      <c r="DR30" s="130"/>
      <c r="DS30" s="130"/>
      <c r="DT30" s="130"/>
      <c r="DU30" s="130"/>
      <c r="DV30" s="130"/>
      <c r="DW30" s="130"/>
      <c r="DX30" s="130"/>
      <c r="DY30" s="130"/>
      <c r="DZ30" s="130"/>
      <c r="EA30" s="130"/>
      <c r="EB30" s="130"/>
      <c r="EC30" s="130"/>
      <c r="ED30" s="130"/>
      <c r="EE30" s="130"/>
      <c r="EF30" s="130"/>
      <c r="EG30" s="130"/>
      <c r="EH30" s="130"/>
      <c r="EI30" s="130"/>
      <c r="EJ30" s="130"/>
      <c r="EK30" s="130"/>
      <c r="EL30" s="130"/>
      <c r="EM30" s="130"/>
      <c r="EN30" s="130"/>
      <c r="EO30" s="130"/>
      <c r="EP30" s="130"/>
      <c r="EQ30" s="130"/>
      <c r="ER30" s="130"/>
      <c r="ES30" s="130"/>
      <c r="ET30" s="130"/>
      <c r="EU30" s="130"/>
      <c r="EV30" s="130"/>
      <c r="EW30" s="130"/>
      <c r="EX30" s="130"/>
      <c r="EY30" s="130"/>
      <c r="EZ30" s="130"/>
      <c r="FA30" s="130"/>
      <c r="FB30" s="130"/>
      <c r="FC30" s="130"/>
      <c r="FD30" s="130"/>
      <c r="FE30" s="130"/>
      <c r="FF30" s="130"/>
      <c r="FG30" s="130"/>
      <c r="FH30" s="130"/>
      <c r="FI30" s="130"/>
      <c r="FJ30" s="130"/>
      <c r="FK30" s="130"/>
      <c r="FL30" s="130"/>
      <c r="FM30" s="130"/>
      <c r="FN30" s="130"/>
      <c r="FO30" s="130"/>
      <c r="FP30" s="130"/>
      <c r="FQ30" s="130"/>
      <c r="FR30" s="130"/>
      <c r="FS30" s="130"/>
      <c r="FT30" s="130"/>
      <c r="FU30" s="130"/>
      <c r="FV30" s="130"/>
      <c r="FW30" s="130"/>
      <c r="FX30" s="130"/>
      <c r="FY30" s="130"/>
      <c r="FZ30" s="130"/>
      <c r="GA30" s="130"/>
      <c r="GB30" s="130"/>
      <c r="GC30" s="130"/>
      <c r="GD30" s="130"/>
      <c r="GE30" s="130"/>
      <c r="GF30" s="130"/>
      <c r="GG30" s="130"/>
      <c r="GH30" s="130"/>
      <c r="GI30" s="130"/>
      <c r="GJ30" s="130"/>
      <c r="GK30" s="130"/>
      <c r="GL30" s="130"/>
      <c r="GM30" s="130"/>
      <c r="GN30" s="130"/>
      <c r="GO30" s="130"/>
      <c r="GP30" s="130"/>
      <c r="GQ30" s="130"/>
      <c r="GR30" s="130"/>
      <c r="GS30" s="130"/>
      <c r="GT30" s="130"/>
      <c r="GU30" s="130"/>
      <c r="GV30" s="130"/>
      <c r="GW30" s="130"/>
      <c r="GX30" s="130"/>
      <c r="GY30" s="130"/>
      <c r="GZ30" s="130"/>
      <c r="HA30" s="130"/>
      <c r="HB30" s="130"/>
      <c r="HC30" s="130"/>
      <c r="HD30" s="130"/>
      <c r="HE30" s="130"/>
      <c r="HF30" s="130"/>
      <c r="HG30" s="130"/>
      <c r="HH30" s="130"/>
      <c r="HI30" s="130"/>
      <c r="HJ30" s="130"/>
      <c r="HK30" s="130"/>
      <c r="HL30" s="130"/>
      <c r="HM30" s="130"/>
      <c r="HN30" s="130"/>
      <c r="HO30" s="130"/>
      <c r="HP30" s="130"/>
      <c r="HQ30" s="130"/>
      <c r="HR30" s="130"/>
      <c r="HS30" s="130"/>
      <c r="HT30" s="130"/>
      <c r="HU30" s="130"/>
      <c r="HV30" s="130"/>
      <c r="HW30" s="130"/>
      <c r="HX30" s="130"/>
      <c r="HY30" s="130"/>
      <c r="HZ30" s="130"/>
      <c r="IA30" s="130"/>
      <c r="IB30" s="130"/>
    </row>
    <row r="31" spans="1:236" ht="15.65" customHeight="1">
      <c r="A31" s="130" t="s">
        <v>261</v>
      </c>
      <c r="B31" s="899"/>
      <c r="C31" s="899"/>
      <c r="D31" s="899"/>
      <c r="E31" s="899"/>
      <c r="F31" s="899"/>
      <c r="G31" s="899">
        <v>179000</v>
      </c>
      <c r="H31" s="129">
        <f>ROUND(142617.3+0,-3)</f>
        <v>143000</v>
      </c>
      <c r="I31" s="397">
        <v>205000</v>
      </c>
      <c r="J31" s="397">
        <v>159000</v>
      </c>
      <c r="K31" s="1244">
        <v>338000</v>
      </c>
      <c r="L31" s="1244">
        <v>270000</v>
      </c>
      <c r="N31" s="1593">
        <f t="shared" si="1"/>
        <v>-0.20118343195266275</v>
      </c>
      <c r="O31" s="1291"/>
      <c r="P31" s="557"/>
      <c r="Q31" s="548"/>
      <c r="R31" s="548"/>
      <c r="S31" s="548"/>
      <c r="U31" s="558"/>
      <c r="X31" s="556"/>
      <c r="Y31" s="548"/>
      <c r="Z31" s="548"/>
      <c r="AA31" s="548"/>
      <c r="AB31" s="548"/>
      <c r="AC31" s="548"/>
      <c r="AD31" s="548"/>
      <c r="AE31" s="548"/>
      <c r="AF31" s="548"/>
      <c r="AG31" s="548"/>
      <c r="AH31" s="548"/>
      <c r="AI31" s="548"/>
      <c r="AJ31" s="548"/>
      <c r="AK31" s="548"/>
      <c r="AL31" s="130"/>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c r="BO31" s="130"/>
      <c r="BP31" s="130"/>
      <c r="BQ31" s="130"/>
      <c r="BR31" s="130"/>
      <c r="BS31" s="130"/>
      <c r="BT31" s="130"/>
      <c r="BU31" s="130"/>
      <c r="BV31" s="130"/>
      <c r="BW31" s="130"/>
      <c r="BX31" s="130"/>
      <c r="BY31" s="130"/>
      <c r="BZ31" s="130"/>
      <c r="CA31" s="130"/>
      <c r="CB31" s="130"/>
      <c r="CC31" s="130"/>
      <c r="CD31" s="130"/>
      <c r="CE31" s="130"/>
      <c r="CF31" s="130"/>
      <c r="CG31" s="130"/>
      <c r="CH31" s="130"/>
      <c r="CI31" s="130"/>
      <c r="CJ31" s="130"/>
      <c r="CK31" s="130"/>
      <c r="CL31" s="130"/>
      <c r="CM31" s="130"/>
      <c r="CN31" s="130"/>
      <c r="CO31" s="130"/>
      <c r="CP31" s="130"/>
      <c r="CQ31" s="130"/>
      <c r="CR31" s="130"/>
      <c r="CS31" s="130"/>
      <c r="CT31" s="130"/>
      <c r="CU31" s="130"/>
      <c r="CV31" s="130"/>
      <c r="CW31" s="130"/>
      <c r="CX31" s="130"/>
      <c r="CY31" s="130"/>
      <c r="CZ31" s="130"/>
      <c r="DA31" s="130"/>
      <c r="DB31" s="130"/>
      <c r="DC31" s="130"/>
      <c r="DD31" s="130"/>
      <c r="DE31" s="130"/>
      <c r="DF31" s="130"/>
      <c r="DG31" s="130"/>
      <c r="DH31" s="130"/>
      <c r="DI31" s="130"/>
      <c r="DJ31" s="130"/>
      <c r="DK31" s="130"/>
      <c r="DL31" s="130"/>
      <c r="DM31" s="130"/>
      <c r="DN31" s="130"/>
      <c r="DO31" s="130"/>
      <c r="DP31" s="130"/>
      <c r="DQ31" s="130"/>
      <c r="DR31" s="130"/>
      <c r="DS31" s="130"/>
      <c r="DT31" s="130"/>
      <c r="DU31" s="130"/>
      <c r="DV31" s="130"/>
      <c r="DW31" s="130"/>
      <c r="DX31" s="130"/>
      <c r="DY31" s="130"/>
      <c r="DZ31" s="130"/>
      <c r="EA31" s="130"/>
      <c r="EB31" s="130"/>
      <c r="EC31" s="130"/>
      <c r="ED31" s="130"/>
      <c r="EE31" s="130"/>
      <c r="EF31" s="130"/>
      <c r="EG31" s="130"/>
      <c r="EH31" s="130"/>
      <c r="EI31" s="130"/>
      <c r="EJ31" s="130"/>
      <c r="EK31" s="130"/>
      <c r="EL31" s="130"/>
      <c r="EM31" s="130"/>
      <c r="EN31" s="130"/>
      <c r="EO31" s="130"/>
      <c r="EP31" s="130"/>
      <c r="EQ31" s="130"/>
      <c r="ER31" s="130"/>
      <c r="ES31" s="130"/>
      <c r="ET31" s="130"/>
      <c r="EU31" s="130"/>
      <c r="EV31" s="130"/>
      <c r="EW31" s="130"/>
      <c r="EX31" s="130"/>
      <c r="EY31" s="130"/>
      <c r="EZ31" s="130"/>
      <c r="FA31" s="130"/>
      <c r="FB31" s="130"/>
      <c r="FC31" s="130"/>
      <c r="FD31" s="130"/>
      <c r="FE31" s="130"/>
      <c r="FF31" s="130"/>
      <c r="FG31" s="130"/>
      <c r="FH31" s="130"/>
      <c r="FI31" s="130"/>
      <c r="FJ31" s="130"/>
      <c r="FK31" s="130"/>
      <c r="FL31" s="130"/>
      <c r="FM31" s="130"/>
      <c r="FN31" s="130"/>
      <c r="FO31" s="130"/>
      <c r="FP31" s="130"/>
      <c r="FQ31" s="130"/>
      <c r="FR31" s="130"/>
      <c r="FS31" s="130"/>
      <c r="FT31" s="130"/>
      <c r="FU31" s="130"/>
      <c r="FV31" s="130"/>
      <c r="FW31" s="130"/>
      <c r="FX31" s="130"/>
      <c r="FY31" s="130"/>
      <c r="FZ31" s="130"/>
      <c r="GA31" s="130"/>
      <c r="GB31" s="130"/>
      <c r="GC31" s="130"/>
      <c r="GD31" s="130"/>
      <c r="GE31" s="130"/>
      <c r="GF31" s="130"/>
      <c r="GG31" s="130"/>
      <c r="GH31" s="130"/>
      <c r="GI31" s="130"/>
      <c r="GJ31" s="130"/>
      <c r="GK31" s="130"/>
      <c r="GL31" s="130"/>
      <c r="GM31" s="130"/>
      <c r="GN31" s="130"/>
      <c r="GO31" s="130"/>
      <c r="GP31" s="130"/>
      <c r="GQ31" s="130"/>
      <c r="GR31" s="130"/>
      <c r="GS31" s="130"/>
      <c r="GT31" s="130"/>
      <c r="GU31" s="130"/>
      <c r="GV31" s="130"/>
      <c r="GW31" s="130"/>
      <c r="GX31" s="130"/>
      <c r="GY31" s="130"/>
      <c r="GZ31" s="130"/>
      <c r="HA31" s="130"/>
      <c r="HB31" s="130"/>
      <c r="HC31" s="130"/>
      <c r="HD31" s="130"/>
      <c r="HE31" s="130"/>
      <c r="HF31" s="130"/>
      <c r="HG31" s="130"/>
      <c r="HH31" s="130"/>
      <c r="HI31" s="130"/>
      <c r="HJ31" s="130"/>
      <c r="HK31" s="130"/>
      <c r="HL31" s="130"/>
      <c r="HM31" s="130"/>
      <c r="HN31" s="130"/>
      <c r="HO31" s="130"/>
      <c r="HP31" s="130"/>
      <c r="HQ31" s="130"/>
      <c r="HR31" s="130"/>
      <c r="HS31" s="130"/>
      <c r="HT31" s="130"/>
      <c r="HU31" s="130"/>
      <c r="HV31" s="130"/>
      <c r="HW31" s="130"/>
      <c r="HX31" s="130"/>
      <c r="HY31" s="130"/>
      <c r="HZ31" s="130"/>
      <c r="IA31" s="130"/>
      <c r="IB31" s="130"/>
    </row>
    <row r="32" spans="1:236" ht="15.65" customHeight="1">
      <c r="A32" s="130" t="s">
        <v>241</v>
      </c>
      <c r="B32" s="899"/>
      <c r="C32" s="899"/>
      <c r="D32" s="899"/>
      <c r="E32" s="899"/>
      <c r="F32" s="899"/>
      <c r="G32" s="899">
        <v>12000</v>
      </c>
      <c r="H32" s="129">
        <f>ROUND(12296.11+0,-3)</f>
        <v>12000</v>
      </c>
      <c r="I32" s="397">
        <v>13000</v>
      </c>
      <c r="J32" s="397">
        <v>16000</v>
      </c>
      <c r="K32" s="1244">
        <v>18000</v>
      </c>
      <c r="L32" s="1244">
        <v>20000</v>
      </c>
      <c r="N32" s="1593">
        <f t="shared" si="1"/>
        <v>0.11111111111111116</v>
      </c>
      <c r="O32" s="1291"/>
      <c r="P32" s="557"/>
      <c r="Q32" s="548"/>
      <c r="R32" s="548"/>
      <c r="S32" s="548"/>
      <c r="U32" s="558"/>
      <c r="V32" s="548"/>
      <c r="W32" s="548"/>
      <c r="X32" s="556"/>
      <c r="Y32" s="548"/>
      <c r="Z32" s="548"/>
      <c r="AA32" s="548"/>
      <c r="AB32" s="548"/>
      <c r="AC32" s="548"/>
      <c r="AD32" s="548"/>
      <c r="AE32" s="548"/>
      <c r="AF32" s="548"/>
      <c r="AG32" s="548"/>
      <c r="AH32" s="548"/>
      <c r="AI32" s="548"/>
      <c r="AJ32" s="548"/>
      <c r="AK32" s="548"/>
      <c r="AL32" s="130"/>
      <c r="AM32" s="130"/>
      <c r="AN32" s="130"/>
      <c r="AO32" s="130"/>
      <c r="AP32" s="130"/>
      <c r="AQ32" s="130"/>
      <c r="AR32" s="130"/>
      <c r="AS32" s="130"/>
      <c r="AT32" s="130"/>
      <c r="AU32" s="130"/>
      <c r="AV32" s="130"/>
      <c r="AW32" s="130"/>
      <c r="AX32" s="130"/>
      <c r="AY32" s="130"/>
      <c r="AZ32" s="130"/>
      <c r="BA32" s="130"/>
      <c r="BB32" s="130"/>
      <c r="BC32" s="130"/>
      <c r="BD32" s="130"/>
      <c r="BE32" s="130"/>
      <c r="BF32" s="130"/>
      <c r="BG32" s="130"/>
      <c r="BH32" s="130"/>
      <c r="BI32" s="130"/>
      <c r="BJ32" s="130"/>
      <c r="BK32" s="130"/>
      <c r="BL32" s="130"/>
      <c r="BM32" s="130"/>
      <c r="BN32" s="130"/>
      <c r="BO32" s="130"/>
      <c r="BP32" s="130"/>
      <c r="BQ32" s="130"/>
      <c r="BR32" s="130"/>
      <c r="BS32" s="130"/>
      <c r="BT32" s="130"/>
      <c r="BU32" s="130"/>
      <c r="BV32" s="130"/>
      <c r="BW32" s="130"/>
      <c r="BX32" s="130"/>
      <c r="BY32" s="130"/>
      <c r="BZ32" s="130"/>
      <c r="CA32" s="130"/>
      <c r="CB32" s="130"/>
      <c r="CC32" s="130"/>
      <c r="CD32" s="130"/>
      <c r="CE32" s="130"/>
      <c r="CF32" s="130"/>
      <c r="CG32" s="130"/>
      <c r="CH32" s="130"/>
      <c r="CI32" s="130"/>
      <c r="CJ32" s="130"/>
      <c r="CK32" s="130"/>
      <c r="CL32" s="130"/>
      <c r="CM32" s="130"/>
      <c r="CN32" s="130"/>
      <c r="CO32" s="130"/>
      <c r="CP32" s="130"/>
      <c r="CQ32" s="130"/>
      <c r="CR32" s="130"/>
      <c r="CS32" s="130"/>
      <c r="CT32" s="130"/>
      <c r="CU32" s="130"/>
      <c r="CV32" s="130"/>
      <c r="CW32" s="130"/>
      <c r="CX32" s="130"/>
      <c r="CY32" s="130"/>
      <c r="CZ32" s="130"/>
      <c r="DA32" s="130"/>
      <c r="DB32" s="130"/>
      <c r="DC32" s="130"/>
      <c r="DD32" s="130"/>
      <c r="DE32" s="130"/>
      <c r="DF32" s="130"/>
      <c r="DG32" s="130"/>
      <c r="DH32" s="130"/>
      <c r="DI32" s="130"/>
      <c r="DJ32" s="130"/>
      <c r="DK32" s="130"/>
      <c r="DL32" s="130"/>
      <c r="DM32" s="130"/>
      <c r="DN32" s="130"/>
      <c r="DO32" s="130"/>
      <c r="DP32" s="130"/>
      <c r="DQ32" s="130"/>
      <c r="DR32" s="130"/>
      <c r="DS32" s="130"/>
      <c r="DT32" s="130"/>
      <c r="DU32" s="130"/>
      <c r="DV32" s="130"/>
      <c r="DW32" s="130"/>
      <c r="DX32" s="130"/>
      <c r="DY32" s="130"/>
      <c r="DZ32" s="130"/>
      <c r="EA32" s="130"/>
      <c r="EB32" s="130"/>
      <c r="EC32" s="130"/>
      <c r="ED32" s="130"/>
      <c r="EE32" s="130"/>
      <c r="EF32" s="130"/>
      <c r="EG32" s="130"/>
      <c r="EH32" s="130"/>
      <c r="EI32" s="130"/>
      <c r="EJ32" s="130"/>
      <c r="EK32" s="130"/>
      <c r="EL32" s="130"/>
      <c r="EM32" s="130"/>
      <c r="EN32" s="130"/>
      <c r="EO32" s="130"/>
      <c r="EP32" s="130"/>
      <c r="EQ32" s="130"/>
      <c r="ER32" s="130"/>
      <c r="ES32" s="130"/>
      <c r="ET32" s="130"/>
      <c r="EU32" s="130"/>
      <c r="EV32" s="130"/>
      <c r="EW32" s="130"/>
      <c r="EX32" s="130"/>
      <c r="EY32" s="130"/>
      <c r="EZ32" s="130"/>
      <c r="FA32" s="130"/>
      <c r="FB32" s="130"/>
      <c r="FC32" s="130"/>
      <c r="FD32" s="130"/>
      <c r="FE32" s="130"/>
      <c r="FF32" s="130"/>
      <c r="FG32" s="130"/>
      <c r="FH32" s="130"/>
      <c r="FI32" s="130"/>
      <c r="FJ32" s="130"/>
      <c r="FK32" s="130"/>
      <c r="FL32" s="130"/>
      <c r="FM32" s="130"/>
      <c r="FN32" s="130"/>
      <c r="FO32" s="130"/>
      <c r="FP32" s="130"/>
      <c r="FQ32" s="130"/>
      <c r="FR32" s="130"/>
      <c r="FS32" s="130"/>
      <c r="FT32" s="130"/>
      <c r="FU32" s="130"/>
      <c r="FV32" s="130"/>
      <c r="FW32" s="130"/>
      <c r="FX32" s="130"/>
      <c r="FY32" s="130"/>
      <c r="FZ32" s="130"/>
      <c r="GA32" s="130"/>
      <c r="GB32" s="130"/>
      <c r="GC32" s="130"/>
      <c r="GD32" s="130"/>
      <c r="GE32" s="130"/>
      <c r="GF32" s="130"/>
      <c r="GG32" s="130"/>
      <c r="GH32" s="130"/>
      <c r="GI32" s="130"/>
      <c r="GJ32" s="130"/>
      <c r="GK32" s="130"/>
      <c r="GL32" s="130"/>
      <c r="GM32" s="130"/>
      <c r="GN32" s="130"/>
      <c r="GO32" s="130"/>
      <c r="GP32" s="130"/>
      <c r="GQ32" s="130"/>
      <c r="GR32" s="130"/>
      <c r="GS32" s="130"/>
      <c r="GT32" s="130"/>
      <c r="GU32" s="130"/>
      <c r="GV32" s="130"/>
      <c r="GW32" s="130"/>
      <c r="GX32" s="130"/>
      <c r="GY32" s="130"/>
      <c r="GZ32" s="130"/>
      <c r="HA32" s="130"/>
      <c r="HB32" s="130"/>
      <c r="HC32" s="130"/>
      <c r="HD32" s="130"/>
      <c r="HE32" s="130"/>
      <c r="HF32" s="130"/>
      <c r="HG32" s="130"/>
      <c r="HH32" s="130"/>
      <c r="HI32" s="130"/>
      <c r="HJ32" s="130"/>
      <c r="HK32" s="130"/>
      <c r="HL32" s="130"/>
      <c r="HM32" s="130"/>
      <c r="HN32" s="130"/>
      <c r="HO32" s="130"/>
      <c r="HP32" s="130"/>
      <c r="HQ32" s="130"/>
      <c r="HR32" s="130"/>
      <c r="HS32" s="130"/>
      <c r="HT32" s="130"/>
      <c r="HU32" s="130"/>
      <c r="HV32" s="130"/>
      <c r="HW32" s="130"/>
      <c r="HX32" s="130"/>
      <c r="HY32" s="130"/>
      <c r="HZ32" s="130"/>
      <c r="IA32" s="130"/>
      <c r="IB32" s="130"/>
    </row>
    <row r="33" spans="1:236" ht="15.65" customHeight="1">
      <c r="A33" s="130" t="s">
        <v>262</v>
      </c>
      <c r="B33" s="899"/>
      <c r="C33" s="899"/>
      <c r="D33" s="899"/>
      <c r="E33" s="899"/>
      <c r="F33" s="899"/>
      <c r="G33" s="899">
        <v>664000</v>
      </c>
      <c r="H33" s="129">
        <f>ROUND(878294.38+0,-3)</f>
        <v>878000</v>
      </c>
      <c r="I33" s="397">
        <v>1597000</v>
      </c>
      <c r="J33" s="397">
        <v>2314000</v>
      </c>
      <c r="K33" s="1244">
        <v>3203000</v>
      </c>
      <c r="L33" s="1244">
        <v>2241000</v>
      </c>
      <c r="N33" s="1593">
        <f t="shared" si="1"/>
        <v>-0.30034342803621605</v>
      </c>
      <c r="O33" s="1291"/>
      <c r="P33" s="557"/>
      <c r="Q33" s="548"/>
      <c r="R33" s="548"/>
      <c r="S33" s="548"/>
      <c r="U33" s="558"/>
      <c r="V33" s="548"/>
      <c r="W33" s="549"/>
      <c r="X33" s="548"/>
      <c r="Y33" s="548"/>
      <c r="Z33" s="548"/>
      <c r="AA33" s="548"/>
      <c r="AB33" s="548"/>
      <c r="AC33" s="548"/>
      <c r="AD33" s="548"/>
      <c r="AE33" s="548"/>
      <c r="AF33" s="548"/>
      <c r="AG33" s="548"/>
      <c r="AH33" s="548"/>
      <c r="AI33" s="548"/>
      <c r="AJ33" s="548"/>
      <c r="AK33" s="548"/>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c r="BW33" s="130"/>
      <c r="BX33" s="130"/>
      <c r="BY33" s="130"/>
      <c r="BZ33" s="130"/>
      <c r="CA33" s="130"/>
      <c r="CB33" s="130"/>
      <c r="CC33" s="130"/>
      <c r="CD33" s="130"/>
      <c r="CE33" s="130"/>
      <c r="CF33" s="130"/>
      <c r="CG33" s="130"/>
      <c r="CH33" s="130"/>
      <c r="CI33" s="130"/>
      <c r="CJ33" s="130"/>
      <c r="CK33" s="130"/>
      <c r="CL33" s="130"/>
      <c r="CM33" s="130"/>
      <c r="CN33" s="130"/>
      <c r="CO33" s="130"/>
      <c r="CP33" s="130"/>
      <c r="CQ33" s="130"/>
      <c r="CR33" s="130"/>
      <c r="CS33" s="130"/>
      <c r="CT33" s="130"/>
      <c r="CU33" s="130"/>
      <c r="CV33" s="130"/>
      <c r="CW33" s="130"/>
      <c r="CX33" s="130"/>
      <c r="CY33" s="130"/>
      <c r="CZ33" s="130"/>
      <c r="DA33" s="130"/>
      <c r="DB33" s="130"/>
      <c r="DC33" s="130"/>
      <c r="DD33" s="130"/>
      <c r="DE33" s="130"/>
      <c r="DF33" s="130"/>
      <c r="DG33" s="130"/>
      <c r="DH33" s="130"/>
      <c r="DI33" s="130"/>
      <c r="DJ33" s="130"/>
      <c r="DK33" s="130"/>
      <c r="DL33" s="130"/>
      <c r="DM33" s="130"/>
      <c r="DN33" s="130"/>
      <c r="DO33" s="130"/>
      <c r="DP33" s="130"/>
      <c r="DQ33" s="130"/>
      <c r="DR33" s="130"/>
      <c r="DS33" s="130"/>
      <c r="DT33" s="130"/>
      <c r="DU33" s="130"/>
      <c r="DV33" s="130"/>
      <c r="DW33" s="130"/>
      <c r="DX33" s="130"/>
      <c r="DY33" s="130"/>
      <c r="DZ33" s="130"/>
      <c r="EA33" s="130"/>
      <c r="EB33" s="130"/>
      <c r="EC33" s="130"/>
      <c r="ED33" s="130"/>
      <c r="EE33" s="130"/>
      <c r="EF33" s="130"/>
      <c r="EG33" s="130"/>
      <c r="EH33" s="130"/>
      <c r="EI33" s="130"/>
      <c r="EJ33" s="130"/>
      <c r="EK33" s="130"/>
      <c r="EL33" s="130"/>
      <c r="EM33" s="130"/>
      <c r="EN33" s="130"/>
      <c r="EO33" s="130"/>
      <c r="EP33" s="130"/>
      <c r="EQ33" s="130"/>
      <c r="ER33" s="130"/>
      <c r="ES33" s="130"/>
      <c r="ET33" s="130"/>
      <c r="EU33" s="130"/>
      <c r="EV33" s="130"/>
      <c r="EW33" s="130"/>
      <c r="EX33" s="130"/>
      <c r="EY33" s="130"/>
      <c r="EZ33" s="130"/>
      <c r="FA33" s="130"/>
      <c r="FB33" s="130"/>
      <c r="FC33" s="130"/>
      <c r="FD33" s="130"/>
      <c r="FE33" s="130"/>
      <c r="FF33" s="130"/>
      <c r="FG33" s="130"/>
      <c r="FH33" s="130"/>
      <c r="FI33" s="130"/>
      <c r="FJ33" s="130"/>
      <c r="FK33" s="130"/>
      <c r="FL33" s="130"/>
      <c r="FM33" s="130"/>
      <c r="FN33" s="130"/>
      <c r="FO33" s="130"/>
      <c r="FP33" s="130"/>
      <c r="FQ33" s="130"/>
      <c r="FR33" s="130"/>
      <c r="FS33" s="130"/>
      <c r="FT33" s="130"/>
      <c r="FU33" s="130"/>
      <c r="FV33" s="130"/>
      <c r="FW33" s="130"/>
      <c r="FX33" s="130"/>
      <c r="FY33" s="130"/>
      <c r="FZ33" s="130"/>
      <c r="GA33" s="130"/>
      <c r="GB33" s="130"/>
      <c r="GC33" s="130"/>
      <c r="GD33" s="130"/>
      <c r="GE33" s="130"/>
      <c r="GF33" s="130"/>
      <c r="GG33" s="130"/>
      <c r="GH33" s="130"/>
      <c r="GI33" s="130"/>
      <c r="GJ33" s="130"/>
      <c r="GK33" s="130"/>
      <c r="GL33" s="130"/>
      <c r="GM33" s="130"/>
      <c r="GN33" s="130"/>
      <c r="GO33" s="130"/>
      <c r="GP33" s="130"/>
      <c r="GQ33" s="130"/>
      <c r="GR33" s="130"/>
      <c r="GS33" s="130"/>
      <c r="GT33" s="130"/>
      <c r="GU33" s="130"/>
      <c r="GV33" s="130"/>
      <c r="GW33" s="130"/>
      <c r="GX33" s="130"/>
      <c r="GY33" s="130"/>
      <c r="GZ33" s="130"/>
      <c r="HA33" s="130"/>
      <c r="HB33" s="130"/>
      <c r="HC33" s="130"/>
      <c r="HD33" s="130"/>
      <c r="HE33" s="130"/>
      <c r="HF33" s="130"/>
      <c r="HG33" s="130"/>
      <c r="HH33" s="130"/>
      <c r="HI33" s="130"/>
      <c r="HJ33" s="130"/>
      <c r="HK33" s="130"/>
      <c r="HL33" s="130"/>
      <c r="HM33" s="130"/>
      <c r="HN33" s="130"/>
      <c r="HO33" s="130"/>
      <c r="HP33" s="130"/>
      <c r="HQ33" s="130"/>
      <c r="HR33" s="130"/>
      <c r="HS33" s="130"/>
      <c r="HT33" s="130"/>
      <c r="HU33" s="130"/>
      <c r="HV33" s="130"/>
      <c r="HW33" s="130"/>
      <c r="HX33" s="130"/>
      <c r="HY33" s="130"/>
      <c r="HZ33" s="130"/>
      <c r="IA33" s="130"/>
      <c r="IB33" s="130"/>
    </row>
    <row r="34" spans="1:236" ht="15.65" customHeight="1">
      <c r="A34" s="130" t="s">
        <v>263</v>
      </c>
      <c r="B34" s="899"/>
      <c r="C34" s="899"/>
      <c r="D34" s="899"/>
      <c r="E34" s="899"/>
      <c r="F34" s="899"/>
      <c r="G34" s="899">
        <v>175000</v>
      </c>
      <c r="H34" s="129">
        <f>ROUND(216842.49+0,-3)</f>
        <v>217000</v>
      </c>
      <c r="I34" s="397">
        <v>233000</v>
      </c>
      <c r="J34" s="397">
        <v>229000</v>
      </c>
      <c r="K34" s="1244">
        <v>264000</v>
      </c>
      <c r="L34" s="1244">
        <v>285000</v>
      </c>
      <c r="N34" s="1593">
        <f t="shared" si="1"/>
        <v>7.9545454545454586E-2</v>
      </c>
      <c r="O34" s="1291"/>
      <c r="P34" s="557"/>
      <c r="Q34" s="548"/>
      <c r="R34" s="548"/>
      <c r="S34" s="548"/>
      <c r="U34" s="558"/>
      <c r="V34" s="548"/>
      <c r="W34" s="549"/>
      <c r="X34" s="548"/>
      <c r="Y34" s="548"/>
      <c r="Z34" s="548"/>
      <c r="AA34" s="548"/>
      <c r="AB34" s="548"/>
      <c r="AC34" s="548"/>
      <c r="AD34" s="548"/>
      <c r="AE34" s="548"/>
      <c r="AF34" s="548"/>
      <c r="AG34" s="548"/>
      <c r="AH34" s="548"/>
      <c r="AI34" s="548"/>
      <c r="AJ34" s="548"/>
      <c r="AK34" s="548"/>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0"/>
      <c r="BX34" s="130"/>
      <c r="BY34" s="130"/>
      <c r="BZ34" s="130"/>
      <c r="CA34" s="130"/>
      <c r="CB34" s="130"/>
      <c r="CC34" s="130"/>
      <c r="CD34" s="130"/>
      <c r="CE34" s="130"/>
      <c r="CF34" s="130"/>
      <c r="CG34" s="130"/>
      <c r="CH34" s="130"/>
      <c r="CI34" s="130"/>
      <c r="CJ34" s="130"/>
      <c r="CK34" s="130"/>
      <c r="CL34" s="130"/>
      <c r="CM34" s="130"/>
      <c r="CN34" s="130"/>
      <c r="CO34" s="130"/>
      <c r="CP34" s="130"/>
      <c r="CQ34" s="130"/>
      <c r="CR34" s="130"/>
      <c r="CS34" s="130"/>
      <c r="CT34" s="130"/>
      <c r="CU34" s="130"/>
      <c r="CV34" s="130"/>
      <c r="CW34" s="130"/>
      <c r="CX34" s="130"/>
      <c r="CY34" s="130"/>
      <c r="CZ34" s="130"/>
      <c r="DA34" s="130"/>
      <c r="DB34" s="130"/>
      <c r="DC34" s="130"/>
      <c r="DD34" s="130"/>
      <c r="DE34" s="130"/>
      <c r="DF34" s="130"/>
      <c r="DG34" s="130"/>
      <c r="DH34" s="130"/>
      <c r="DI34" s="130"/>
      <c r="DJ34" s="130"/>
      <c r="DK34" s="130"/>
      <c r="DL34" s="130"/>
      <c r="DM34" s="130"/>
      <c r="DN34" s="130"/>
      <c r="DO34" s="130"/>
      <c r="DP34" s="130"/>
      <c r="DQ34" s="130"/>
      <c r="DR34" s="130"/>
      <c r="DS34" s="130"/>
      <c r="DT34" s="130"/>
      <c r="DU34" s="130"/>
      <c r="DV34" s="130"/>
      <c r="DW34" s="130"/>
      <c r="DX34" s="130"/>
      <c r="DY34" s="130"/>
      <c r="DZ34" s="130"/>
      <c r="EA34" s="130"/>
      <c r="EB34" s="130"/>
      <c r="EC34" s="130"/>
      <c r="ED34" s="130"/>
      <c r="EE34" s="130"/>
      <c r="EF34" s="130"/>
      <c r="EG34" s="130"/>
      <c r="EH34" s="130"/>
      <c r="EI34" s="130"/>
      <c r="EJ34" s="130"/>
      <c r="EK34" s="130"/>
      <c r="EL34" s="130"/>
      <c r="EM34" s="130"/>
      <c r="EN34" s="130"/>
      <c r="EO34" s="130"/>
      <c r="EP34" s="130"/>
      <c r="EQ34" s="130"/>
      <c r="ER34" s="130"/>
      <c r="ES34" s="130"/>
      <c r="ET34" s="130"/>
      <c r="EU34" s="130"/>
      <c r="EV34" s="130"/>
      <c r="EW34" s="130"/>
      <c r="EX34" s="130"/>
      <c r="EY34" s="130"/>
      <c r="EZ34" s="130"/>
      <c r="FA34" s="130"/>
      <c r="FB34" s="130"/>
      <c r="FC34" s="130"/>
      <c r="FD34" s="130"/>
      <c r="FE34" s="130"/>
      <c r="FF34" s="130"/>
      <c r="FG34" s="130"/>
      <c r="FH34" s="130"/>
      <c r="FI34" s="130"/>
      <c r="FJ34" s="130"/>
      <c r="FK34" s="130"/>
      <c r="FL34" s="130"/>
      <c r="FM34" s="130"/>
      <c r="FN34" s="130"/>
      <c r="FO34" s="130"/>
      <c r="FP34" s="130"/>
      <c r="FQ34" s="130"/>
      <c r="FR34" s="130"/>
      <c r="FS34" s="130"/>
      <c r="FT34" s="130"/>
      <c r="FU34" s="130"/>
      <c r="FV34" s="130"/>
      <c r="FW34" s="130"/>
      <c r="FX34" s="130"/>
      <c r="FY34" s="130"/>
      <c r="FZ34" s="130"/>
      <c r="GA34" s="130"/>
      <c r="GB34" s="130"/>
      <c r="GC34" s="130"/>
      <c r="GD34" s="130"/>
      <c r="GE34" s="130"/>
      <c r="GF34" s="130"/>
      <c r="GG34" s="130"/>
      <c r="GH34" s="130"/>
      <c r="GI34" s="130"/>
      <c r="GJ34" s="130"/>
      <c r="GK34" s="130"/>
      <c r="GL34" s="130"/>
      <c r="GM34" s="130"/>
      <c r="GN34" s="130"/>
      <c r="GO34" s="130"/>
      <c r="GP34" s="130"/>
      <c r="GQ34" s="130"/>
      <c r="GR34" s="130"/>
      <c r="GS34" s="130"/>
      <c r="GT34" s="130"/>
      <c r="GU34" s="130"/>
      <c r="GV34" s="130"/>
      <c r="GW34" s="130"/>
      <c r="GX34" s="130"/>
      <c r="GY34" s="130"/>
      <c r="GZ34" s="130"/>
      <c r="HA34" s="130"/>
      <c r="HB34" s="130"/>
      <c r="HC34" s="130"/>
      <c r="HD34" s="130"/>
      <c r="HE34" s="130"/>
      <c r="HF34" s="130"/>
      <c r="HG34" s="130"/>
      <c r="HH34" s="130"/>
      <c r="HI34" s="130"/>
      <c r="HJ34" s="130"/>
      <c r="HK34" s="130"/>
      <c r="HL34" s="130"/>
      <c r="HM34" s="130"/>
      <c r="HN34" s="130"/>
      <c r="HO34" s="130"/>
      <c r="HP34" s="130"/>
      <c r="HQ34" s="130"/>
      <c r="HR34" s="130"/>
      <c r="HS34" s="130"/>
      <c r="HT34" s="130"/>
      <c r="HU34" s="130"/>
      <c r="HV34" s="130"/>
      <c r="HW34" s="130"/>
      <c r="HX34" s="130"/>
      <c r="HY34" s="130"/>
      <c r="HZ34" s="130"/>
      <c r="IA34" s="130"/>
      <c r="IB34" s="130"/>
    </row>
    <row r="35" spans="1:236" ht="15.65" customHeight="1">
      <c r="A35" s="130" t="s">
        <v>240</v>
      </c>
      <c r="B35" s="899"/>
      <c r="C35" s="899"/>
      <c r="D35" s="899"/>
      <c r="E35" s="899"/>
      <c r="F35" s="899"/>
      <c r="G35" s="899">
        <v>178000</v>
      </c>
      <c r="H35" s="129">
        <f>ROUND(218257.13,-3)</f>
        <v>218000</v>
      </c>
      <c r="I35" s="397">
        <v>114000</v>
      </c>
      <c r="J35" s="397">
        <v>159000</v>
      </c>
      <c r="K35" s="1244">
        <v>192000</v>
      </c>
      <c r="L35" s="1244">
        <v>177000</v>
      </c>
      <c r="N35" s="1593">
        <f t="shared" si="1"/>
        <v>-7.8125E-2</v>
      </c>
      <c r="O35" s="1291"/>
      <c r="P35" s="557"/>
      <c r="Q35" s="548"/>
      <c r="R35" s="548"/>
      <c r="S35" s="548"/>
      <c r="U35" s="558"/>
      <c r="V35" s="548"/>
      <c r="W35" s="549"/>
      <c r="Y35" s="548"/>
      <c r="Z35" s="548"/>
      <c r="AA35" s="548"/>
      <c r="AB35" s="548"/>
      <c r="AC35" s="548"/>
      <c r="AD35" s="548"/>
      <c r="AE35" s="548"/>
      <c r="AF35" s="548"/>
      <c r="AG35" s="548"/>
      <c r="AH35" s="548"/>
      <c r="AI35" s="548"/>
      <c r="AJ35" s="548"/>
      <c r="AK35" s="548"/>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c r="BT35" s="130"/>
      <c r="BU35" s="130"/>
      <c r="BV35" s="130"/>
      <c r="BW35" s="130"/>
      <c r="BX35" s="130"/>
      <c r="BY35" s="130"/>
      <c r="BZ35" s="130"/>
      <c r="CA35" s="130"/>
      <c r="CB35" s="130"/>
      <c r="CC35" s="130"/>
      <c r="CD35" s="130"/>
      <c r="CE35" s="130"/>
      <c r="CF35" s="130"/>
      <c r="CG35" s="130"/>
      <c r="CH35" s="130"/>
      <c r="CI35" s="130"/>
      <c r="CJ35" s="130"/>
      <c r="CK35" s="130"/>
      <c r="CL35" s="130"/>
      <c r="CM35" s="130"/>
      <c r="CN35" s="130"/>
      <c r="CO35" s="130"/>
      <c r="CP35" s="130"/>
      <c r="CQ35" s="130"/>
      <c r="CR35" s="130"/>
      <c r="CS35" s="130"/>
      <c r="CT35" s="130"/>
      <c r="CU35" s="130"/>
      <c r="CV35" s="130"/>
      <c r="CW35" s="130"/>
      <c r="CX35" s="130"/>
      <c r="CY35" s="130"/>
      <c r="CZ35" s="130"/>
      <c r="DA35" s="130"/>
      <c r="DB35" s="130"/>
      <c r="DC35" s="130"/>
      <c r="DD35" s="130"/>
      <c r="DE35" s="130"/>
      <c r="DF35" s="130"/>
      <c r="DG35" s="130"/>
      <c r="DH35" s="130"/>
      <c r="DI35" s="130"/>
      <c r="DJ35" s="130"/>
      <c r="DK35" s="130"/>
      <c r="DL35" s="130"/>
      <c r="DM35" s="130"/>
      <c r="DN35" s="130"/>
      <c r="DO35" s="130"/>
      <c r="DP35" s="130"/>
      <c r="DQ35" s="130"/>
      <c r="DR35" s="130"/>
      <c r="DS35" s="130"/>
      <c r="DT35" s="130"/>
      <c r="DU35" s="130"/>
      <c r="DV35" s="130"/>
      <c r="DW35" s="130"/>
      <c r="DX35" s="130"/>
      <c r="DY35" s="130"/>
      <c r="DZ35" s="130"/>
      <c r="EA35" s="130"/>
      <c r="EB35" s="130"/>
      <c r="EC35" s="130"/>
      <c r="ED35" s="130"/>
      <c r="EE35" s="130"/>
      <c r="EF35" s="130"/>
      <c r="EG35" s="130"/>
      <c r="EH35" s="130"/>
      <c r="EI35" s="130"/>
      <c r="EJ35" s="130"/>
      <c r="EK35" s="130"/>
      <c r="EL35" s="130"/>
      <c r="EM35" s="130"/>
      <c r="EN35" s="130"/>
      <c r="EO35" s="130"/>
      <c r="EP35" s="130"/>
      <c r="EQ35" s="130"/>
      <c r="ER35" s="130"/>
      <c r="ES35" s="130"/>
      <c r="ET35" s="130"/>
      <c r="EU35" s="130"/>
      <c r="EV35" s="130"/>
      <c r="EW35" s="130"/>
      <c r="EX35" s="130"/>
      <c r="EY35" s="130"/>
      <c r="EZ35" s="130"/>
      <c r="FA35" s="130"/>
      <c r="FB35" s="130"/>
      <c r="FC35" s="130"/>
      <c r="FD35" s="130"/>
      <c r="FE35" s="130"/>
      <c r="FF35" s="130"/>
      <c r="FG35" s="130"/>
      <c r="FH35" s="130"/>
      <c r="FI35" s="130"/>
      <c r="FJ35" s="130"/>
      <c r="FK35" s="130"/>
      <c r="FL35" s="130"/>
      <c r="FM35" s="130"/>
      <c r="FN35" s="130"/>
      <c r="FO35" s="130"/>
      <c r="FP35" s="130"/>
      <c r="FQ35" s="130"/>
      <c r="FR35" s="130"/>
      <c r="FS35" s="130"/>
      <c r="FT35" s="130"/>
      <c r="FU35" s="130"/>
      <c r="FV35" s="130"/>
      <c r="FW35" s="130"/>
      <c r="FX35" s="130"/>
      <c r="FY35" s="130"/>
      <c r="FZ35" s="130"/>
      <c r="GA35" s="130"/>
      <c r="GB35" s="130"/>
      <c r="GC35" s="130"/>
      <c r="GD35" s="130"/>
      <c r="GE35" s="130"/>
      <c r="GF35" s="130"/>
      <c r="GG35" s="130"/>
      <c r="GH35" s="130"/>
      <c r="GI35" s="130"/>
      <c r="GJ35" s="130"/>
      <c r="GK35" s="130"/>
      <c r="GL35" s="130"/>
      <c r="GM35" s="130"/>
      <c r="GN35" s="130"/>
      <c r="GO35" s="130"/>
      <c r="GP35" s="130"/>
      <c r="GQ35" s="130"/>
      <c r="GR35" s="130"/>
      <c r="GS35" s="130"/>
      <c r="GT35" s="130"/>
      <c r="GU35" s="130"/>
      <c r="GV35" s="130"/>
      <c r="GW35" s="130"/>
      <c r="GX35" s="130"/>
      <c r="GY35" s="130"/>
      <c r="GZ35" s="130"/>
      <c r="HA35" s="130"/>
      <c r="HB35" s="130"/>
      <c r="HC35" s="130"/>
      <c r="HD35" s="130"/>
      <c r="HE35" s="130"/>
      <c r="HF35" s="130"/>
      <c r="HG35" s="130"/>
      <c r="HH35" s="130"/>
      <c r="HI35" s="130"/>
      <c r="HJ35" s="130"/>
      <c r="HK35" s="130"/>
      <c r="HL35" s="130"/>
      <c r="HM35" s="130"/>
      <c r="HN35" s="130"/>
      <c r="HO35" s="130"/>
      <c r="HP35" s="130"/>
      <c r="HQ35" s="130"/>
      <c r="HR35" s="130"/>
      <c r="HS35" s="130"/>
      <c r="HT35" s="130"/>
      <c r="HU35" s="130"/>
      <c r="HV35" s="130"/>
      <c r="HW35" s="130"/>
      <c r="HX35" s="130"/>
      <c r="HY35" s="130"/>
      <c r="HZ35" s="130"/>
      <c r="IA35" s="130"/>
      <c r="IB35" s="130"/>
    </row>
    <row r="36" spans="1:236" ht="15.65" customHeight="1">
      <c r="A36" s="130" t="s">
        <v>239</v>
      </c>
      <c r="B36" s="899"/>
      <c r="C36" s="899"/>
      <c r="D36" s="899"/>
      <c r="E36" s="899"/>
      <c r="F36" s="899"/>
      <c r="G36" s="899">
        <v>90000</v>
      </c>
      <c r="H36" s="129">
        <f>ROUND(87968.28,-3)</f>
        <v>88000</v>
      </c>
      <c r="I36" s="397">
        <v>82000</v>
      </c>
      <c r="J36" s="397">
        <v>109000</v>
      </c>
      <c r="K36" s="1244">
        <v>105000</v>
      </c>
      <c r="L36" s="1244">
        <v>83000</v>
      </c>
      <c r="N36" s="1593">
        <f t="shared" si="1"/>
        <v>-0.20952380952380956</v>
      </c>
      <c r="O36" s="1291"/>
      <c r="P36" s="557"/>
      <c r="Q36" s="548"/>
      <c r="R36" s="548"/>
      <c r="S36" s="548"/>
      <c r="U36" s="558"/>
      <c r="V36" s="548"/>
      <c r="W36" s="549"/>
      <c r="X36" s="548"/>
      <c r="Y36" s="548"/>
      <c r="Z36" s="548"/>
      <c r="AA36" s="548"/>
      <c r="AB36" s="548"/>
      <c r="AC36" s="548"/>
      <c r="AD36" s="548"/>
      <c r="AE36" s="548"/>
      <c r="AF36" s="548"/>
      <c r="AG36" s="548"/>
      <c r="AH36" s="548"/>
      <c r="AI36" s="548"/>
      <c r="AJ36" s="548"/>
      <c r="AK36" s="548"/>
      <c r="AL36" s="130"/>
      <c r="AM36" s="130"/>
      <c r="AN36" s="130"/>
      <c r="AO36" s="130"/>
      <c r="AP36" s="130"/>
      <c r="AQ36" s="130"/>
      <c r="AR36" s="130"/>
      <c r="AS36" s="130"/>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c r="BT36" s="130"/>
      <c r="BU36" s="130"/>
      <c r="BV36" s="130"/>
      <c r="BW36" s="130"/>
      <c r="BX36" s="130"/>
      <c r="BY36" s="130"/>
      <c r="BZ36" s="130"/>
      <c r="CA36" s="130"/>
      <c r="CB36" s="130"/>
      <c r="CC36" s="130"/>
      <c r="CD36" s="130"/>
      <c r="CE36" s="130"/>
      <c r="CF36" s="130"/>
      <c r="CG36" s="130"/>
      <c r="CH36" s="130"/>
      <c r="CI36" s="130"/>
      <c r="CJ36" s="130"/>
      <c r="CK36" s="130"/>
      <c r="CL36" s="130"/>
      <c r="CM36" s="130"/>
      <c r="CN36" s="130"/>
      <c r="CO36" s="130"/>
      <c r="CP36" s="130"/>
      <c r="CQ36" s="130"/>
      <c r="CR36" s="130"/>
      <c r="CS36" s="130"/>
      <c r="CT36" s="130"/>
      <c r="CU36" s="130"/>
      <c r="CV36" s="130"/>
      <c r="CW36" s="130"/>
      <c r="CX36" s="130"/>
      <c r="CY36" s="130"/>
      <c r="CZ36" s="130"/>
      <c r="DA36" s="130"/>
      <c r="DB36" s="130"/>
      <c r="DC36" s="130"/>
      <c r="DD36" s="130"/>
      <c r="DE36" s="130"/>
      <c r="DF36" s="130"/>
      <c r="DG36" s="130"/>
      <c r="DH36" s="130"/>
      <c r="DI36" s="130"/>
      <c r="DJ36" s="130"/>
      <c r="DK36" s="130"/>
      <c r="DL36" s="130"/>
      <c r="DM36" s="130"/>
      <c r="DN36" s="130"/>
      <c r="DO36" s="130"/>
      <c r="DP36" s="130"/>
      <c r="DQ36" s="130"/>
      <c r="DR36" s="130"/>
      <c r="DS36" s="130"/>
      <c r="DT36" s="130"/>
      <c r="DU36" s="130"/>
      <c r="DV36" s="130"/>
      <c r="DW36" s="130"/>
      <c r="DX36" s="130"/>
      <c r="DY36" s="130"/>
      <c r="DZ36" s="130"/>
      <c r="EA36" s="130"/>
      <c r="EB36" s="130"/>
      <c r="EC36" s="130"/>
      <c r="ED36" s="130"/>
      <c r="EE36" s="130"/>
      <c r="EF36" s="130"/>
      <c r="EG36" s="130"/>
      <c r="EH36" s="130"/>
      <c r="EI36" s="130"/>
      <c r="EJ36" s="130"/>
      <c r="EK36" s="130"/>
      <c r="EL36" s="130"/>
      <c r="EM36" s="130"/>
      <c r="EN36" s="130"/>
      <c r="EO36" s="130"/>
      <c r="EP36" s="130"/>
      <c r="EQ36" s="130"/>
      <c r="ER36" s="130"/>
      <c r="ES36" s="130"/>
      <c r="ET36" s="130"/>
      <c r="EU36" s="130"/>
      <c r="EV36" s="130"/>
      <c r="EW36" s="130"/>
      <c r="EX36" s="130"/>
      <c r="EY36" s="130"/>
      <c r="EZ36" s="130"/>
      <c r="FA36" s="130"/>
      <c r="FB36" s="130"/>
      <c r="FC36" s="130"/>
      <c r="FD36" s="130"/>
      <c r="FE36" s="130"/>
      <c r="FF36" s="130"/>
      <c r="FG36" s="130"/>
      <c r="FH36" s="130"/>
      <c r="FI36" s="130"/>
      <c r="FJ36" s="130"/>
      <c r="FK36" s="130"/>
      <c r="FL36" s="130"/>
      <c r="FM36" s="130"/>
      <c r="FN36" s="130"/>
      <c r="FO36" s="130"/>
      <c r="FP36" s="130"/>
      <c r="FQ36" s="130"/>
      <c r="FR36" s="130"/>
      <c r="FS36" s="130"/>
      <c r="FT36" s="130"/>
      <c r="FU36" s="130"/>
      <c r="FV36" s="130"/>
      <c r="FW36" s="130"/>
      <c r="FX36" s="130"/>
      <c r="FY36" s="130"/>
      <c r="FZ36" s="130"/>
      <c r="GA36" s="130"/>
      <c r="GB36" s="130"/>
      <c r="GC36" s="130"/>
      <c r="GD36" s="130"/>
      <c r="GE36" s="130"/>
      <c r="GF36" s="130"/>
      <c r="GG36" s="130"/>
      <c r="GH36" s="130"/>
      <c r="GI36" s="130"/>
      <c r="GJ36" s="130"/>
      <c r="GK36" s="130"/>
      <c r="GL36" s="130"/>
      <c r="GM36" s="130"/>
      <c r="GN36" s="130"/>
      <c r="GO36" s="130"/>
      <c r="GP36" s="130"/>
      <c r="GQ36" s="130"/>
      <c r="GR36" s="130"/>
      <c r="GS36" s="130"/>
      <c r="GT36" s="130"/>
      <c r="GU36" s="130"/>
      <c r="GV36" s="130"/>
      <c r="GW36" s="130"/>
      <c r="GX36" s="130"/>
      <c r="GY36" s="130"/>
      <c r="GZ36" s="130"/>
      <c r="HA36" s="130"/>
      <c r="HB36" s="130"/>
      <c r="HC36" s="130"/>
      <c r="HD36" s="130"/>
      <c r="HE36" s="130"/>
      <c r="HF36" s="130"/>
      <c r="HG36" s="130"/>
      <c r="HH36" s="130"/>
      <c r="HI36" s="130"/>
      <c r="HJ36" s="130"/>
      <c r="HK36" s="130"/>
      <c r="HL36" s="130"/>
      <c r="HM36" s="130"/>
      <c r="HN36" s="130"/>
      <c r="HO36" s="130"/>
      <c r="HP36" s="130"/>
      <c r="HQ36" s="130"/>
      <c r="HR36" s="130"/>
      <c r="HS36" s="130"/>
      <c r="HT36" s="130"/>
      <c r="HU36" s="130"/>
      <c r="HV36" s="130"/>
      <c r="HW36" s="130"/>
      <c r="HX36" s="130"/>
      <c r="HY36" s="130"/>
      <c r="HZ36" s="130"/>
      <c r="IA36" s="130"/>
      <c r="IB36" s="130"/>
    </row>
    <row r="37" spans="1:236" ht="15.65" customHeight="1">
      <c r="A37" s="130" t="s">
        <v>1333</v>
      </c>
      <c r="B37" s="899"/>
      <c r="C37" s="899"/>
      <c r="D37" s="899"/>
      <c r="E37" s="899"/>
      <c r="F37" s="899"/>
      <c r="G37" s="899">
        <v>136140.20000000001</v>
      </c>
      <c r="H37" s="129">
        <v>340628.13</v>
      </c>
      <c r="I37" s="397">
        <v>353000</v>
      </c>
      <c r="J37" s="397">
        <v>349000</v>
      </c>
      <c r="K37" s="1244">
        <v>336000</v>
      </c>
      <c r="L37" s="1244">
        <v>355000</v>
      </c>
      <c r="N37" s="1593">
        <f t="shared" si="1"/>
        <v>5.6547619047619069E-2</v>
      </c>
      <c r="O37" s="1291"/>
      <c r="P37" s="557"/>
      <c r="Q37" s="548"/>
      <c r="R37" s="548"/>
      <c r="S37" s="548"/>
      <c r="U37" s="558"/>
      <c r="V37" s="548"/>
      <c r="W37" s="549"/>
      <c r="X37" s="548"/>
      <c r="Y37" s="548"/>
      <c r="Z37" s="548"/>
      <c r="AA37" s="548"/>
      <c r="AB37" s="548"/>
      <c r="AC37" s="548"/>
      <c r="AD37" s="548"/>
      <c r="AE37" s="548"/>
      <c r="AF37" s="548"/>
      <c r="AG37" s="548"/>
      <c r="AH37" s="548"/>
      <c r="AI37" s="548"/>
      <c r="AJ37" s="548"/>
      <c r="AK37" s="548"/>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c r="BW37" s="130"/>
      <c r="BX37" s="130"/>
      <c r="BY37" s="130"/>
      <c r="BZ37" s="130"/>
      <c r="CA37" s="130"/>
      <c r="CB37" s="130"/>
      <c r="CC37" s="130"/>
      <c r="CD37" s="130"/>
      <c r="CE37" s="130"/>
      <c r="CF37" s="130"/>
      <c r="CG37" s="130"/>
      <c r="CH37" s="130"/>
      <c r="CI37" s="130"/>
      <c r="CJ37" s="130"/>
      <c r="CK37" s="130"/>
      <c r="CL37" s="130"/>
      <c r="CM37" s="130"/>
      <c r="CN37" s="130"/>
      <c r="CO37" s="130"/>
      <c r="CP37" s="130"/>
      <c r="CQ37" s="130"/>
      <c r="CR37" s="130"/>
      <c r="CS37" s="130"/>
      <c r="CT37" s="130"/>
      <c r="CU37" s="130"/>
      <c r="CV37" s="130"/>
      <c r="CW37" s="130"/>
      <c r="CX37" s="130"/>
      <c r="CY37" s="130"/>
      <c r="CZ37" s="130"/>
      <c r="DA37" s="130"/>
      <c r="DB37" s="130"/>
      <c r="DC37" s="130"/>
      <c r="DD37" s="130"/>
      <c r="DE37" s="130"/>
      <c r="DF37" s="130"/>
      <c r="DG37" s="130"/>
      <c r="DH37" s="130"/>
      <c r="DI37" s="130"/>
      <c r="DJ37" s="130"/>
      <c r="DK37" s="130"/>
      <c r="DL37" s="130"/>
      <c r="DM37" s="130"/>
      <c r="DN37" s="130"/>
      <c r="DO37" s="130"/>
      <c r="DP37" s="130"/>
      <c r="DQ37" s="130"/>
      <c r="DR37" s="130"/>
      <c r="DS37" s="130"/>
      <c r="DT37" s="130"/>
      <c r="DU37" s="130"/>
      <c r="DV37" s="130"/>
      <c r="DW37" s="130"/>
      <c r="DX37" s="130"/>
      <c r="DY37" s="130"/>
      <c r="DZ37" s="130"/>
      <c r="EA37" s="130"/>
      <c r="EB37" s="130"/>
      <c r="EC37" s="130"/>
      <c r="ED37" s="130"/>
      <c r="EE37" s="130"/>
      <c r="EF37" s="130"/>
      <c r="EG37" s="130"/>
      <c r="EH37" s="130"/>
      <c r="EI37" s="130"/>
      <c r="EJ37" s="130"/>
      <c r="EK37" s="130"/>
      <c r="EL37" s="130"/>
      <c r="EM37" s="130"/>
      <c r="EN37" s="130"/>
      <c r="EO37" s="130"/>
      <c r="EP37" s="130"/>
      <c r="EQ37" s="130"/>
      <c r="ER37" s="130"/>
      <c r="ES37" s="130"/>
      <c r="ET37" s="130"/>
      <c r="EU37" s="130"/>
      <c r="EV37" s="130"/>
      <c r="EW37" s="130"/>
      <c r="EX37" s="130"/>
      <c r="EY37" s="130"/>
      <c r="EZ37" s="130"/>
      <c r="FA37" s="130"/>
      <c r="FB37" s="130"/>
      <c r="FC37" s="130"/>
      <c r="FD37" s="130"/>
      <c r="FE37" s="130"/>
      <c r="FF37" s="130"/>
      <c r="FG37" s="130"/>
      <c r="FH37" s="130"/>
      <c r="FI37" s="130"/>
      <c r="FJ37" s="130"/>
      <c r="FK37" s="130"/>
      <c r="FL37" s="130"/>
      <c r="FM37" s="130"/>
      <c r="FN37" s="130"/>
      <c r="FO37" s="130"/>
      <c r="FP37" s="130"/>
      <c r="FQ37" s="130"/>
      <c r="FR37" s="130"/>
      <c r="FS37" s="130"/>
      <c r="FT37" s="130"/>
      <c r="FU37" s="130"/>
      <c r="FV37" s="130"/>
      <c r="FW37" s="130"/>
      <c r="FX37" s="130"/>
      <c r="FY37" s="130"/>
      <c r="FZ37" s="130"/>
      <c r="GA37" s="130"/>
      <c r="GB37" s="130"/>
      <c r="GC37" s="130"/>
      <c r="GD37" s="130"/>
      <c r="GE37" s="130"/>
      <c r="GF37" s="130"/>
      <c r="GG37" s="130"/>
      <c r="GH37" s="130"/>
      <c r="GI37" s="130"/>
      <c r="GJ37" s="130"/>
      <c r="GK37" s="130"/>
      <c r="GL37" s="130"/>
      <c r="GM37" s="130"/>
      <c r="GN37" s="130"/>
      <c r="GO37" s="130"/>
      <c r="GP37" s="130"/>
      <c r="GQ37" s="130"/>
      <c r="GR37" s="130"/>
      <c r="GS37" s="130"/>
      <c r="GT37" s="130"/>
      <c r="GU37" s="130"/>
      <c r="GV37" s="130"/>
      <c r="GW37" s="130"/>
      <c r="GX37" s="130"/>
      <c r="GY37" s="130"/>
      <c r="GZ37" s="130"/>
      <c r="HA37" s="130"/>
      <c r="HB37" s="130"/>
      <c r="HC37" s="130"/>
      <c r="HD37" s="130"/>
      <c r="HE37" s="130"/>
      <c r="HF37" s="130"/>
      <c r="HG37" s="130"/>
      <c r="HH37" s="130"/>
      <c r="HI37" s="130"/>
      <c r="HJ37" s="130"/>
      <c r="HK37" s="130"/>
      <c r="HL37" s="130"/>
      <c r="HM37" s="130"/>
      <c r="HN37" s="130"/>
      <c r="HO37" s="130"/>
      <c r="HP37" s="130"/>
      <c r="HQ37" s="130"/>
      <c r="HR37" s="130"/>
      <c r="HS37" s="130"/>
      <c r="HT37" s="130"/>
      <c r="HU37" s="130"/>
      <c r="HV37" s="130"/>
      <c r="HW37" s="130"/>
      <c r="HX37" s="130"/>
      <c r="HY37" s="130"/>
      <c r="HZ37" s="130"/>
      <c r="IA37" s="130"/>
      <c r="IB37" s="130"/>
    </row>
    <row r="38" spans="1:236" ht="6" customHeight="1">
      <c r="B38" s="902"/>
      <c r="C38" s="902"/>
      <c r="D38" s="902"/>
      <c r="E38" s="902"/>
      <c r="F38" s="902"/>
      <c r="G38" s="902"/>
      <c r="H38" s="902"/>
      <c r="K38" s="1501"/>
      <c r="L38" s="1501"/>
      <c r="N38" s="131"/>
      <c r="O38" s="1293"/>
      <c r="P38" s="557"/>
      <c r="Q38" s="548"/>
      <c r="R38" s="548"/>
      <c r="S38" s="548"/>
      <c r="U38" s="558"/>
      <c r="V38" s="548"/>
      <c r="W38" s="549"/>
      <c r="Y38" s="548"/>
      <c r="Z38" s="548"/>
      <c r="AA38" s="548"/>
      <c r="AB38" s="548"/>
      <c r="AC38" s="548"/>
      <c r="AD38" s="548"/>
      <c r="AE38" s="548"/>
      <c r="AF38" s="548"/>
      <c r="AG38" s="548"/>
      <c r="AH38" s="548"/>
      <c r="AI38" s="548"/>
      <c r="AJ38" s="548"/>
      <c r="AK38" s="548"/>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c r="BW38" s="130"/>
      <c r="BX38" s="130"/>
      <c r="BY38" s="130"/>
      <c r="BZ38" s="130"/>
      <c r="CA38" s="130"/>
      <c r="CB38" s="130"/>
      <c r="CC38" s="130"/>
      <c r="CD38" s="130"/>
      <c r="CE38" s="130"/>
      <c r="CF38" s="130"/>
      <c r="CG38" s="130"/>
      <c r="CH38" s="130"/>
      <c r="CI38" s="130"/>
      <c r="CJ38" s="130"/>
      <c r="CK38" s="130"/>
      <c r="CL38" s="130"/>
      <c r="CM38" s="130"/>
      <c r="CN38" s="130"/>
      <c r="CO38" s="130"/>
      <c r="CP38" s="130"/>
      <c r="CQ38" s="130"/>
      <c r="CR38" s="130"/>
      <c r="CS38" s="130"/>
      <c r="CT38" s="130"/>
      <c r="CU38" s="130"/>
      <c r="CV38" s="130"/>
      <c r="CW38" s="130"/>
      <c r="CX38" s="130"/>
      <c r="CY38" s="130"/>
      <c r="CZ38" s="130"/>
      <c r="DA38" s="130"/>
      <c r="DB38" s="130"/>
      <c r="DC38" s="130"/>
      <c r="DD38" s="130"/>
      <c r="DE38" s="130"/>
      <c r="DF38" s="130"/>
      <c r="DG38" s="130"/>
      <c r="DH38" s="130"/>
      <c r="DI38" s="130"/>
      <c r="DJ38" s="130"/>
      <c r="DK38" s="130"/>
      <c r="DL38" s="130"/>
      <c r="DM38" s="130"/>
      <c r="DN38" s="130"/>
      <c r="DO38" s="130"/>
      <c r="DP38" s="130"/>
      <c r="DQ38" s="130"/>
      <c r="DR38" s="130"/>
      <c r="DS38" s="130"/>
      <c r="DT38" s="130"/>
      <c r="DU38" s="130"/>
      <c r="DV38" s="130"/>
      <c r="DW38" s="130"/>
      <c r="DX38" s="130"/>
      <c r="DY38" s="130"/>
      <c r="DZ38" s="130"/>
      <c r="EA38" s="130"/>
      <c r="EB38" s="130"/>
      <c r="EC38" s="130"/>
      <c r="ED38" s="130"/>
      <c r="EE38" s="130"/>
      <c r="EF38" s="130"/>
      <c r="EG38" s="130"/>
      <c r="EH38" s="130"/>
      <c r="EI38" s="130"/>
      <c r="EJ38" s="130"/>
      <c r="EK38" s="130"/>
      <c r="EL38" s="130"/>
      <c r="EM38" s="130"/>
      <c r="EN38" s="130"/>
      <c r="EO38" s="130"/>
      <c r="EP38" s="130"/>
      <c r="EQ38" s="130"/>
      <c r="ER38" s="130"/>
      <c r="ES38" s="130"/>
      <c r="ET38" s="130"/>
      <c r="EU38" s="130"/>
      <c r="EV38" s="130"/>
      <c r="EW38" s="130"/>
      <c r="EX38" s="130"/>
      <c r="EY38" s="130"/>
      <c r="EZ38" s="130"/>
      <c r="FA38" s="130"/>
      <c r="FB38" s="130"/>
      <c r="FC38" s="130"/>
      <c r="FD38" s="130"/>
      <c r="FE38" s="130"/>
      <c r="FF38" s="130"/>
      <c r="FG38" s="130"/>
      <c r="FH38" s="130"/>
      <c r="FI38" s="130"/>
      <c r="FJ38" s="130"/>
      <c r="FK38" s="130"/>
      <c r="FL38" s="130"/>
      <c r="FM38" s="130"/>
      <c r="FN38" s="130"/>
      <c r="FO38" s="130"/>
      <c r="FP38" s="130"/>
      <c r="FQ38" s="130"/>
      <c r="FR38" s="130"/>
      <c r="FS38" s="130"/>
      <c r="FT38" s="130"/>
      <c r="FU38" s="130"/>
      <c r="FV38" s="130"/>
      <c r="FW38" s="130"/>
      <c r="FX38" s="130"/>
      <c r="FY38" s="130"/>
      <c r="FZ38" s="130"/>
      <c r="GA38" s="130"/>
      <c r="GB38" s="130"/>
      <c r="GC38" s="130"/>
      <c r="GD38" s="130"/>
      <c r="GE38" s="130"/>
      <c r="GF38" s="130"/>
      <c r="GG38" s="130"/>
      <c r="GH38" s="130"/>
      <c r="GI38" s="130"/>
      <c r="GJ38" s="130"/>
      <c r="GK38" s="130"/>
      <c r="GL38" s="130"/>
      <c r="GM38" s="130"/>
      <c r="GN38" s="130"/>
      <c r="GO38" s="130"/>
      <c r="GP38" s="130"/>
      <c r="GQ38" s="130"/>
      <c r="GR38" s="130"/>
      <c r="GS38" s="130"/>
      <c r="GT38" s="130"/>
      <c r="GU38" s="130"/>
      <c r="GV38" s="130"/>
      <c r="GW38" s="130"/>
      <c r="GX38" s="130"/>
      <c r="GY38" s="130"/>
      <c r="GZ38" s="130"/>
      <c r="HA38" s="130"/>
      <c r="HB38" s="130"/>
      <c r="HC38" s="130"/>
      <c r="HD38" s="130"/>
      <c r="HE38" s="130"/>
      <c r="HF38" s="130"/>
      <c r="HG38" s="130"/>
      <c r="HH38" s="130"/>
      <c r="HI38" s="130"/>
      <c r="HJ38" s="130"/>
      <c r="HK38" s="130"/>
      <c r="HL38" s="130"/>
      <c r="HM38" s="130"/>
      <c r="HN38" s="130"/>
      <c r="HO38" s="130"/>
      <c r="HP38" s="130"/>
      <c r="HQ38" s="130"/>
      <c r="HR38" s="130"/>
      <c r="HS38" s="130"/>
      <c r="HT38" s="130"/>
      <c r="HU38" s="130"/>
      <c r="HV38" s="130"/>
      <c r="HW38" s="130"/>
      <c r="HX38" s="130"/>
      <c r="HY38" s="130"/>
      <c r="HZ38" s="130"/>
      <c r="IA38" s="130"/>
      <c r="IB38" s="130"/>
    </row>
    <row r="39" spans="1:236" ht="15.65" customHeight="1">
      <c r="A39" s="132" t="s">
        <v>699</v>
      </c>
      <c r="B39" s="1037">
        <f t="shared" ref="B39:H39" si="2">SUM(B21:B37)</f>
        <v>0</v>
      </c>
      <c r="C39" s="1037">
        <f t="shared" si="2"/>
        <v>0</v>
      </c>
      <c r="D39" s="1037">
        <f t="shared" si="2"/>
        <v>0</v>
      </c>
      <c r="E39" s="1037">
        <f t="shared" si="2"/>
        <v>0</v>
      </c>
      <c r="F39" s="1037">
        <f t="shared" si="2"/>
        <v>0</v>
      </c>
      <c r="G39" s="1037">
        <f t="shared" si="2"/>
        <v>822377140.20000005</v>
      </c>
      <c r="H39" s="1037">
        <f t="shared" si="2"/>
        <v>1294169628.1300001</v>
      </c>
      <c r="I39" s="1037">
        <v>1568171000</v>
      </c>
      <c r="J39" s="1037">
        <v>1667381000</v>
      </c>
      <c r="K39" s="1595">
        <v>1688907000</v>
      </c>
      <c r="L39" s="1595">
        <v>1625945000</v>
      </c>
      <c r="M39" s="135"/>
      <c r="N39" s="1596">
        <f>IFERROR((L39/K39)-1,"")</f>
        <v>-3.7279731802876026E-2</v>
      </c>
      <c r="O39" s="1299"/>
      <c r="P39" s="548"/>
      <c r="Q39" s="548"/>
      <c r="R39" s="548"/>
      <c r="S39" s="548"/>
      <c r="U39" s="558"/>
      <c r="V39" s="548"/>
      <c r="W39" s="549"/>
      <c r="X39" s="548"/>
      <c r="Y39" s="548"/>
      <c r="Z39" s="548"/>
      <c r="AA39" s="548"/>
      <c r="AB39" s="548"/>
      <c r="AC39" s="548"/>
      <c r="AD39" s="548"/>
      <c r="AE39" s="548"/>
      <c r="AF39" s="548"/>
      <c r="AG39" s="548"/>
      <c r="AH39" s="548"/>
      <c r="AI39" s="548"/>
      <c r="AJ39" s="548"/>
      <c r="AK39" s="548"/>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c r="BW39" s="130"/>
      <c r="BX39" s="130"/>
      <c r="BY39" s="130"/>
      <c r="BZ39" s="130"/>
      <c r="CA39" s="130"/>
      <c r="CB39" s="130"/>
      <c r="CC39" s="130"/>
      <c r="CD39" s="130"/>
      <c r="CE39" s="130"/>
      <c r="CF39" s="130"/>
      <c r="CG39" s="130"/>
      <c r="CH39" s="130"/>
      <c r="CI39" s="130"/>
      <c r="CJ39" s="130"/>
      <c r="CK39" s="130"/>
      <c r="CL39" s="130"/>
      <c r="CM39" s="130"/>
      <c r="CN39" s="130"/>
      <c r="CO39" s="130"/>
      <c r="CP39" s="130"/>
      <c r="CQ39" s="130"/>
      <c r="CR39" s="130"/>
      <c r="CS39" s="130"/>
      <c r="CT39" s="130"/>
      <c r="CU39" s="130"/>
      <c r="CV39" s="130"/>
      <c r="CW39" s="130"/>
      <c r="CX39" s="130"/>
      <c r="CY39" s="130"/>
      <c r="CZ39" s="130"/>
      <c r="DA39" s="130"/>
      <c r="DB39" s="130"/>
      <c r="DC39" s="130"/>
      <c r="DD39" s="130"/>
      <c r="DE39" s="130"/>
      <c r="DF39" s="130"/>
      <c r="DG39" s="130"/>
      <c r="DH39" s="130"/>
      <c r="DI39" s="130"/>
      <c r="DJ39" s="130"/>
      <c r="DK39" s="130"/>
      <c r="DL39" s="130"/>
      <c r="DM39" s="130"/>
      <c r="DN39" s="130"/>
      <c r="DO39" s="130"/>
      <c r="DP39" s="130"/>
      <c r="DQ39" s="130"/>
      <c r="DR39" s="130"/>
      <c r="DS39" s="130"/>
      <c r="DT39" s="130"/>
      <c r="DU39" s="130"/>
      <c r="DV39" s="130"/>
      <c r="DW39" s="130"/>
      <c r="DX39" s="130"/>
      <c r="DY39" s="130"/>
      <c r="DZ39" s="130"/>
      <c r="EA39" s="130"/>
      <c r="EB39" s="130"/>
      <c r="EC39" s="130"/>
      <c r="ED39" s="130"/>
      <c r="EE39" s="130"/>
      <c r="EF39" s="130"/>
      <c r="EG39" s="130"/>
      <c r="EH39" s="130"/>
      <c r="EI39" s="130"/>
      <c r="EJ39" s="130"/>
      <c r="EK39" s="130"/>
      <c r="EL39" s="130"/>
      <c r="EM39" s="130"/>
      <c r="EN39" s="130"/>
      <c r="EO39" s="130"/>
      <c r="EP39" s="130"/>
      <c r="EQ39" s="130"/>
      <c r="ER39" s="130"/>
      <c r="ES39" s="130"/>
      <c r="ET39" s="130"/>
      <c r="EU39" s="130"/>
      <c r="EV39" s="130"/>
      <c r="EW39" s="130"/>
      <c r="EX39" s="130"/>
      <c r="EY39" s="130"/>
      <c r="EZ39" s="130"/>
      <c r="FA39" s="130"/>
      <c r="FB39" s="130"/>
      <c r="FC39" s="130"/>
      <c r="FD39" s="130"/>
      <c r="FE39" s="130"/>
      <c r="FF39" s="130"/>
      <c r="FG39" s="130"/>
      <c r="FH39" s="130"/>
      <c r="FI39" s="130"/>
      <c r="FJ39" s="130"/>
      <c r="FK39" s="130"/>
      <c r="FL39" s="130"/>
      <c r="FM39" s="130"/>
      <c r="FN39" s="130"/>
      <c r="FO39" s="130"/>
      <c r="FP39" s="130"/>
      <c r="FQ39" s="130"/>
      <c r="FR39" s="130"/>
      <c r="FS39" s="130"/>
      <c r="FT39" s="130"/>
      <c r="FU39" s="130"/>
      <c r="FV39" s="130"/>
      <c r="FW39" s="130"/>
      <c r="FX39" s="130"/>
      <c r="FY39" s="130"/>
      <c r="FZ39" s="130"/>
      <c r="GA39" s="130"/>
      <c r="GB39" s="130"/>
      <c r="GC39" s="130"/>
      <c r="GD39" s="130"/>
      <c r="GE39" s="130"/>
      <c r="GF39" s="130"/>
      <c r="GG39" s="130"/>
      <c r="GH39" s="130"/>
      <c r="GI39" s="130"/>
      <c r="GJ39" s="130"/>
      <c r="GK39" s="130"/>
      <c r="GL39" s="130"/>
      <c r="GM39" s="130"/>
      <c r="GN39" s="130"/>
      <c r="GO39" s="130"/>
      <c r="GP39" s="130"/>
      <c r="GQ39" s="130"/>
      <c r="GR39" s="130"/>
      <c r="GS39" s="130"/>
      <c r="GT39" s="130"/>
      <c r="GU39" s="130"/>
      <c r="GV39" s="130"/>
      <c r="GW39" s="130"/>
      <c r="GX39" s="130"/>
      <c r="GY39" s="130"/>
      <c r="GZ39" s="130"/>
      <c r="HA39" s="130"/>
      <c r="HB39" s="130"/>
      <c r="HC39" s="130"/>
      <c r="HD39" s="130"/>
      <c r="HE39" s="130"/>
      <c r="HF39" s="130"/>
      <c r="HG39" s="130"/>
      <c r="HH39" s="130"/>
      <c r="HI39" s="130"/>
      <c r="HJ39" s="130"/>
      <c r="HK39" s="130"/>
      <c r="HL39" s="130"/>
      <c r="HM39" s="130"/>
      <c r="HN39" s="130"/>
      <c r="HO39" s="130"/>
      <c r="HP39" s="130"/>
      <c r="HQ39" s="130"/>
      <c r="HR39" s="130"/>
      <c r="HS39" s="130"/>
      <c r="HT39" s="130"/>
      <c r="HU39" s="130"/>
      <c r="HV39" s="130"/>
      <c r="HW39" s="130"/>
      <c r="HX39" s="130"/>
      <c r="HY39" s="130"/>
      <c r="HZ39" s="130"/>
      <c r="IA39" s="130"/>
      <c r="IB39" s="130"/>
    </row>
    <row r="40" spans="1:236" ht="6" customHeight="1">
      <c r="A40" s="136"/>
      <c r="B40" s="1038"/>
      <c r="C40" s="1038"/>
      <c r="D40" s="1038"/>
      <c r="E40" s="1038"/>
      <c r="F40" s="1038"/>
      <c r="G40" s="1038"/>
      <c r="H40" s="1038"/>
      <c r="I40" s="1039"/>
      <c r="J40" s="1039"/>
      <c r="K40" s="1597"/>
      <c r="L40" s="1597"/>
      <c r="N40" s="1593"/>
      <c r="O40" s="1291"/>
      <c r="P40" s="557"/>
      <c r="Q40" s="548"/>
      <c r="R40" s="548"/>
      <c r="S40" s="548"/>
      <c r="U40" s="558"/>
      <c r="V40" s="548"/>
      <c r="W40" s="549"/>
      <c r="X40" s="548"/>
      <c r="Y40" s="548"/>
      <c r="Z40" s="548"/>
      <c r="AA40" s="548"/>
      <c r="AB40" s="548"/>
      <c r="AC40" s="548"/>
      <c r="AD40" s="548"/>
      <c r="AE40" s="548"/>
      <c r="AF40" s="548"/>
      <c r="AG40" s="548"/>
      <c r="AH40" s="548"/>
      <c r="AI40" s="548"/>
      <c r="AJ40" s="548"/>
      <c r="AK40" s="548"/>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c r="BT40" s="130"/>
      <c r="BU40" s="130"/>
      <c r="BV40" s="130"/>
      <c r="BW40" s="130"/>
      <c r="BX40" s="130"/>
      <c r="BY40" s="130"/>
      <c r="BZ40" s="130"/>
      <c r="CA40" s="130"/>
      <c r="CB40" s="130"/>
      <c r="CC40" s="130"/>
      <c r="CD40" s="130"/>
      <c r="CE40" s="130"/>
      <c r="CF40" s="130"/>
      <c r="CG40" s="130"/>
      <c r="CH40" s="130"/>
      <c r="CI40" s="130"/>
      <c r="CJ40" s="130"/>
      <c r="CK40" s="130"/>
      <c r="CL40" s="130"/>
      <c r="CM40" s="130"/>
      <c r="CN40" s="130"/>
      <c r="CO40" s="130"/>
      <c r="CP40" s="130"/>
      <c r="CQ40" s="130"/>
      <c r="CR40" s="130"/>
      <c r="CS40" s="130"/>
      <c r="CT40" s="130"/>
      <c r="CU40" s="130"/>
      <c r="CV40" s="130"/>
      <c r="CW40" s="130"/>
      <c r="CX40" s="130"/>
      <c r="CY40" s="130"/>
      <c r="CZ40" s="130"/>
      <c r="DA40" s="130"/>
      <c r="DB40" s="130"/>
      <c r="DC40" s="130"/>
      <c r="DD40" s="130"/>
      <c r="DE40" s="130"/>
      <c r="DF40" s="130"/>
      <c r="DG40" s="130"/>
      <c r="DH40" s="130"/>
      <c r="DI40" s="130"/>
      <c r="DJ40" s="130"/>
      <c r="DK40" s="130"/>
      <c r="DL40" s="130"/>
      <c r="DM40" s="130"/>
      <c r="DN40" s="130"/>
      <c r="DO40" s="130"/>
      <c r="DP40" s="130"/>
      <c r="DQ40" s="130"/>
      <c r="DR40" s="130"/>
      <c r="DS40" s="130"/>
      <c r="DT40" s="130"/>
      <c r="DU40" s="130"/>
      <c r="DV40" s="130"/>
      <c r="DW40" s="130"/>
      <c r="DX40" s="130"/>
      <c r="DY40" s="130"/>
      <c r="DZ40" s="130"/>
      <c r="EA40" s="130"/>
      <c r="EB40" s="130"/>
      <c r="EC40" s="130"/>
      <c r="ED40" s="130"/>
      <c r="EE40" s="130"/>
      <c r="EF40" s="130"/>
      <c r="EG40" s="130"/>
      <c r="EH40" s="130"/>
      <c r="EI40" s="130"/>
      <c r="EJ40" s="130"/>
      <c r="EK40" s="130"/>
      <c r="EL40" s="130"/>
      <c r="EM40" s="130"/>
      <c r="EN40" s="130"/>
      <c r="EO40" s="130"/>
      <c r="EP40" s="130"/>
      <c r="EQ40" s="130"/>
      <c r="ER40" s="130"/>
      <c r="ES40" s="130"/>
      <c r="ET40" s="130"/>
      <c r="EU40" s="130"/>
      <c r="EV40" s="130"/>
      <c r="EW40" s="130"/>
      <c r="EX40" s="130"/>
      <c r="EY40" s="130"/>
      <c r="EZ40" s="130"/>
      <c r="FA40" s="130"/>
      <c r="FB40" s="130"/>
      <c r="FC40" s="130"/>
      <c r="FD40" s="130"/>
      <c r="FE40" s="130"/>
      <c r="FF40" s="130"/>
      <c r="FG40" s="130"/>
      <c r="FH40" s="130"/>
      <c r="FI40" s="130"/>
      <c r="FJ40" s="130"/>
      <c r="FK40" s="130"/>
      <c r="FL40" s="130"/>
      <c r="FM40" s="130"/>
      <c r="FN40" s="130"/>
      <c r="FO40" s="130"/>
      <c r="FP40" s="130"/>
      <c r="FQ40" s="130"/>
      <c r="FR40" s="130"/>
      <c r="FS40" s="130"/>
      <c r="FT40" s="130"/>
      <c r="FU40" s="130"/>
      <c r="FV40" s="130"/>
      <c r="FW40" s="130"/>
      <c r="FX40" s="130"/>
      <c r="FY40" s="130"/>
      <c r="FZ40" s="130"/>
      <c r="GA40" s="130"/>
      <c r="GB40" s="130"/>
      <c r="GC40" s="130"/>
      <c r="GD40" s="130"/>
      <c r="GE40" s="130"/>
      <c r="GF40" s="130"/>
      <c r="GG40" s="130"/>
      <c r="GH40" s="130"/>
      <c r="GI40" s="130"/>
      <c r="GJ40" s="130"/>
      <c r="GK40" s="130"/>
      <c r="GL40" s="130"/>
      <c r="GM40" s="130"/>
      <c r="GN40" s="130"/>
      <c r="GO40" s="130"/>
      <c r="GP40" s="130"/>
      <c r="GQ40" s="130"/>
      <c r="GR40" s="130"/>
      <c r="GS40" s="130"/>
      <c r="GT40" s="130"/>
      <c r="GU40" s="130"/>
      <c r="GV40" s="130"/>
      <c r="GW40" s="130"/>
      <c r="GX40" s="130"/>
      <c r="GY40" s="130"/>
      <c r="GZ40" s="130"/>
      <c r="HA40" s="130"/>
      <c r="HB40" s="130"/>
      <c r="HC40" s="130"/>
      <c r="HD40" s="130"/>
      <c r="HE40" s="130"/>
      <c r="HF40" s="130"/>
      <c r="HG40" s="130"/>
      <c r="HH40" s="130"/>
      <c r="HI40" s="130"/>
      <c r="HJ40" s="130"/>
      <c r="HK40" s="130"/>
      <c r="HL40" s="130"/>
      <c r="HM40" s="130"/>
      <c r="HN40" s="130"/>
      <c r="HO40" s="130"/>
      <c r="HP40" s="130"/>
      <c r="HQ40" s="130"/>
      <c r="HR40" s="130"/>
      <c r="HS40" s="130"/>
      <c r="HT40" s="130"/>
      <c r="HU40" s="130"/>
      <c r="HV40" s="130"/>
      <c r="HW40" s="130"/>
      <c r="HX40" s="130"/>
      <c r="HY40" s="130"/>
      <c r="HZ40" s="130"/>
      <c r="IA40" s="130"/>
      <c r="IB40" s="130"/>
    </row>
    <row r="41" spans="1:236">
      <c r="A41" s="137" t="s">
        <v>0</v>
      </c>
      <c r="B41" s="1040">
        <f t="shared" ref="B41:F41" si="3">SUM(B18,B39)</f>
        <v>15733790000</v>
      </c>
      <c r="C41" s="1040">
        <f t="shared" si="3"/>
        <v>17069018000</v>
      </c>
      <c r="D41" s="1040">
        <f t="shared" si="3"/>
        <v>17348564000</v>
      </c>
      <c r="E41" s="1040">
        <f t="shared" si="3"/>
        <v>18001810000</v>
      </c>
      <c r="F41" s="1040">
        <f t="shared" si="3"/>
        <v>19188948000</v>
      </c>
      <c r="G41" s="1040">
        <f>SUM(G18,G39)</f>
        <v>21375414140.200001</v>
      </c>
      <c r="H41" s="1040">
        <f>SUM(H18,H39)</f>
        <v>22237847628.130001</v>
      </c>
      <c r="I41" s="1041">
        <f>SUM(I18,I39)</f>
        <v>25626936000</v>
      </c>
      <c r="J41" s="1041">
        <f>SUM(J18,J39)</f>
        <v>29729113000</v>
      </c>
      <c r="K41" s="1598">
        <f>SUM(K18,K39)</f>
        <v>28359087000</v>
      </c>
      <c r="L41" s="1598">
        <v>29468407000</v>
      </c>
      <c r="M41" s="138"/>
      <c r="N41" s="1599">
        <f>IFERROR((L41/K41)-1,"")</f>
        <v>3.9116915153157183E-2</v>
      </c>
      <c r="O41" s="1299"/>
      <c r="P41" s="548"/>
      <c r="Q41" s="548"/>
      <c r="R41" s="548"/>
      <c r="S41" s="548"/>
      <c r="U41" s="558"/>
      <c r="V41" s="548"/>
      <c r="W41" s="549"/>
      <c r="X41" s="548"/>
      <c r="Y41" s="548"/>
      <c r="Z41" s="548"/>
      <c r="AA41" s="548"/>
      <c r="AB41" s="548"/>
      <c r="AC41" s="548"/>
      <c r="AD41" s="548"/>
      <c r="AE41" s="548"/>
      <c r="AF41" s="548"/>
      <c r="AG41" s="548"/>
      <c r="AH41" s="548"/>
      <c r="AI41" s="548"/>
      <c r="AJ41" s="548"/>
      <c r="AK41" s="548"/>
      <c r="AL41" s="130"/>
      <c r="AM41" s="130"/>
      <c r="AN41" s="130"/>
      <c r="AO41" s="130"/>
      <c r="AP41" s="130"/>
      <c r="AQ41" s="130"/>
      <c r="AR41" s="130"/>
      <c r="AS41" s="130"/>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30"/>
      <c r="BV41" s="130"/>
      <c r="BW41" s="130"/>
      <c r="BX41" s="130"/>
      <c r="BY41" s="130"/>
      <c r="BZ41" s="130"/>
      <c r="CA41" s="130"/>
      <c r="CB41" s="130"/>
      <c r="CC41" s="130"/>
      <c r="CD41" s="130"/>
      <c r="CE41" s="130"/>
      <c r="CF41" s="130"/>
      <c r="CG41" s="130"/>
      <c r="CH41" s="130"/>
      <c r="CI41" s="130"/>
      <c r="CJ41" s="130"/>
      <c r="CK41" s="130"/>
      <c r="CL41" s="130"/>
      <c r="CM41" s="130"/>
      <c r="CN41" s="130"/>
      <c r="CO41" s="130"/>
      <c r="CP41" s="130"/>
      <c r="CQ41" s="130"/>
      <c r="CR41" s="130"/>
      <c r="CS41" s="130"/>
      <c r="CT41" s="130"/>
      <c r="CU41" s="130"/>
      <c r="CV41" s="130"/>
      <c r="CW41" s="130"/>
      <c r="CX41" s="130"/>
      <c r="CY41" s="130"/>
      <c r="CZ41" s="130"/>
      <c r="DA41" s="130"/>
      <c r="DB41" s="130"/>
      <c r="DC41" s="130"/>
      <c r="DD41" s="130"/>
      <c r="DE41" s="130"/>
      <c r="DF41" s="130"/>
      <c r="DG41" s="130"/>
      <c r="DH41" s="130"/>
      <c r="DI41" s="130"/>
      <c r="DJ41" s="130"/>
      <c r="DK41" s="130"/>
      <c r="DL41" s="130"/>
      <c r="DM41" s="130"/>
      <c r="DN41" s="130"/>
      <c r="DO41" s="130"/>
      <c r="DP41" s="130"/>
      <c r="DQ41" s="130"/>
      <c r="DR41" s="130"/>
      <c r="DS41" s="130"/>
      <c r="DT41" s="130"/>
      <c r="DU41" s="130"/>
      <c r="DV41" s="130"/>
      <c r="DW41" s="130"/>
      <c r="DX41" s="130"/>
      <c r="DY41" s="130"/>
      <c r="DZ41" s="130"/>
      <c r="EA41" s="130"/>
      <c r="EB41" s="130"/>
      <c r="EC41" s="130"/>
      <c r="ED41" s="130"/>
      <c r="EE41" s="130"/>
      <c r="EF41" s="130"/>
      <c r="EG41" s="130"/>
      <c r="EH41" s="130"/>
      <c r="EI41" s="130"/>
      <c r="EJ41" s="130"/>
      <c r="EK41" s="130"/>
      <c r="EL41" s="130"/>
      <c r="EM41" s="130"/>
      <c r="EN41" s="130"/>
      <c r="EO41" s="130"/>
      <c r="EP41" s="130"/>
      <c r="EQ41" s="130"/>
      <c r="ER41" s="130"/>
      <c r="ES41" s="130"/>
      <c r="ET41" s="130"/>
      <c r="EU41" s="130"/>
      <c r="EV41" s="130"/>
      <c r="EW41" s="130"/>
      <c r="EX41" s="130"/>
      <c r="EY41" s="130"/>
      <c r="EZ41" s="130"/>
      <c r="FA41" s="130"/>
      <c r="FB41" s="130"/>
      <c r="FC41" s="130"/>
      <c r="FD41" s="130"/>
      <c r="FE41" s="130"/>
      <c r="FF41" s="130"/>
      <c r="FG41" s="130"/>
      <c r="FH41" s="130"/>
      <c r="FI41" s="130"/>
      <c r="FJ41" s="130"/>
      <c r="FK41" s="130"/>
      <c r="FL41" s="130"/>
      <c r="FM41" s="130"/>
      <c r="FN41" s="130"/>
      <c r="FO41" s="130"/>
      <c r="FP41" s="130"/>
      <c r="FQ41" s="130"/>
      <c r="FR41" s="130"/>
      <c r="FS41" s="130"/>
      <c r="FT41" s="130"/>
      <c r="FU41" s="130"/>
      <c r="FV41" s="130"/>
      <c r="FW41" s="130"/>
      <c r="FX41" s="130"/>
      <c r="FY41" s="130"/>
      <c r="FZ41" s="130"/>
      <c r="GA41" s="130"/>
      <c r="GB41" s="130"/>
      <c r="GC41" s="130"/>
      <c r="GD41" s="130"/>
      <c r="GE41" s="130"/>
      <c r="GF41" s="130"/>
      <c r="GG41" s="130"/>
      <c r="GH41" s="130"/>
      <c r="GI41" s="130"/>
      <c r="GJ41" s="130"/>
      <c r="GK41" s="130"/>
      <c r="GL41" s="130"/>
      <c r="GM41" s="130"/>
      <c r="GN41" s="130"/>
      <c r="GO41" s="130"/>
      <c r="GP41" s="130"/>
      <c r="GQ41" s="130"/>
      <c r="GR41" s="130"/>
      <c r="GS41" s="130"/>
      <c r="GT41" s="130"/>
      <c r="GU41" s="130"/>
      <c r="GV41" s="130"/>
      <c r="GW41" s="130"/>
      <c r="GX41" s="130"/>
      <c r="GY41" s="130"/>
      <c r="GZ41" s="130"/>
      <c r="HA41" s="130"/>
      <c r="HB41" s="130"/>
      <c r="HC41" s="130"/>
      <c r="HD41" s="130"/>
      <c r="HE41" s="130"/>
      <c r="HF41" s="130"/>
      <c r="HG41" s="130"/>
      <c r="HH41" s="130"/>
      <c r="HI41" s="130"/>
      <c r="HJ41" s="130"/>
      <c r="HK41" s="130"/>
      <c r="HL41" s="130"/>
      <c r="HM41" s="130"/>
      <c r="HN41" s="130"/>
      <c r="HO41" s="130"/>
      <c r="HP41" s="130"/>
      <c r="HQ41" s="130"/>
      <c r="HR41" s="130"/>
      <c r="HS41" s="130"/>
      <c r="HT41" s="130"/>
      <c r="HU41" s="130"/>
      <c r="HV41" s="130"/>
      <c r="HW41" s="130"/>
      <c r="HX41" s="130"/>
      <c r="HY41" s="130"/>
      <c r="HZ41" s="130"/>
      <c r="IA41" s="130"/>
      <c r="IB41" s="130"/>
    </row>
    <row r="42" spans="1:236" ht="6" customHeight="1">
      <c r="O42" s="1300"/>
      <c r="P42" s="548"/>
      <c r="Q42" s="548"/>
      <c r="R42" s="548"/>
      <c r="S42" s="548"/>
      <c r="U42" s="558"/>
      <c r="V42" s="548"/>
      <c r="W42" s="548"/>
      <c r="X42" s="548"/>
      <c r="Y42" s="548"/>
      <c r="Z42" s="548"/>
      <c r="AA42" s="548"/>
      <c r="AB42" s="548"/>
      <c r="AC42" s="548"/>
      <c r="AD42" s="548"/>
      <c r="AE42" s="548"/>
      <c r="AF42" s="548"/>
      <c r="AG42" s="548"/>
      <c r="AH42" s="548"/>
      <c r="AI42" s="548"/>
      <c r="AJ42" s="548"/>
      <c r="AK42" s="548"/>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c r="BW42" s="130"/>
      <c r="BX42" s="130"/>
      <c r="BY42" s="130"/>
      <c r="BZ42" s="130"/>
      <c r="CA42" s="130"/>
      <c r="CB42" s="130"/>
      <c r="CC42" s="130"/>
      <c r="CD42" s="130"/>
      <c r="CE42" s="130"/>
      <c r="CF42" s="130"/>
      <c r="CG42" s="130"/>
      <c r="CH42" s="130"/>
      <c r="CI42" s="130"/>
      <c r="CJ42" s="130"/>
      <c r="CK42" s="130"/>
      <c r="CL42" s="130"/>
      <c r="CM42" s="130"/>
      <c r="CN42" s="130"/>
      <c r="CO42" s="130"/>
      <c r="CP42" s="130"/>
      <c r="CQ42" s="130"/>
      <c r="CR42" s="130"/>
      <c r="CS42" s="130"/>
      <c r="CT42" s="130"/>
      <c r="CU42" s="130"/>
      <c r="CV42" s="130"/>
      <c r="CW42" s="130"/>
      <c r="CX42" s="130"/>
      <c r="CY42" s="130"/>
      <c r="CZ42" s="130"/>
      <c r="DA42" s="130"/>
      <c r="DB42" s="130"/>
      <c r="DC42" s="130"/>
      <c r="DD42" s="130"/>
      <c r="DE42" s="130"/>
      <c r="DF42" s="130"/>
      <c r="DG42" s="130"/>
      <c r="DH42" s="130"/>
      <c r="DI42" s="130"/>
      <c r="DJ42" s="130"/>
      <c r="DK42" s="130"/>
      <c r="DL42" s="130"/>
      <c r="DM42" s="130"/>
      <c r="DN42" s="130"/>
      <c r="DO42" s="130"/>
      <c r="DP42" s="130"/>
      <c r="DQ42" s="130"/>
      <c r="DR42" s="130"/>
      <c r="DS42" s="130"/>
      <c r="DT42" s="130"/>
      <c r="DU42" s="130"/>
      <c r="DV42" s="130"/>
      <c r="DW42" s="130"/>
      <c r="DX42" s="130"/>
      <c r="DY42" s="130"/>
      <c r="DZ42" s="130"/>
      <c r="EA42" s="130"/>
      <c r="EB42" s="130"/>
      <c r="EC42" s="130"/>
      <c r="ED42" s="130"/>
      <c r="EE42" s="130"/>
      <c r="EF42" s="130"/>
      <c r="EG42" s="130"/>
      <c r="EH42" s="130"/>
      <c r="EI42" s="130"/>
      <c r="EJ42" s="130"/>
      <c r="EK42" s="130"/>
      <c r="EL42" s="130"/>
      <c r="EM42" s="130"/>
      <c r="EN42" s="130"/>
      <c r="EO42" s="130"/>
      <c r="EP42" s="130"/>
      <c r="EQ42" s="130"/>
      <c r="ER42" s="130"/>
      <c r="ES42" s="130"/>
      <c r="ET42" s="130"/>
      <c r="EU42" s="130"/>
      <c r="EV42" s="130"/>
      <c r="EW42" s="130"/>
      <c r="EX42" s="130"/>
      <c r="EY42" s="130"/>
      <c r="EZ42" s="130"/>
      <c r="FA42" s="130"/>
      <c r="FB42" s="130"/>
      <c r="FC42" s="130"/>
      <c r="FD42" s="130"/>
      <c r="FE42" s="130"/>
      <c r="FF42" s="130"/>
      <c r="FG42" s="130"/>
      <c r="FH42" s="130"/>
      <c r="FI42" s="130"/>
      <c r="FJ42" s="130"/>
      <c r="FK42" s="130"/>
      <c r="FL42" s="130"/>
      <c r="FM42" s="130"/>
      <c r="FN42" s="130"/>
      <c r="FO42" s="130"/>
      <c r="FP42" s="130"/>
      <c r="FQ42" s="130"/>
      <c r="FR42" s="130"/>
      <c r="FS42" s="130"/>
      <c r="FT42" s="130"/>
      <c r="FU42" s="130"/>
      <c r="FV42" s="130"/>
      <c r="FW42" s="130"/>
      <c r="FX42" s="130"/>
      <c r="FY42" s="130"/>
      <c r="FZ42" s="130"/>
      <c r="GA42" s="130"/>
      <c r="GB42" s="130"/>
      <c r="GC42" s="130"/>
      <c r="GD42" s="130"/>
      <c r="GE42" s="130"/>
      <c r="GF42" s="130"/>
      <c r="GG42" s="130"/>
      <c r="GH42" s="130"/>
      <c r="GI42" s="130"/>
      <c r="GJ42" s="130"/>
      <c r="GK42" s="130"/>
      <c r="GL42" s="130"/>
      <c r="GM42" s="130"/>
      <c r="GN42" s="130"/>
      <c r="GO42" s="130"/>
      <c r="GP42" s="130"/>
      <c r="GQ42" s="130"/>
      <c r="GR42" s="130"/>
      <c r="GS42" s="130"/>
      <c r="GT42" s="130"/>
      <c r="GU42" s="130"/>
      <c r="GV42" s="130"/>
      <c r="GW42" s="130"/>
      <c r="GX42" s="130"/>
      <c r="GY42" s="130"/>
      <c r="GZ42" s="130"/>
      <c r="HA42" s="130"/>
      <c r="HB42" s="130"/>
      <c r="HC42" s="130"/>
      <c r="HD42" s="130"/>
      <c r="HE42" s="130"/>
      <c r="HF42" s="130"/>
      <c r="HG42" s="130"/>
      <c r="HH42" s="130"/>
      <c r="HI42" s="130"/>
      <c r="HJ42" s="130"/>
      <c r="HK42" s="130"/>
      <c r="HL42" s="130"/>
      <c r="HM42" s="130"/>
      <c r="HN42" s="130"/>
      <c r="HO42" s="130"/>
      <c r="HP42" s="130"/>
      <c r="HQ42" s="130"/>
      <c r="HR42" s="130"/>
      <c r="HS42" s="130"/>
      <c r="HT42" s="130"/>
      <c r="HU42" s="130"/>
      <c r="HV42" s="130"/>
      <c r="HW42" s="130"/>
      <c r="HX42" s="130"/>
      <c r="HY42" s="130"/>
      <c r="HZ42" s="130"/>
      <c r="IA42" s="130"/>
      <c r="IB42" s="130"/>
    </row>
    <row r="43" spans="1:236" ht="6" customHeight="1">
      <c r="A43" s="130"/>
      <c r="I43" s="205"/>
      <c r="J43" s="205"/>
      <c r="K43" s="205"/>
      <c r="L43" s="205"/>
      <c r="N43" s="556"/>
      <c r="O43" s="1301"/>
      <c r="P43" s="548"/>
      <c r="Q43" s="548"/>
      <c r="R43" s="548"/>
      <c r="S43" s="548"/>
      <c r="U43" s="549"/>
      <c r="V43" s="548"/>
      <c r="W43" s="548"/>
      <c r="X43" s="548"/>
      <c r="Y43" s="548"/>
      <c r="Z43" s="548"/>
      <c r="AA43" s="548"/>
      <c r="AB43" s="548"/>
      <c r="AC43" s="548"/>
      <c r="AD43" s="548"/>
      <c r="AE43" s="548"/>
      <c r="AF43" s="548"/>
      <c r="AG43" s="548"/>
      <c r="AH43" s="548"/>
      <c r="AI43" s="548"/>
      <c r="AJ43" s="548"/>
      <c r="AK43" s="548"/>
      <c r="AL43" s="130"/>
      <c r="AM43" s="130"/>
      <c r="AN43" s="130"/>
      <c r="AO43" s="130"/>
      <c r="AP43" s="130"/>
      <c r="AQ43" s="130"/>
      <c r="AR43" s="130"/>
      <c r="AS43" s="130"/>
      <c r="AT43" s="130"/>
      <c r="AU43" s="130"/>
      <c r="AV43" s="130"/>
      <c r="AW43" s="130"/>
      <c r="AX43" s="130"/>
      <c r="AY43" s="130"/>
      <c r="AZ43" s="130"/>
      <c r="BA43" s="130"/>
      <c r="BB43" s="130"/>
      <c r="BC43" s="130"/>
      <c r="BD43" s="130"/>
      <c r="BE43" s="130"/>
      <c r="BF43" s="130"/>
      <c r="BG43" s="130"/>
      <c r="BH43" s="130"/>
      <c r="BI43" s="130"/>
      <c r="BJ43" s="130"/>
      <c r="BK43" s="130"/>
      <c r="BL43" s="130"/>
      <c r="BM43" s="130"/>
      <c r="BN43" s="130"/>
      <c r="BO43" s="130"/>
      <c r="BP43" s="130"/>
      <c r="BQ43" s="130"/>
      <c r="BR43" s="130"/>
      <c r="BS43" s="130"/>
      <c r="BT43" s="130"/>
      <c r="BU43" s="130"/>
      <c r="BV43" s="130"/>
      <c r="BW43" s="130"/>
      <c r="BX43" s="130"/>
      <c r="BY43" s="130"/>
      <c r="BZ43" s="130"/>
      <c r="CA43" s="130"/>
      <c r="CB43" s="130"/>
      <c r="CC43" s="130"/>
      <c r="CD43" s="130"/>
      <c r="CE43" s="130"/>
      <c r="CF43" s="130"/>
      <c r="CG43" s="130"/>
      <c r="CH43" s="130"/>
      <c r="CI43" s="130"/>
      <c r="CJ43" s="130"/>
      <c r="CK43" s="130"/>
      <c r="CL43" s="130"/>
      <c r="CM43" s="130"/>
      <c r="CN43" s="130"/>
      <c r="CO43" s="130"/>
      <c r="CP43" s="130"/>
      <c r="CQ43" s="130"/>
      <c r="CR43" s="130"/>
      <c r="CS43" s="130"/>
      <c r="CT43" s="130"/>
      <c r="CU43" s="130"/>
      <c r="CV43" s="130"/>
      <c r="CW43" s="130"/>
      <c r="CX43" s="130"/>
      <c r="CY43" s="130"/>
      <c r="CZ43" s="130"/>
      <c r="DA43" s="130"/>
      <c r="DB43" s="130"/>
      <c r="DC43" s="130"/>
      <c r="DD43" s="130"/>
      <c r="DE43" s="130"/>
      <c r="DF43" s="130"/>
      <c r="DG43" s="130"/>
      <c r="DH43" s="130"/>
      <c r="DI43" s="130"/>
      <c r="DJ43" s="130"/>
      <c r="DK43" s="130"/>
      <c r="DL43" s="130"/>
      <c r="DM43" s="130"/>
      <c r="DN43" s="130"/>
      <c r="DO43" s="130"/>
      <c r="DP43" s="130"/>
      <c r="DQ43" s="130"/>
      <c r="DR43" s="130"/>
      <c r="DS43" s="130"/>
      <c r="DT43" s="130"/>
      <c r="DU43" s="130"/>
      <c r="DV43" s="130"/>
      <c r="DW43" s="130"/>
      <c r="DX43" s="130"/>
      <c r="DY43" s="130"/>
      <c r="DZ43" s="130"/>
      <c r="EA43" s="130"/>
      <c r="EB43" s="130"/>
      <c r="EC43" s="130"/>
      <c r="ED43" s="130"/>
      <c r="EE43" s="130"/>
      <c r="EF43" s="130"/>
      <c r="EG43" s="130"/>
      <c r="EH43" s="130"/>
      <c r="EI43" s="130"/>
      <c r="EJ43" s="130"/>
      <c r="EK43" s="130"/>
      <c r="EL43" s="130"/>
      <c r="EM43" s="130"/>
      <c r="EN43" s="130"/>
      <c r="EO43" s="130"/>
      <c r="EP43" s="130"/>
      <c r="EQ43" s="130"/>
      <c r="ER43" s="130"/>
      <c r="ES43" s="130"/>
      <c r="ET43" s="130"/>
      <c r="EU43" s="130"/>
      <c r="EV43" s="130"/>
      <c r="EW43" s="130"/>
      <c r="EX43" s="130"/>
      <c r="EY43" s="130"/>
      <c r="EZ43" s="130"/>
      <c r="FA43" s="130"/>
      <c r="FB43" s="130"/>
      <c r="FC43" s="130"/>
      <c r="FD43" s="130"/>
      <c r="FE43" s="130"/>
      <c r="FF43" s="130"/>
      <c r="FG43" s="130"/>
      <c r="FH43" s="130"/>
      <c r="FI43" s="130"/>
      <c r="FJ43" s="130"/>
      <c r="FK43" s="130"/>
      <c r="FL43" s="130"/>
      <c r="FM43" s="130"/>
      <c r="FN43" s="130"/>
      <c r="FO43" s="130"/>
      <c r="FP43" s="130"/>
      <c r="FQ43" s="130"/>
      <c r="FR43" s="130"/>
      <c r="FS43" s="130"/>
      <c r="FT43" s="130"/>
      <c r="FU43" s="130"/>
      <c r="FV43" s="130"/>
      <c r="FW43" s="130"/>
      <c r="FX43" s="130"/>
      <c r="FY43" s="130"/>
      <c r="FZ43" s="130"/>
      <c r="GA43" s="130"/>
      <c r="GB43" s="130"/>
      <c r="GC43" s="130"/>
      <c r="GD43" s="130"/>
      <c r="GE43" s="130"/>
      <c r="GF43" s="130"/>
      <c r="GG43" s="130"/>
      <c r="GH43" s="130"/>
      <c r="GI43" s="130"/>
      <c r="GJ43" s="130"/>
      <c r="GK43" s="130"/>
      <c r="GL43" s="130"/>
      <c r="GM43" s="130"/>
      <c r="GN43" s="130"/>
      <c r="GO43" s="130"/>
      <c r="GP43" s="130"/>
      <c r="GQ43" s="130"/>
      <c r="GR43" s="130"/>
      <c r="GS43" s="130"/>
      <c r="GT43" s="130"/>
      <c r="GU43" s="130"/>
      <c r="GV43" s="130"/>
      <c r="GW43" s="130"/>
      <c r="GX43" s="130"/>
      <c r="GY43" s="130"/>
      <c r="GZ43" s="130"/>
      <c r="HA43" s="130"/>
      <c r="HB43" s="130"/>
      <c r="HC43" s="130"/>
      <c r="HD43" s="130"/>
      <c r="HE43" s="130"/>
      <c r="HF43" s="130"/>
      <c r="HG43" s="130"/>
      <c r="HH43" s="130"/>
      <c r="HI43" s="130"/>
      <c r="HJ43" s="130"/>
      <c r="HK43" s="130"/>
      <c r="HL43" s="130"/>
      <c r="HM43" s="130"/>
      <c r="HN43" s="130"/>
      <c r="HO43" s="130"/>
      <c r="HP43" s="130"/>
      <c r="HQ43" s="130"/>
      <c r="HR43" s="130"/>
      <c r="HS43" s="130"/>
      <c r="HT43" s="130"/>
      <c r="HU43" s="130"/>
      <c r="HV43" s="130"/>
      <c r="HW43" s="130"/>
      <c r="HX43" s="130"/>
      <c r="HY43" s="130"/>
      <c r="HZ43" s="130"/>
      <c r="IA43" s="130"/>
      <c r="IB43" s="130"/>
    </row>
    <row r="44" spans="1:236" s="1389" customFormat="1" ht="13">
      <c r="A44" s="1388" t="s">
        <v>1</v>
      </c>
      <c r="H44" s="1390"/>
      <c r="I44" s="1390"/>
      <c r="J44" s="1390"/>
      <c r="N44" s="1391"/>
      <c r="O44" s="1392"/>
      <c r="P44" s="1393"/>
      <c r="Q44" s="1393"/>
      <c r="R44" s="1393"/>
      <c r="S44" s="1393"/>
      <c r="T44" s="1393"/>
      <c r="U44" s="1394"/>
      <c r="V44" s="1393"/>
      <c r="W44" s="1393"/>
      <c r="X44" s="1395"/>
      <c r="Y44" s="1396"/>
      <c r="Z44" s="1393"/>
      <c r="AA44" s="1393"/>
      <c r="AB44" s="1393"/>
      <c r="AC44" s="1393"/>
      <c r="AD44" s="1393"/>
      <c r="AE44" s="1393"/>
      <c r="AF44" s="1393"/>
      <c r="AG44" s="1393"/>
      <c r="AH44" s="1393"/>
      <c r="AI44" s="1393"/>
      <c r="AJ44" s="1393"/>
      <c r="AK44" s="1393"/>
    </row>
    <row r="45" spans="1:236" s="1389" customFormat="1" ht="13">
      <c r="A45" s="1497" t="s">
        <v>1264</v>
      </c>
      <c r="B45" s="666"/>
      <c r="C45" s="666"/>
      <c r="D45" s="666"/>
      <c r="E45" s="666"/>
      <c r="F45" s="666"/>
      <c r="G45" s="666"/>
      <c r="H45" s="666"/>
      <c r="I45" s="666"/>
      <c r="J45" s="666"/>
      <c r="K45" s="666"/>
      <c r="L45" s="666"/>
      <c r="M45" s="666"/>
      <c r="N45" s="1406"/>
      <c r="O45" s="1406"/>
      <c r="P45" s="1406"/>
      <c r="Q45" s="1406"/>
      <c r="R45" s="1406"/>
      <c r="S45" s="1406"/>
      <c r="T45" s="1393"/>
      <c r="U45" s="1401"/>
      <c r="V45" s="1393"/>
      <c r="W45" s="1393"/>
      <c r="X45" s="1405"/>
      <c r="Y45" s="1393"/>
      <c r="Z45" s="1393"/>
      <c r="AA45" s="1393"/>
      <c r="AB45" s="1393"/>
      <c r="AC45" s="1393"/>
      <c r="AD45" s="1393"/>
      <c r="AE45" s="1393"/>
      <c r="AF45" s="1393"/>
      <c r="AG45" s="1393"/>
      <c r="AH45" s="1393"/>
      <c r="AI45" s="1393"/>
      <c r="AJ45" s="1393"/>
      <c r="AK45" s="1393"/>
    </row>
    <row r="46" spans="1:236" s="1389" customFormat="1" ht="13">
      <c r="A46" s="1498" t="s">
        <v>1334</v>
      </c>
      <c r="B46" s="1398"/>
      <c r="C46" s="1398"/>
      <c r="D46" s="1398"/>
      <c r="E46" s="1398"/>
      <c r="F46" s="1398"/>
      <c r="G46" s="1398"/>
      <c r="H46" s="1398"/>
      <c r="I46" s="1398"/>
      <c r="J46" s="1398"/>
      <c r="K46" s="1398"/>
      <c r="L46" s="1398"/>
      <c r="N46" s="1399"/>
      <c r="O46" s="1400"/>
      <c r="P46" s="1393"/>
      <c r="Q46" s="1393"/>
      <c r="R46" s="1393"/>
      <c r="S46" s="1393"/>
      <c r="T46" s="1393"/>
      <c r="U46" s="1401"/>
      <c r="V46" s="1393"/>
      <c r="W46" s="1393"/>
      <c r="X46" s="1393"/>
      <c r="Y46" s="1396"/>
      <c r="Z46" s="1393"/>
      <c r="AA46" s="1393"/>
      <c r="AB46" s="1393"/>
      <c r="AC46" s="1393"/>
      <c r="AD46" s="1393"/>
      <c r="AE46" s="1393"/>
      <c r="AF46" s="1393"/>
      <c r="AG46" s="1393"/>
      <c r="AH46" s="1393"/>
      <c r="AI46" s="1393"/>
      <c r="AJ46" s="1393"/>
      <c r="AK46" s="1393"/>
    </row>
    <row r="47" spans="1:236" s="1389" customFormat="1" ht="13">
      <c r="A47" s="1497" t="s">
        <v>1335</v>
      </c>
      <c r="B47" s="1398"/>
      <c r="C47" s="1398"/>
      <c r="D47" s="1398"/>
      <c r="E47" s="1398"/>
      <c r="F47" s="1398"/>
      <c r="G47" s="1398"/>
      <c r="H47" s="1398"/>
      <c r="I47" s="1398"/>
      <c r="J47" s="1398"/>
      <c r="K47" s="1398"/>
      <c r="L47" s="1398"/>
      <c r="N47" s="1399"/>
      <c r="O47" s="1400"/>
      <c r="P47" s="1393"/>
      <c r="Q47" s="1393"/>
      <c r="R47" s="1393"/>
      <c r="S47" s="1393"/>
      <c r="T47" s="1393"/>
      <c r="U47" s="1401"/>
      <c r="V47" s="1393"/>
      <c r="W47" s="1393"/>
      <c r="X47" s="1393"/>
      <c r="Y47" s="1396"/>
      <c r="Z47" s="1393"/>
      <c r="AA47" s="1393"/>
      <c r="AB47" s="1393"/>
      <c r="AC47" s="1393"/>
      <c r="AD47" s="1393"/>
      <c r="AE47" s="1393"/>
      <c r="AF47" s="1393"/>
      <c r="AG47" s="1393"/>
      <c r="AH47" s="1393"/>
      <c r="AI47" s="1393"/>
      <c r="AJ47" s="1393"/>
      <c r="AK47" s="1393"/>
    </row>
    <row r="48" spans="1:236" s="1389" customFormat="1" ht="13">
      <c r="A48" s="1497" t="s">
        <v>1336</v>
      </c>
      <c r="B48" s="1402"/>
      <c r="C48" s="1402"/>
      <c r="D48" s="1402"/>
      <c r="E48" s="1402"/>
      <c r="F48" s="1402"/>
      <c r="G48" s="1402"/>
      <c r="H48" s="1402"/>
      <c r="I48" s="1402"/>
      <c r="J48" s="1402"/>
      <c r="K48" s="1402"/>
      <c r="L48" s="1402"/>
      <c r="M48" s="1402"/>
      <c r="N48" s="1403"/>
      <c r="O48" s="1404"/>
      <c r="P48" s="1403"/>
      <c r="Q48" s="1403"/>
      <c r="R48" s="1393"/>
      <c r="S48" s="1393"/>
      <c r="T48" s="1393"/>
      <c r="U48" s="1401"/>
      <c r="V48" s="1393"/>
      <c r="W48" s="1393"/>
      <c r="X48" s="1405"/>
      <c r="Y48" s="1393"/>
      <c r="Z48" s="1393"/>
      <c r="AA48" s="1393"/>
      <c r="AB48" s="1393"/>
      <c r="AC48" s="1393"/>
      <c r="AD48" s="1393"/>
      <c r="AE48" s="1393"/>
      <c r="AF48" s="1393"/>
      <c r="AG48" s="1393"/>
      <c r="AH48" s="1393"/>
      <c r="AI48" s="1393"/>
      <c r="AJ48" s="1393"/>
      <c r="AK48" s="1393"/>
    </row>
    <row r="49" spans="1:236" s="1389" customFormat="1" ht="13">
      <c r="A49" s="1499" t="s">
        <v>1178</v>
      </c>
      <c r="B49" s="1398"/>
      <c r="C49" s="1398"/>
      <c r="D49" s="1398"/>
      <c r="E49" s="1398"/>
      <c r="F49" s="1398"/>
      <c r="G49" s="1398"/>
      <c r="H49" s="1398"/>
      <c r="I49" s="1398"/>
      <c r="J49" s="1398"/>
      <c r="K49" s="1398"/>
      <c r="L49" s="1398"/>
      <c r="N49" s="1399"/>
      <c r="O49" s="1400"/>
      <c r="P49" s="1393"/>
      <c r="Q49" s="1393"/>
      <c r="R49" s="1393"/>
      <c r="S49" s="1393"/>
      <c r="T49" s="1393"/>
      <c r="U49" s="1401"/>
      <c r="V49" s="1393"/>
      <c r="W49" s="1393"/>
      <c r="X49" s="1393"/>
      <c r="Y49" s="1391"/>
      <c r="Z49" s="1393"/>
      <c r="AA49" s="1393"/>
      <c r="AB49" s="1393"/>
      <c r="AC49" s="1393"/>
      <c r="AD49" s="1393"/>
      <c r="AE49" s="1393"/>
      <c r="AF49" s="1393"/>
      <c r="AG49" s="1393"/>
      <c r="AH49" s="1393"/>
      <c r="AI49" s="1393"/>
      <c r="AJ49" s="1393"/>
      <c r="AK49" s="1393"/>
    </row>
    <row r="50" spans="1:236" s="1389" customFormat="1" ht="13">
      <c r="A50" s="1410" t="s">
        <v>1337</v>
      </c>
      <c r="B50" s="1407"/>
      <c r="C50" s="1407"/>
      <c r="D50" s="1407"/>
      <c r="E50" s="1407"/>
      <c r="F50" s="1407"/>
      <c r="G50" s="1407"/>
      <c r="H50" s="1407"/>
      <c r="I50" s="1407"/>
      <c r="J50" s="1407"/>
      <c r="K50" s="1407"/>
      <c r="L50" s="1407"/>
      <c r="M50" s="1407"/>
      <c r="N50" s="1408"/>
      <c r="O50" s="1409"/>
      <c r="P50" s="1408"/>
      <c r="Q50" s="1408"/>
      <c r="R50" s="1393"/>
      <c r="S50" s="1393"/>
      <c r="T50" s="1393"/>
      <c r="U50" s="1401"/>
      <c r="V50" s="1393"/>
      <c r="W50" s="1393"/>
      <c r="X50" s="1393"/>
      <c r="Y50" s="1393"/>
      <c r="Z50" s="1393"/>
      <c r="AA50" s="1393"/>
      <c r="AB50" s="1393"/>
      <c r="AC50" s="1393"/>
      <c r="AD50" s="1393"/>
      <c r="AE50" s="1393"/>
      <c r="AF50" s="1393"/>
      <c r="AG50" s="1393"/>
      <c r="AH50" s="1393"/>
      <c r="AI50" s="1393"/>
      <c r="AJ50" s="1393"/>
      <c r="AK50" s="1393"/>
    </row>
    <row r="51" spans="1:236" s="1389" customFormat="1" ht="13">
      <c r="A51" s="1497" t="s">
        <v>1338</v>
      </c>
      <c r="B51" s="1407"/>
      <c r="C51" s="1407"/>
      <c r="D51" s="1407"/>
      <c r="E51" s="1407"/>
      <c r="F51" s="1407"/>
      <c r="G51" s="1407"/>
      <c r="H51" s="1407"/>
      <c r="I51" s="1407"/>
      <c r="J51" s="1407"/>
      <c r="K51" s="1407"/>
      <c r="L51" s="1407"/>
      <c r="M51" s="1407"/>
      <c r="N51" s="1408"/>
      <c r="O51" s="1409"/>
      <c r="P51" s="1408"/>
      <c r="Q51" s="1408"/>
      <c r="R51" s="1393"/>
      <c r="S51" s="1393"/>
      <c r="T51" s="1393"/>
      <c r="U51" s="1401"/>
      <c r="V51" s="1393"/>
      <c r="W51" s="1393"/>
      <c r="X51" s="1393"/>
      <c r="Y51" s="1393"/>
      <c r="Z51" s="1393"/>
      <c r="AA51" s="1393"/>
      <c r="AB51" s="1393"/>
      <c r="AC51" s="1393"/>
      <c r="AD51" s="1393"/>
      <c r="AE51" s="1393"/>
      <c r="AF51" s="1393"/>
      <c r="AG51" s="1393"/>
      <c r="AH51" s="1393"/>
      <c r="AI51" s="1393"/>
      <c r="AJ51" s="1393"/>
      <c r="AK51" s="1393"/>
    </row>
    <row r="52" spans="1:236" s="1415" customFormat="1" ht="13">
      <c r="A52" s="1410"/>
      <c r="B52" s="1411"/>
      <c r="C52" s="1411"/>
      <c r="D52" s="1411"/>
      <c r="E52" s="1411"/>
      <c r="F52" s="1411"/>
      <c r="G52" s="1411"/>
      <c r="H52" s="1411"/>
      <c r="I52" s="1411"/>
      <c r="J52" s="1411"/>
      <c r="K52" s="1412"/>
      <c r="L52" s="1412"/>
      <c r="M52" s="1412"/>
      <c r="N52" s="1409"/>
      <c r="O52" s="1409"/>
      <c r="P52" s="1409"/>
      <c r="Q52" s="1409"/>
      <c r="R52" s="1409"/>
      <c r="S52" s="1413"/>
      <c r="T52" s="1413"/>
      <c r="U52" s="1413"/>
      <c r="V52" s="1414"/>
      <c r="W52" s="1413"/>
      <c r="X52" s="1413"/>
      <c r="Y52" s="1413"/>
      <c r="Z52" s="1413"/>
      <c r="AA52" s="1413"/>
      <c r="AB52" s="1413"/>
      <c r="AC52" s="1413"/>
      <c r="AD52" s="1413"/>
      <c r="AE52" s="1413"/>
      <c r="AF52" s="1413"/>
      <c r="AG52" s="1413"/>
      <c r="AH52" s="1413"/>
      <c r="AI52" s="1413"/>
      <c r="AJ52" s="1413"/>
      <c r="AK52" s="1413"/>
      <c r="AL52" s="1413"/>
    </row>
    <row r="53" spans="1:236" s="1389" customFormat="1" ht="13">
      <c r="A53" s="1397"/>
      <c r="B53" s="1398"/>
      <c r="C53" s="1398"/>
      <c r="D53" s="1398"/>
      <c r="E53" s="1398"/>
      <c r="F53" s="1398"/>
      <c r="G53" s="1398"/>
      <c r="H53" s="1398"/>
      <c r="I53" s="1398"/>
      <c r="J53" s="1398"/>
      <c r="K53" s="1398"/>
      <c r="L53" s="1398"/>
      <c r="N53" s="1399"/>
      <c r="O53" s="1400"/>
      <c r="P53" s="1393"/>
      <c r="Q53" s="1393"/>
      <c r="R53" s="1393"/>
      <c r="S53" s="1393"/>
      <c r="T53" s="1393"/>
      <c r="U53" s="1401"/>
      <c r="V53" s="1393"/>
      <c r="W53" s="1393"/>
      <c r="X53" s="1393"/>
      <c r="Y53" s="1393"/>
      <c r="Z53" s="1393"/>
      <c r="AA53" s="1393"/>
      <c r="AB53" s="1393"/>
      <c r="AC53" s="1393"/>
      <c r="AD53" s="1393"/>
      <c r="AE53" s="1393"/>
      <c r="AF53" s="1393"/>
      <c r="AG53" s="1393"/>
      <c r="AH53" s="1393"/>
      <c r="AI53" s="1393"/>
      <c r="AJ53" s="1393"/>
      <c r="AK53" s="1393"/>
    </row>
    <row r="54" spans="1:236" s="667" customFormat="1" ht="12.75" customHeight="1">
      <c r="A54" s="745" t="s">
        <v>927</v>
      </c>
      <c r="B54" s="668"/>
      <c r="C54" s="668"/>
      <c r="D54" s="668"/>
      <c r="E54" s="669"/>
      <c r="N54" s="1035"/>
      <c r="O54" s="1035"/>
    </row>
    <row r="55" spans="1:236" s="1282" customFormat="1" ht="14.15" customHeight="1">
      <c r="B55" s="1283"/>
      <c r="C55" s="1283"/>
      <c r="D55" s="1283"/>
      <c r="E55" s="1283"/>
      <c r="F55" s="1283"/>
      <c r="G55" s="1283"/>
      <c r="H55" s="1284">
        <f>H13+H28</f>
        <v>4830257000</v>
      </c>
      <c r="I55" s="1284">
        <f>I13+I28</f>
        <v>5430232000</v>
      </c>
      <c r="M55" s="1285"/>
      <c r="N55" s="1286"/>
      <c r="O55" s="1302"/>
      <c r="P55" s="1287"/>
      <c r="Q55" s="1287"/>
      <c r="R55" s="1287"/>
      <c r="S55" s="1287"/>
      <c r="T55" s="1287"/>
      <c r="U55" s="1288"/>
      <c r="Y55" s="1285"/>
      <c r="Z55" s="1285"/>
      <c r="AA55" s="1285"/>
      <c r="AB55" s="1285"/>
      <c r="AC55" s="1285"/>
      <c r="AD55" s="1285"/>
      <c r="AE55" s="1285"/>
      <c r="AF55" s="1285"/>
      <c r="AG55" s="1285"/>
      <c r="AH55" s="1285"/>
      <c r="AI55" s="1285"/>
      <c r="AJ55" s="1285"/>
      <c r="AK55" s="1285"/>
      <c r="AL55" s="1285"/>
      <c r="AM55" s="1285"/>
      <c r="AN55" s="1285"/>
      <c r="AO55" s="1285"/>
      <c r="AP55" s="1285"/>
      <c r="AQ55" s="1285"/>
      <c r="AR55" s="1285"/>
      <c r="AS55" s="1285"/>
      <c r="AT55" s="1285"/>
      <c r="AU55" s="1285"/>
      <c r="AV55" s="1285"/>
      <c r="AW55" s="1285"/>
      <c r="AX55" s="1285"/>
      <c r="AY55" s="1285"/>
      <c r="AZ55" s="1285"/>
      <c r="BA55" s="1285"/>
      <c r="BB55" s="1285"/>
      <c r="BC55" s="1285"/>
      <c r="BD55" s="1285"/>
      <c r="BE55" s="1285"/>
      <c r="BF55" s="1285"/>
      <c r="BG55" s="1285"/>
      <c r="BH55" s="1285"/>
      <c r="BI55" s="1285"/>
      <c r="BJ55" s="1285"/>
      <c r="BK55" s="1285"/>
      <c r="BL55" s="1285"/>
      <c r="BM55" s="1285"/>
      <c r="BN55" s="1285"/>
      <c r="BO55" s="1285"/>
      <c r="BP55" s="1285"/>
      <c r="BQ55" s="1285"/>
      <c r="BR55" s="1285"/>
      <c r="BS55" s="1285"/>
      <c r="BT55" s="1285"/>
      <c r="BU55" s="1285"/>
      <c r="BV55" s="1285"/>
      <c r="BW55" s="1285"/>
      <c r="BX55" s="1285"/>
      <c r="BY55" s="1285"/>
      <c r="BZ55" s="1285"/>
      <c r="CA55" s="1285"/>
      <c r="CB55" s="1285"/>
      <c r="CC55" s="1285"/>
      <c r="CD55" s="1285"/>
      <c r="CE55" s="1285"/>
      <c r="CF55" s="1285"/>
      <c r="CG55" s="1285"/>
      <c r="CH55" s="1285"/>
      <c r="CI55" s="1285"/>
      <c r="CJ55" s="1285"/>
      <c r="CK55" s="1285"/>
      <c r="CL55" s="1285"/>
      <c r="CM55" s="1285"/>
      <c r="CN55" s="1285"/>
      <c r="CO55" s="1285"/>
      <c r="CP55" s="1285"/>
      <c r="CQ55" s="1285"/>
      <c r="CR55" s="1285"/>
      <c r="CS55" s="1285"/>
      <c r="CT55" s="1285"/>
      <c r="CU55" s="1285"/>
      <c r="CV55" s="1285"/>
      <c r="CW55" s="1285"/>
      <c r="CX55" s="1285"/>
      <c r="CY55" s="1285"/>
      <c r="CZ55" s="1285"/>
      <c r="DA55" s="1285"/>
      <c r="DB55" s="1285"/>
      <c r="DC55" s="1285"/>
      <c r="DD55" s="1285"/>
      <c r="DE55" s="1285"/>
      <c r="DF55" s="1285"/>
      <c r="DG55" s="1285"/>
      <c r="DH55" s="1285"/>
      <c r="DI55" s="1285"/>
      <c r="DJ55" s="1285"/>
      <c r="DK55" s="1285"/>
      <c r="DL55" s="1285"/>
      <c r="DM55" s="1285"/>
      <c r="DN55" s="1285"/>
      <c r="DO55" s="1285"/>
      <c r="DP55" s="1285"/>
      <c r="DQ55" s="1285"/>
      <c r="DR55" s="1285"/>
      <c r="DS55" s="1285"/>
      <c r="DT55" s="1285"/>
      <c r="DU55" s="1285"/>
      <c r="DV55" s="1285"/>
      <c r="DW55" s="1285"/>
      <c r="DX55" s="1285"/>
      <c r="DY55" s="1285"/>
      <c r="DZ55" s="1285"/>
      <c r="EA55" s="1285"/>
      <c r="EB55" s="1285"/>
      <c r="EC55" s="1285"/>
      <c r="ED55" s="1285"/>
      <c r="EE55" s="1285"/>
      <c r="EF55" s="1285"/>
      <c r="EG55" s="1285"/>
      <c r="EH55" s="1285"/>
      <c r="EI55" s="1285"/>
      <c r="EJ55" s="1285"/>
      <c r="EK55" s="1285"/>
      <c r="EL55" s="1285"/>
      <c r="EM55" s="1285"/>
      <c r="EN55" s="1285"/>
      <c r="EO55" s="1285"/>
      <c r="EP55" s="1285"/>
      <c r="EQ55" s="1285"/>
      <c r="ER55" s="1285"/>
      <c r="ES55" s="1285"/>
      <c r="ET55" s="1285"/>
      <c r="EU55" s="1285"/>
      <c r="EV55" s="1285"/>
      <c r="EW55" s="1285"/>
      <c r="EX55" s="1285"/>
      <c r="EY55" s="1285"/>
      <c r="EZ55" s="1285"/>
      <c r="FA55" s="1285"/>
      <c r="FB55" s="1285"/>
      <c r="FC55" s="1285"/>
      <c r="FD55" s="1285"/>
      <c r="FE55" s="1285"/>
      <c r="FF55" s="1285"/>
      <c r="FG55" s="1285"/>
      <c r="FH55" s="1285"/>
      <c r="FI55" s="1285"/>
      <c r="FJ55" s="1285"/>
      <c r="FK55" s="1285"/>
      <c r="FL55" s="1285"/>
      <c r="FM55" s="1285"/>
      <c r="FN55" s="1285"/>
      <c r="FO55" s="1285"/>
      <c r="FP55" s="1285"/>
      <c r="FQ55" s="1285"/>
      <c r="FR55" s="1285"/>
      <c r="FS55" s="1285"/>
      <c r="FT55" s="1285"/>
      <c r="FU55" s="1285"/>
      <c r="FV55" s="1285"/>
      <c r="FW55" s="1285"/>
      <c r="FX55" s="1285"/>
      <c r="FY55" s="1285"/>
      <c r="FZ55" s="1285"/>
      <c r="GA55" s="1285"/>
      <c r="GB55" s="1285"/>
      <c r="GC55" s="1285"/>
      <c r="GD55" s="1285"/>
      <c r="GE55" s="1285"/>
      <c r="GF55" s="1285"/>
      <c r="GG55" s="1285"/>
      <c r="GH55" s="1285"/>
      <c r="GI55" s="1285"/>
      <c r="GJ55" s="1285"/>
      <c r="GK55" s="1285"/>
      <c r="GL55" s="1285"/>
      <c r="GM55" s="1285"/>
      <c r="GN55" s="1285"/>
      <c r="GO55" s="1285"/>
      <c r="GP55" s="1285"/>
      <c r="GQ55" s="1285"/>
      <c r="GR55" s="1285"/>
      <c r="GS55" s="1285"/>
      <c r="GT55" s="1285"/>
      <c r="GU55" s="1285"/>
      <c r="GV55" s="1285"/>
      <c r="GW55" s="1285"/>
      <c r="GX55" s="1285"/>
      <c r="GY55" s="1285"/>
      <c r="GZ55" s="1285"/>
      <c r="HA55" s="1285"/>
      <c r="HB55" s="1285"/>
      <c r="HC55" s="1285"/>
      <c r="HD55" s="1285"/>
      <c r="HE55" s="1285"/>
      <c r="HF55" s="1285"/>
      <c r="HG55" s="1285"/>
      <c r="HH55" s="1285"/>
      <c r="HI55" s="1285"/>
      <c r="HJ55" s="1285"/>
      <c r="HK55" s="1285"/>
      <c r="HL55" s="1285"/>
      <c r="HM55" s="1285"/>
      <c r="HN55" s="1285"/>
      <c r="HO55" s="1285"/>
      <c r="HP55" s="1285"/>
      <c r="HQ55" s="1285"/>
      <c r="HR55" s="1285"/>
      <c r="HS55" s="1285"/>
      <c r="HT55" s="1285"/>
      <c r="HU55" s="1285"/>
      <c r="HV55" s="1285"/>
      <c r="HW55" s="1285"/>
      <c r="HX55" s="1285"/>
      <c r="HY55" s="1285"/>
      <c r="HZ55" s="1285"/>
      <c r="IA55" s="1285"/>
      <c r="IB55" s="1285"/>
    </row>
    <row r="56" spans="1:236" s="1282" customFormat="1" ht="14.15" customHeight="1">
      <c r="A56" s="1285"/>
      <c r="B56" s="1283"/>
      <c r="C56" s="1283"/>
      <c r="D56" s="1283"/>
      <c r="E56" s="1283"/>
      <c r="F56" s="1283"/>
      <c r="G56" s="1283"/>
      <c r="H56" s="1283"/>
      <c r="I56" s="1283"/>
      <c r="J56" s="1283"/>
      <c r="K56" s="1283"/>
      <c r="L56" s="1283"/>
      <c r="M56" s="1285"/>
      <c r="N56" s="1286"/>
      <c r="O56" s="1302"/>
      <c r="P56" s="1285"/>
      <c r="Q56" s="1285"/>
      <c r="R56" s="1285"/>
      <c r="S56" s="1285"/>
      <c r="T56" s="1285"/>
      <c r="U56" s="1288"/>
      <c r="Y56" s="1285"/>
      <c r="Z56" s="1285"/>
      <c r="AA56" s="1285"/>
      <c r="AB56" s="1285"/>
      <c r="AC56" s="1285"/>
      <c r="AD56" s="1285"/>
      <c r="AE56" s="1285"/>
      <c r="AF56" s="1285"/>
      <c r="AG56" s="1285"/>
      <c r="AH56" s="1285"/>
      <c r="AI56" s="1285"/>
      <c r="AJ56" s="1285"/>
      <c r="AK56" s="1285"/>
      <c r="AL56" s="1285"/>
      <c r="AM56" s="1285"/>
      <c r="AN56" s="1285"/>
      <c r="AO56" s="1285"/>
      <c r="AP56" s="1285"/>
      <c r="AQ56" s="1285"/>
      <c r="AR56" s="1285"/>
      <c r="AS56" s="1285"/>
      <c r="AT56" s="1285"/>
      <c r="AU56" s="1285"/>
      <c r="AV56" s="1285"/>
      <c r="AW56" s="1285"/>
      <c r="AX56" s="1285"/>
      <c r="AY56" s="1285"/>
      <c r="AZ56" s="1285"/>
      <c r="BA56" s="1285"/>
      <c r="BB56" s="1285"/>
      <c r="BC56" s="1285"/>
      <c r="BD56" s="1285"/>
      <c r="BE56" s="1285"/>
      <c r="BF56" s="1285"/>
      <c r="BG56" s="1285"/>
      <c r="BH56" s="1285"/>
      <c r="BI56" s="1285"/>
      <c r="BJ56" s="1285"/>
      <c r="BK56" s="1285"/>
      <c r="BL56" s="1285"/>
      <c r="BM56" s="1285"/>
      <c r="BN56" s="1285"/>
      <c r="BO56" s="1285"/>
      <c r="BP56" s="1285"/>
      <c r="BQ56" s="1285"/>
      <c r="BR56" s="1285"/>
      <c r="BS56" s="1285"/>
      <c r="BT56" s="1285"/>
      <c r="BU56" s="1285"/>
      <c r="BV56" s="1285"/>
      <c r="BW56" s="1285"/>
      <c r="BX56" s="1285"/>
      <c r="BY56" s="1285"/>
      <c r="BZ56" s="1285"/>
      <c r="CA56" s="1285"/>
      <c r="CB56" s="1285"/>
      <c r="CC56" s="1285"/>
      <c r="CD56" s="1285"/>
      <c r="CE56" s="1285"/>
      <c r="CF56" s="1285"/>
      <c r="CG56" s="1285"/>
      <c r="CH56" s="1285"/>
      <c r="CI56" s="1285"/>
      <c r="CJ56" s="1285"/>
      <c r="CK56" s="1285"/>
      <c r="CL56" s="1285"/>
      <c r="CM56" s="1285"/>
      <c r="CN56" s="1285"/>
      <c r="CO56" s="1285"/>
      <c r="CP56" s="1285"/>
      <c r="CQ56" s="1285"/>
      <c r="CR56" s="1285"/>
      <c r="CS56" s="1285"/>
      <c r="CT56" s="1285"/>
      <c r="CU56" s="1285"/>
      <c r="CV56" s="1285"/>
      <c r="CW56" s="1285"/>
      <c r="CX56" s="1285"/>
      <c r="CY56" s="1285"/>
      <c r="CZ56" s="1285"/>
      <c r="DA56" s="1285"/>
      <c r="DB56" s="1285"/>
      <c r="DC56" s="1285"/>
      <c r="DD56" s="1285"/>
      <c r="DE56" s="1285"/>
      <c r="DF56" s="1285"/>
      <c r="DG56" s="1285"/>
      <c r="DH56" s="1285"/>
      <c r="DI56" s="1285"/>
      <c r="DJ56" s="1285"/>
      <c r="DK56" s="1285"/>
      <c r="DL56" s="1285"/>
      <c r="DM56" s="1285"/>
      <c r="DN56" s="1285"/>
      <c r="DO56" s="1285"/>
      <c r="DP56" s="1285"/>
      <c r="DQ56" s="1285"/>
      <c r="DR56" s="1285"/>
      <c r="DS56" s="1285"/>
      <c r="DT56" s="1285"/>
      <c r="DU56" s="1285"/>
      <c r="DV56" s="1285"/>
      <c r="DW56" s="1285"/>
      <c r="DX56" s="1285"/>
      <c r="DY56" s="1285"/>
      <c r="DZ56" s="1285"/>
      <c r="EA56" s="1285"/>
      <c r="EB56" s="1285"/>
      <c r="EC56" s="1285"/>
      <c r="ED56" s="1285"/>
      <c r="EE56" s="1285"/>
      <c r="EF56" s="1285"/>
      <c r="EG56" s="1285"/>
      <c r="EH56" s="1285"/>
      <c r="EI56" s="1285"/>
      <c r="EJ56" s="1285"/>
      <c r="EK56" s="1285"/>
      <c r="EL56" s="1285"/>
      <c r="EM56" s="1285"/>
      <c r="EN56" s="1285"/>
      <c r="EO56" s="1285"/>
      <c r="EP56" s="1285"/>
      <c r="EQ56" s="1285"/>
      <c r="ER56" s="1285"/>
      <c r="ES56" s="1285"/>
      <c r="ET56" s="1285"/>
      <c r="EU56" s="1285"/>
      <c r="EV56" s="1285"/>
      <c r="EW56" s="1285"/>
      <c r="EX56" s="1285"/>
      <c r="EY56" s="1285"/>
      <c r="EZ56" s="1285"/>
      <c r="FA56" s="1285"/>
      <c r="FB56" s="1285"/>
      <c r="FC56" s="1285"/>
      <c r="FD56" s="1285"/>
      <c r="FE56" s="1285"/>
      <c r="FF56" s="1285"/>
      <c r="FG56" s="1285"/>
      <c r="FH56" s="1285"/>
      <c r="FI56" s="1285"/>
      <c r="FJ56" s="1285"/>
      <c r="FK56" s="1285"/>
      <c r="FL56" s="1285"/>
      <c r="FM56" s="1285"/>
      <c r="FN56" s="1285"/>
      <c r="FO56" s="1285"/>
      <c r="FP56" s="1285"/>
      <c r="FQ56" s="1285"/>
      <c r="FR56" s="1285"/>
      <c r="FS56" s="1285"/>
      <c r="FT56" s="1285"/>
      <c r="FU56" s="1285"/>
      <c r="FV56" s="1285"/>
      <c r="FW56" s="1285"/>
      <c r="FX56" s="1285"/>
      <c r="FY56" s="1285"/>
      <c r="FZ56" s="1285"/>
      <c r="GA56" s="1285"/>
      <c r="GB56" s="1285"/>
      <c r="GC56" s="1285"/>
      <c r="GD56" s="1285"/>
      <c r="GE56" s="1285"/>
      <c r="GF56" s="1285"/>
      <c r="GG56" s="1285"/>
      <c r="GH56" s="1285"/>
      <c r="GI56" s="1285"/>
      <c r="GJ56" s="1285"/>
      <c r="GK56" s="1285"/>
      <c r="GL56" s="1285"/>
      <c r="GM56" s="1285"/>
      <c r="GN56" s="1285"/>
      <c r="GO56" s="1285"/>
      <c r="GP56" s="1285"/>
      <c r="GQ56" s="1285"/>
      <c r="GR56" s="1285"/>
      <c r="GS56" s="1285"/>
      <c r="GT56" s="1285"/>
      <c r="GU56" s="1285"/>
      <c r="GV56" s="1285"/>
      <c r="GW56" s="1285"/>
      <c r="GX56" s="1285"/>
      <c r="GY56" s="1285"/>
      <c r="GZ56" s="1285"/>
      <c r="HA56" s="1285"/>
      <c r="HB56" s="1285"/>
      <c r="HC56" s="1285"/>
      <c r="HD56" s="1285"/>
      <c r="HE56" s="1285"/>
      <c r="HF56" s="1285"/>
      <c r="HG56" s="1285"/>
      <c r="HH56" s="1285"/>
      <c r="HI56" s="1285"/>
      <c r="HJ56" s="1285"/>
      <c r="HK56" s="1285"/>
      <c r="HL56" s="1285"/>
      <c r="HM56" s="1285"/>
      <c r="HN56" s="1285"/>
      <c r="HO56" s="1285"/>
      <c r="HP56" s="1285"/>
      <c r="HQ56" s="1285"/>
      <c r="HR56" s="1285"/>
      <c r="HS56" s="1285"/>
      <c r="HT56" s="1285"/>
      <c r="HU56" s="1285"/>
      <c r="HV56" s="1285"/>
      <c r="HW56" s="1285"/>
      <c r="HX56" s="1285"/>
      <c r="HY56" s="1285"/>
      <c r="HZ56" s="1285"/>
      <c r="IA56" s="1285"/>
      <c r="IB56" s="1285"/>
    </row>
    <row r="57" spans="1:236" s="1282" customFormat="1" ht="14.15" customHeight="1">
      <c r="A57" s="1234" t="s">
        <v>259</v>
      </c>
      <c r="B57" s="1289">
        <f t="shared" ref="B57:K57" si="4">B41-B8-B9-B13</f>
        <v>656495257.90999985</v>
      </c>
      <c r="C57" s="1289">
        <f t="shared" si="4"/>
        <v>672992112.84000015</v>
      </c>
      <c r="D57" s="1289">
        <f t="shared" si="4"/>
        <v>732138986.22999954</v>
      </c>
      <c r="E57" s="1289">
        <f t="shared" si="4"/>
        <v>767401177.69000053</v>
      </c>
      <c r="F57" s="1289">
        <f t="shared" si="4"/>
        <v>763035861.81999969</v>
      </c>
      <c r="G57" s="1289">
        <f t="shared" si="4"/>
        <v>1625197140.2000008</v>
      </c>
      <c r="H57" s="1289">
        <f t="shared" si="4"/>
        <v>2167788628.1300011</v>
      </c>
      <c r="I57" s="1289">
        <f t="shared" si="4"/>
        <v>2641396000</v>
      </c>
      <c r="J57" s="1289">
        <f t="shared" si="4"/>
        <v>2782131000</v>
      </c>
      <c r="K57" s="1289">
        <f t="shared" si="4"/>
        <v>2609863000</v>
      </c>
      <c r="L57" s="1289">
        <f t="shared" ref="L57" si="5">L41-L8-L9-L13</f>
        <v>2541275000</v>
      </c>
      <c r="M57" s="1285"/>
      <c r="N57" s="1286"/>
      <c r="O57" s="1302"/>
      <c r="P57" s="1285"/>
      <c r="Q57" s="1285"/>
      <c r="R57" s="1285"/>
      <c r="S57" s="1285"/>
      <c r="T57" s="1285"/>
      <c r="U57" s="1288"/>
      <c r="Y57" s="1285"/>
      <c r="Z57" s="1285"/>
      <c r="AA57" s="1285"/>
      <c r="AB57" s="1285"/>
      <c r="AC57" s="1285"/>
      <c r="AD57" s="1285"/>
      <c r="AE57" s="1285"/>
      <c r="AF57" s="1285"/>
      <c r="AG57" s="1285"/>
      <c r="AH57" s="1285"/>
      <c r="AI57" s="1285"/>
      <c r="AJ57" s="1285"/>
      <c r="AK57" s="1285"/>
      <c r="AL57" s="1285"/>
      <c r="AM57" s="1285"/>
      <c r="AN57" s="1285"/>
      <c r="AO57" s="1285"/>
      <c r="AP57" s="1285"/>
      <c r="AQ57" s="1285"/>
      <c r="AR57" s="1285"/>
      <c r="AS57" s="1285"/>
      <c r="AT57" s="1285"/>
      <c r="AU57" s="1285"/>
      <c r="AV57" s="1285"/>
      <c r="AW57" s="1285"/>
      <c r="AX57" s="1285"/>
      <c r="AY57" s="1285"/>
      <c r="AZ57" s="1285"/>
      <c r="BA57" s="1285"/>
      <c r="BB57" s="1285"/>
      <c r="BC57" s="1285"/>
      <c r="BD57" s="1285"/>
      <c r="BE57" s="1285"/>
      <c r="BF57" s="1285"/>
      <c r="BG57" s="1285"/>
      <c r="BH57" s="1285"/>
      <c r="BI57" s="1285"/>
      <c r="BJ57" s="1285"/>
      <c r="BK57" s="1285"/>
      <c r="BL57" s="1285"/>
      <c r="BM57" s="1285"/>
      <c r="BN57" s="1285"/>
      <c r="BO57" s="1285"/>
      <c r="BP57" s="1285"/>
      <c r="BQ57" s="1285"/>
      <c r="BR57" s="1285"/>
      <c r="BS57" s="1285"/>
      <c r="BT57" s="1285"/>
      <c r="BU57" s="1285"/>
      <c r="BV57" s="1285"/>
      <c r="BW57" s="1285"/>
      <c r="BX57" s="1285"/>
      <c r="BY57" s="1285"/>
      <c r="BZ57" s="1285"/>
      <c r="CA57" s="1285"/>
      <c r="CB57" s="1285"/>
      <c r="CC57" s="1285"/>
      <c r="CD57" s="1285"/>
      <c r="CE57" s="1285"/>
      <c r="CF57" s="1285"/>
      <c r="CG57" s="1285"/>
      <c r="CH57" s="1285"/>
      <c r="CI57" s="1285"/>
      <c r="CJ57" s="1285"/>
      <c r="CK57" s="1285"/>
      <c r="CL57" s="1285"/>
      <c r="CM57" s="1285"/>
      <c r="CN57" s="1285"/>
      <c r="CO57" s="1285"/>
      <c r="CP57" s="1285"/>
      <c r="CQ57" s="1285"/>
      <c r="CR57" s="1285"/>
      <c r="CS57" s="1285"/>
      <c r="CT57" s="1285"/>
      <c r="CU57" s="1285"/>
      <c r="CV57" s="1285"/>
      <c r="CW57" s="1285"/>
      <c r="CX57" s="1285"/>
      <c r="CY57" s="1285"/>
      <c r="CZ57" s="1285"/>
      <c r="DA57" s="1285"/>
      <c r="DB57" s="1285"/>
      <c r="DC57" s="1285"/>
      <c r="DD57" s="1285"/>
      <c r="DE57" s="1285"/>
      <c r="DF57" s="1285"/>
      <c r="DG57" s="1285"/>
      <c r="DH57" s="1285"/>
      <c r="DI57" s="1285"/>
      <c r="DJ57" s="1285"/>
      <c r="DK57" s="1285"/>
      <c r="DL57" s="1285"/>
      <c r="DM57" s="1285"/>
      <c r="DN57" s="1285"/>
      <c r="DO57" s="1285"/>
      <c r="DP57" s="1285"/>
      <c r="DQ57" s="1285"/>
      <c r="DR57" s="1285"/>
      <c r="DS57" s="1285"/>
      <c r="DT57" s="1285"/>
      <c r="DU57" s="1285"/>
      <c r="DV57" s="1285"/>
      <c r="DW57" s="1285"/>
      <c r="DX57" s="1285"/>
      <c r="DY57" s="1285"/>
      <c r="DZ57" s="1285"/>
      <c r="EA57" s="1285"/>
      <c r="EB57" s="1285"/>
      <c r="EC57" s="1285"/>
      <c r="ED57" s="1285"/>
      <c r="EE57" s="1285"/>
      <c r="EF57" s="1285"/>
      <c r="EG57" s="1285"/>
      <c r="EH57" s="1285"/>
      <c r="EI57" s="1285"/>
      <c r="EJ57" s="1285"/>
      <c r="EK57" s="1285"/>
      <c r="EL57" s="1285"/>
      <c r="EM57" s="1285"/>
      <c r="EN57" s="1285"/>
      <c r="EO57" s="1285"/>
      <c r="EP57" s="1285"/>
      <c r="EQ57" s="1285"/>
      <c r="ER57" s="1285"/>
      <c r="ES57" s="1285"/>
      <c r="ET57" s="1285"/>
      <c r="EU57" s="1285"/>
      <c r="EV57" s="1285"/>
      <c r="EW57" s="1285"/>
      <c r="EX57" s="1285"/>
      <c r="EY57" s="1285"/>
      <c r="EZ57" s="1285"/>
      <c r="FA57" s="1285"/>
      <c r="FB57" s="1285"/>
      <c r="FC57" s="1285"/>
      <c r="FD57" s="1285"/>
      <c r="FE57" s="1285"/>
      <c r="FF57" s="1285"/>
      <c r="FG57" s="1285"/>
      <c r="FH57" s="1285"/>
      <c r="FI57" s="1285"/>
      <c r="FJ57" s="1285"/>
      <c r="FK57" s="1285"/>
      <c r="FL57" s="1285"/>
      <c r="FM57" s="1285"/>
      <c r="FN57" s="1285"/>
      <c r="FO57" s="1285"/>
      <c r="FP57" s="1285"/>
      <c r="FQ57" s="1285"/>
      <c r="FR57" s="1285"/>
      <c r="FS57" s="1285"/>
      <c r="FT57" s="1285"/>
      <c r="FU57" s="1285"/>
      <c r="FV57" s="1285"/>
      <c r="FW57" s="1285"/>
      <c r="FX57" s="1285"/>
      <c r="FY57" s="1285"/>
      <c r="FZ57" s="1285"/>
      <c r="GA57" s="1285"/>
      <c r="GB57" s="1285"/>
      <c r="GC57" s="1285"/>
      <c r="GD57" s="1285"/>
      <c r="GE57" s="1285"/>
      <c r="GF57" s="1285"/>
      <c r="GG57" s="1285"/>
      <c r="GH57" s="1285"/>
      <c r="GI57" s="1285"/>
      <c r="GJ57" s="1285"/>
      <c r="GK57" s="1285"/>
      <c r="GL57" s="1285"/>
      <c r="GM57" s="1285"/>
      <c r="GN57" s="1285"/>
      <c r="GO57" s="1285"/>
      <c r="GP57" s="1285"/>
      <c r="GQ57" s="1285"/>
      <c r="GR57" s="1285"/>
      <c r="GS57" s="1285"/>
      <c r="GT57" s="1285"/>
      <c r="GU57" s="1285"/>
      <c r="GV57" s="1285"/>
      <c r="GW57" s="1285"/>
      <c r="GX57" s="1285"/>
      <c r="GY57" s="1285"/>
      <c r="GZ57" s="1285"/>
      <c r="HA57" s="1285"/>
      <c r="HB57" s="1285"/>
      <c r="HC57" s="1285"/>
      <c r="HD57" s="1285"/>
      <c r="HE57" s="1285"/>
      <c r="HF57" s="1285"/>
      <c r="HG57" s="1285"/>
      <c r="HH57" s="1285"/>
      <c r="HI57" s="1285"/>
      <c r="HJ57" s="1285"/>
      <c r="HK57" s="1285"/>
      <c r="HL57" s="1285"/>
      <c r="HM57" s="1285"/>
      <c r="HN57" s="1285"/>
      <c r="HO57" s="1285"/>
      <c r="HP57" s="1285"/>
      <c r="HQ57" s="1285"/>
      <c r="HR57" s="1285"/>
      <c r="HS57" s="1285"/>
      <c r="HT57" s="1285"/>
      <c r="HU57" s="1285"/>
      <c r="HV57" s="1285"/>
      <c r="HW57" s="1285"/>
      <c r="HX57" s="1285"/>
      <c r="HY57" s="1285"/>
      <c r="HZ57" s="1285"/>
      <c r="IA57" s="1285"/>
      <c r="IB57" s="1285"/>
    </row>
    <row r="58" spans="1:236" s="1282" customFormat="1" ht="14.15" customHeight="1">
      <c r="A58" s="1234" t="s">
        <v>1314</v>
      </c>
      <c r="B58" s="1283"/>
      <c r="C58" s="1283"/>
      <c r="D58" s="1283"/>
      <c r="E58" s="1283"/>
      <c r="F58" s="1283"/>
      <c r="G58" s="1283"/>
      <c r="H58" s="1283"/>
      <c r="I58" s="1283"/>
      <c r="J58" s="1289">
        <f>J13+J28</f>
        <v>5926357000</v>
      </c>
      <c r="K58" s="1289">
        <f>K13+K28</f>
        <v>6151171000</v>
      </c>
      <c r="L58" s="1289">
        <f>L13+L28</f>
        <v>6086775000</v>
      </c>
      <c r="M58" s="1285"/>
      <c r="N58" s="1286"/>
      <c r="O58" s="1303">
        <f>K57/$K$41</f>
        <v>9.2029161587606823E-2</v>
      </c>
      <c r="P58" s="1285"/>
      <c r="Q58" s="1285"/>
      <c r="R58" s="1285"/>
      <c r="S58" s="1285"/>
      <c r="T58" s="1285"/>
      <c r="U58" s="1288"/>
      <c r="V58" s="1285"/>
      <c r="W58" s="1285"/>
      <c r="X58" s="1285"/>
      <c r="Y58" s="1285"/>
      <c r="Z58" s="1285"/>
      <c r="AA58" s="1285"/>
      <c r="AB58" s="1285"/>
      <c r="AC58" s="1285"/>
      <c r="AD58" s="1285"/>
      <c r="AE58" s="1285"/>
      <c r="AF58" s="1285"/>
      <c r="AG58" s="1285"/>
      <c r="AH58" s="1285"/>
      <c r="AI58" s="1285"/>
      <c r="AJ58" s="1285"/>
      <c r="AK58" s="1285"/>
      <c r="AL58" s="1285"/>
      <c r="AM58" s="1285"/>
      <c r="AN58" s="1285"/>
      <c r="AO58" s="1285"/>
      <c r="AP58" s="1285"/>
      <c r="AQ58" s="1285"/>
      <c r="AR58" s="1285"/>
      <c r="AS58" s="1285"/>
      <c r="AT58" s="1285"/>
      <c r="AU58" s="1285"/>
      <c r="AV58" s="1285"/>
      <c r="AW58" s="1285"/>
      <c r="AX58" s="1285"/>
      <c r="AY58" s="1285"/>
      <c r="AZ58" s="1285"/>
      <c r="BA58" s="1285"/>
      <c r="BB58" s="1285"/>
      <c r="BC58" s="1285"/>
      <c r="BD58" s="1285"/>
      <c r="BE58" s="1285"/>
      <c r="BF58" s="1285"/>
      <c r="BG58" s="1285"/>
      <c r="BH58" s="1285"/>
      <c r="BI58" s="1285"/>
      <c r="BJ58" s="1285"/>
      <c r="BK58" s="1285"/>
      <c r="BL58" s="1285"/>
      <c r="BM58" s="1285"/>
      <c r="BN58" s="1285"/>
      <c r="BO58" s="1285"/>
      <c r="BP58" s="1285"/>
      <c r="BQ58" s="1285"/>
      <c r="BR58" s="1285"/>
      <c r="BS58" s="1285"/>
      <c r="BT58" s="1285"/>
      <c r="BU58" s="1285"/>
      <c r="BV58" s="1285"/>
      <c r="BW58" s="1285"/>
      <c r="BX58" s="1285"/>
      <c r="BY58" s="1285"/>
      <c r="BZ58" s="1285"/>
      <c r="CA58" s="1285"/>
      <c r="CB58" s="1285"/>
      <c r="CC58" s="1285"/>
      <c r="CD58" s="1285"/>
      <c r="CE58" s="1285"/>
      <c r="CF58" s="1285"/>
      <c r="CG58" s="1285"/>
      <c r="CH58" s="1285"/>
      <c r="CI58" s="1285"/>
      <c r="CJ58" s="1285"/>
      <c r="CK58" s="1285"/>
      <c r="CL58" s="1285"/>
      <c r="CM58" s="1285"/>
      <c r="CN58" s="1285"/>
      <c r="CO58" s="1285"/>
      <c r="CP58" s="1285"/>
      <c r="CQ58" s="1285"/>
      <c r="CR58" s="1285"/>
      <c r="CS58" s="1285"/>
      <c r="CT58" s="1285"/>
      <c r="CU58" s="1285"/>
      <c r="CV58" s="1285"/>
      <c r="CW58" s="1285"/>
      <c r="CX58" s="1285"/>
      <c r="CY58" s="1285"/>
      <c r="CZ58" s="1285"/>
      <c r="DA58" s="1285"/>
      <c r="DB58" s="1285"/>
      <c r="DC58" s="1285"/>
      <c r="DD58" s="1285"/>
      <c r="DE58" s="1285"/>
      <c r="DF58" s="1285"/>
      <c r="DG58" s="1285"/>
      <c r="DH58" s="1285"/>
      <c r="DI58" s="1285"/>
      <c r="DJ58" s="1285"/>
      <c r="DK58" s="1285"/>
      <c r="DL58" s="1285"/>
      <c r="DM58" s="1285"/>
      <c r="DN58" s="1285"/>
      <c r="DO58" s="1285"/>
      <c r="DP58" s="1285"/>
      <c r="DQ58" s="1285"/>
      <c r="DR58" s="1285"/>
      <c r="DS58" s="1285"/>
      <c r="DT58" s="1285"/>
      <c r="DU58" s="1285"/>
      <c r="DV58" s="1285"/>
      <c r="DW58" s="1285"/>
      <c r="DX58" s="1285"/>
      <c r="DY58" s="1285"/>
      <c r="DZ58" s="1285"/>
      <c r="EA58" s="1285"/>
      <c r="EB58" s="1285"/>
      <c r="EC58" s="1285"/>
      <c r="ED58" s="1285"/>
      <c r="EE58" s="1285"/>
      <c r="EF58" s="1285"/>
      <c r="EG58" s="1285"/>
      <c r="EH58" s="1285"/>
      <c r="EI58" s="1285"/>
      <c r="EJ58" s="1285"/>
      <c r="EK58" s="1285"/>
      <c r="EL58" s="1285"/>
      <c r="EM58" s="1285"/>
      <c r="EN58" s="1285"/>
      <c r="EO58" s="1285"/>
      <c r="EP58" s="1285"/>
      <c r="EQ58" s="1285"/>
      <c r="ER58" s="1285"/>
      <c r="ES58" s="1285"/>
      <c r="ET58" s="1285"/>
      <c r="EU58" s="1285"/>
      <c r="EV58" s="1285"/>
      <c r="EW58" s="1285"/>
      <c r="EX58" s="1285"/>
      <c r="EY58" s="1285"/>
      <c r="EZ58" s="1285"/>
      <c r="FA58" s="1285"/>
      <c r="FB58" s="1285"/>
      <c r="FC58" s="1285"/>
      <c r="FD58" s="1285"/>
      <c r="FE58" s="1285"/>
      <c r="FF58" s="1285"/>
      <c r="FG58" s="1285"/>
      <c r="FH58" s="1285"/>
      <c r="FI58" s="1285"/>
      <c r="FJ58" s="1285"/>
      <c r="FK58" s="1285"/>
      <c r="FL58" s="1285"/>
      <c r="FM58" s="1285"/>
      <c r="FN58" s="1285"/>
      <c r="FO58" s="1285"/>
      <c r="FP58" s="1285"/>
      <c r="FQ58" s="1285"/>
      <c r="FR58" s="1285"/>
      <c r="FS58" s="1285"/>
      <c r="FT58" s="1285"/>
      <c r="FU58" s="1285"/>
      <c r="FV58" s="1285"/>
      <c r="FW58" s="1285"/>
      <c r="FX58" s="1285"/>
      <c r="FY58" s="1285"/>
      <c r="FZ58" s="1285"/>
      <c r="GA58" s="1285"/>
      <c r="GB58" s="1285"/>
      <c r="GC58" s="1285"/>
      <c r="GD58" s="1285"/>
      <c r="GE58" s="1285"/>
      <c r="GF58" s="1285"/>
      <c r="GG58" s="1285"/>
      <c r="GH58" s="1285"/>
      <c r="GI58" s="1285"/>
      <c r="GJ58" s="1285"/>
      <c r="GK58" s="1285"/>
      <c r="GL58" s="1285"/>
      <c r="GM58" s="1285"/>
      <c r="GN58" s="1285"/>
      <c r="GO58" s="1285"/>
      <c r="GP58" s="1285"/>
      <c r="GQ58" s="1285"/>
      <c r="GR58" s="1285"/>
      <c r="GS58" s="1285"/>
      <c r="GT58" s="1285"/>
      <c r="GU58" s="1285"/>
      <c r="GV58" s="1285"/>
      <c r="GW58" s="1285"/>
      <c r="GX58" s="1285"/>
      <c r="GY58" s="1285"/>
      <c r="GZ58" s="1285"/>
      <c r="HA58" s="1285"/>
      <c r="HB58" s="1285"/>
      <c r="HC58" s="1285"/>
      <c r="HD58" s="1285"/>
      <c r="HE58" s="1285"/>
      <c r="HF58" s="1285"/>
      <c r="HG58" s="1285"/>
      <c r="HH58" s="1285"/>
      <c r="HI58" s="1285"/>
      <c r="HJ58" s="1285"/>
      <c r="HK58" s="1285"/>
      <c r="HL58" s="1285"/>
      <c r="HM58" s="1285"/>
      <c r="HN58" s="1285"/>
      <c r="HO58" s="1285"/>
      <c r="HP58" s="1285"/>
      <c r="HQ58" s="1285"/>
      <c r="HR58" s="1285"/>
      <c r="HS58" s="1285"/>
      <c r="HT58" s="1285"/>
      <c r="HU58" s="1285"/>
      <c r="HV58" s="1285"/>
      <c r="HW58" s="1285"/>
      <c r="HX58" s="1285"/>
      <c r="HY58" s="1285"/>
      <c r="HZ58" s="1285"/>
      <c r="IA58" s="1285"/>
      <c r="IB58" s="1285"/>
    </row>
    <row r="59" spans="1:236" ht="14.15" customHeight="1">
      <c r="N59" s="1034"/>
      <c r="O59" s="1034"/>
      <c r="P59" s="548"/>
      <c r="Q59" s="548"/>
      <c r="R59" s="548"/>
      <c r="S59" s="548"/>
      <c r="U59" s="549"/>
      <c r="V59" s="548"/>
      <c r="W59" s="548"/>
      <c r="X59" s="548"/>
      <c r="Y59" s="548"/>
      <c r="Z59" s="548"/>
      <c r="AA59" s="548"/>
      <c r="AB59" s="548"/>
      <c r="AC59" s="548"/>
      <c r="AD59" s="548"/>
      <c r="AE59" s="548"/>
      <c r="AF59" s="548"/>
      <c r="AG59" s="548"/>
      <c r="AH59" s="548"/>
      <c r="AI59" s="548"/>
      <c r="AJ59" s="548"/>
      <c r="AK59" s="548"/>
      <c r="AL59" s="130"/>
      <c r="AM59" s="130"/>
      <c r="AN59" s="130"/>
      <c r="AO59" s="130"/>
      <c r="AP59" s="130"/>
      <c r="AQ59" s="130"/>
      <c r="AR59" s="130"/>
      <c r="AS59" s="130"/>
      <c r="AT59" s="130"/>
      <c r="AU59" s="130"/>
      <c r="AV59" s="130"/>
      <c r="AW59" s="130"/>
      <c r="AX59" s="130"/>
      <c r="AY59" s="130"/>
      <c r="AZ59" s="130"/>
      <c r="BA59" s="130"/>
      <c r="BB59" s="130"/>
      <c r="BC59" s="130"/>
      <c r="BD59" s="130"/>
      <c r="BE59" s="130"/>
      <c r="BF59" s="130"/>
      <c r="BG59" s="130"/>
      <c r="BH59" s="130"/>
      <c r="BI59" s="130"/>
      <c r="BJ59" s="130"/>
      <c r="BK59" s="130"/>
      <c r="BL59" s="130"/>
      <c r="BM59" s="130"/>
      <c r="BN59" s="130"/>
      <c r="BO59" s="130"/>
      <c r="BP59" s="130"/>
      <c r="BQ59" s="130"/>
      <c r="BR59" s="130"/>
      <c r="BS59" s="130"/>
      <c r="BT59" s="130"/>
      <c r="BU59" s="130"/>
      <c r="BV59" s="130"/>
      <c r="BW59" s="130"/>
      <c r="BX59" s="130"/>
      <c r="BY59" s="130"/>
      <c r="BZ59" s="130"/>
      <c r="CA59" s="130"/>
      <c r="CB59" s="130"/>
      <c r="CC59" s="130"/>
      <c r="CD59" s="130"/>
      <c r="CE59" s="130"/>
      <c r="CF59" s="130"/>
      <c r="CG59" s="130"/>
      <c r="CH59" s="130"/>
      <c r="CI59" s="130"/>
      <c r="CJ59" s="130"/>
      <c r="CK59" s="130"/>
      <c r="CL59" s="130"/>
      <c r="CM59" s="130"/>
      <c r="CN59" s="130"/>
      <c r="CO59" s="130"/>
      <c r="CP59" s="130"/>
      <c r="CQ59" s="130"/>
      <c r="CR59" s="130"/>
      <c r="CS59" s="130"/>
      <c r="CT59" s="130"/>
      <c r="CU59" s="130"/>
      <c r="CV59" s="130"/>
      <c r="CW59" s="130"/>
      <c r="CX59" s="130"/>
      <c r="CY59" s="130"/>
      <c r="CZ59" s="130"/>
      <c r="DA59" s="130"/>
      <c r="DB59" s="130"/>
      <c r="DC59" s="130"/>
      <c r="DD59" s="130"/>
      <c r="DE59" s="130"/>
      <c r="DF59" s="130"/>
      <c r="DG59" s="130"/>
      <c r="DH59" s="130"/>
      <c r="DI59" s="130"/>
      <c r="DJ59" s="130"/>
      <c r="DK59" s="130"/>
      <c r="DL59" s="130"/>
      <c r="DM59" s="130"/>
      <c r="DN59" s="130"/>
      <c r="DO59" s="130"/>
      <c r="DP59" s="130"/>
      <c r="DQ59" s="130"/>
      <c r="DR59" s="130"/>
      <c r="DS59" s="130"/>
      <c r="DT59" s="130"/>
      <c r="DU59" s="130"/>
      <c r="DV59" s="130"/>
      <c r="DW59" s="130"/>
      <c r="DX59" s="130"/>
      <c r="DY59" s="130"/>
      <c r="DZ59" s="130"/>
      <c r="EA59" s="130"/>
      <c r="EB59" s="130"/>
      <c r="EC59" s="130"/>
      <c r="ED59" s="130"/>
      <c r="EE59" s="130"/>
      <c r="EF59" s="130"/>
      <c r="EG59" s="130"/>
      <c r="EH59" s="130"/>
      <c r="EI59" s="130"/>
      <c r="EJ59" s="130"/>
      <c r="EK59" s="130"/>
      <c r="EL59" s="130"/>
      <c r="EM59" s="130"/>
      <c r="EN59" s="130"/>
      <c r="EO59" s="130"/>
      <c r="EP59" s="130"/>
      <c r="EQ59" s="130"/>
      <c r="ER59" s="130"/>
      <c r="ES59" s="130"/>
      <c r="ET59" s="130"/>
      <c r="EU59" s="130"/>
      <c r="EV59" s="130"/>
      <c r="EW59" s="130"/>
      <c r="EX59" s="130"/>
      <c r="EY59" s="130"/>
      <c r="EZ59" s="130"/>
      <c r="FA59" s="130"/>
      <c r="FB59" s="130"/>
      <c r="FC59" s="130"/>
      <c r="FD59" s="130"/>
      <c r="FE59" s="130"/>
      <c r="FF59" s="130"/>
      <c r="FG59" s="130"/>
      <c r="FH59" s="130"/>
      <c r="FI59" s="130"/>
      <c r="FJ59" s="130"/>
      <c r="FK59" s="130"/>
      <c r="FL59" s="130"/>
      <c r="FM59" s="130"/>
      <c r="FN59" s="130"/>
      <c r="FO59" s="130"/>
      <c r="FP59" s="130"/>
      <c r="FQ59" s="130"/>
      <c r="FR59" s="130"/>
      <c r="FS59" s="130"/>
      <c r="FT59" s="130"/>
      <c r="FU59" s="130"/>
      <c r="FV59" s="130"/>
      <c r="FW59" s="130"/>
      <c r="FX59" s="130"/>
      <c r="FY59" s="130"/>
      <c r="FZ59" s="130"/>
      <c r="GA59" s="130"/>
      <c r="GB59" s="130"/>
      <c r="GC59" s="130"/>
      <c r="GD59" s="130"/>
      <c r="GE59" s="130"/>
      <c r="GF59" s="130"/>
      <c r="GG59" s="130"/>
      <c r="GH59" s="130"/>
      <c r="GI59" s="130"/>
      <c r="GJ59" s="130"/>
      <c r="GK59" s="130"/>
      <c r="GL59" s="130"/>
      <c r="GM59" s="130"/>
      <c r="GN59" s="130"/>
      <c r="GO59" s="130"/>
      <c r="GP59" s="130"/>
      <c r="GQ59" s="130"/>
      <c r="GR59" s="130"/>
      <c r="GS59" s="130"/>
      <c r="GT59" s="130"/>
      <c r="GU59" s="130"/>
      <c r="GV59" s="130"/>
      <c r="GW59" s="130"/>
      <c r="GX59" s="130"/>
      <c r="GY59" s="130"/>
      <c r="GZ59" s="130"/>
      <c r="HA59" s="130"/>
      <c r="HB59" s="130"/>
      <c r="HC59" s="130"/>
      <c r="HD59" s="130"/>
      <c r="HE59" s="130"/>
      <c r="HF59" s="130"/>
      <c r="HG59" s="130"/>
      <c r="HH59" s="130"/>
      <c r="HI59" s="130"/>
      <c r="HJ59" s="130"/>
      <c r="HK59" s="130"/>
      <c r="HL59" s="130"/>
      <c r="HM59" s="130"/>
      <c r="HN59" s="130"/>
      <c r="HO59" s="130"/>
      <c r="HP59" s="130"/>
      <c r="HQ59" s="130"/>
      <c r="HR59" s="130"/>
      <c r="HS59" s="130"/>
      <c r="HT59" s="130"/>
      <c r="HU59" s="130"/>
      <c r="HV59" s="130"/>
      <c r="HW59" s="130"/>
      <c r="HX59" s="130"/>
      <c r="HY59" s="130"/>
      <c r="HZ59" s="130"/>
      <c r="IA59" s="130"/>
      <c r="IB59" s="130"/>
    </row>
    <row r="60" spans="1:236" ht="14.15" customHeight="1">
      <c r="A60" s="130"/>
      <c r="B60" s="129"/>
      <c r="C60" s="129"/>
      <c r="D60" s="129"/>
      <c r="E60" s="129"/>
      <c r="F60" s="129"/>
      <c r="G60" s="129"/>
      <c r="H60" s="129"/>
      <c r="I60" s="129"/>
      <c r="J60" s="129"/>
      <c r="K60" s="129"/>
      <c r="L60" s="129"/>
      <c r="N60" s="1034"/>
      <c r="O60" s="1034"/>
      <c r="P60" s="548"/>
      <c r="Q60" s="548"/>
      <c r="R60" s="548"/>
      <c r="S60" s="548"/>
      <c r="U60" s="549"/>
      <c r="V60" s="548"/>
      <c r="W60" s="548"/>
      <c r="X60" s="548"/>
      <c r="Y60" s="548"/>
      <c r="Z60" s="548"/>
      <c r="AA60" s="548"/>
      <c r="AB60" s="548"/>
      <c r="AC60" s="548"/>
      <c r="AD60" s="548"/>
      <c r="AE60" s="548"/>
      <c r="AF60" s="548"/>
      <c r="AG60" s="548"/>
      <c r="AH60" s="548"/>
      <c r="AI60" s="548"/>
      <c r="AJ60" s="548"/>
      <c r="AK60" s="548"/>
      <c r="AL60" s="130"/>
      <c r="AM60" s="130"/>
      <c r="AN60" s="130"/>
      <c r="AO60" s="130"/>
      <c r="AP60" s="130"/>
      <c r="AQ60" s="130"/>
      <c r="AR60" s="130"/>
      <c r="AS60" s="130"/>
      <c r="AT60" s="130"/>
      <c r="AU60" s="130"/>
      <c r="AV60" s="130"/>
      <c r="AW60" s="130"/>
      <c r="AX60" s="130"/>
      <c r="AY60" s="130"/>
      <c r="AZ60" s="130"/>
      <c r="BA60" s="130"/>
      <c r="BB60" s="130"/>
      <c r="BC60" s="130"/>
      <c r="BD60" s="130"/>
      <c r="BE60" s="130"/>
      <c r="BF60" s="130"/>
      <c r="BG60" s="130"/>
      <c r="BH60" s="130"/>
      <c r="BI60" s="130"/>
      <c r="BJ60" s="130"/>
      <c r="BK60" s="130"/>
      <c r="BL60" s="130"/>
      <c r="BM60" s="130"/>
      <c r="BN60" s="130"/>
      <c r="BO60" s="130"/>
      <c r="BP60" s="130"/>
      <c r="BQ60" s="130"/>
      <c r="BR60" s="130"/>
      <c r="BS60" s="130"/>
      <c r="BT60" s="130"/>
      <c r="BU60" s="130"/>
      <c r="BV60" s="130"/>
      <c r="BW60" s="130"/>
      <c r="BX60" s="130"/>
      <c r="BY60" s="130"/>
      <c r="BZ60" s="130"/>
      <c r="CA60" s="130"/>
      <c r="CB60" s="130"/>
      <c r="CC60" s="130"/>
      <c r="CD60" s="130"/>
      <c r="CE60" s="130"/>
      <c r="CF60" s="130"/>
      <c r="CG60" s="130"/>
      <c r="CH60" s="130"/>
      <c r="CI60" s="130"/>
      <c r="CJ60" s="130"/>
      <c r="CK60" s="130"/>
      <c r="CL60" s="130"/>
      <c r="CM60" s="130"/>
      <c r="CN60" s="130"/>
      <c r="CO60" s="130"/>
      <c r="CP60" s="130"/>
      <c r="CQ60" s="130"/>
      <c r="CR60" s="130"/>
      <c r="CS60" s="130"/>
      <c r="CT60" s="130"/>
      <c r="CU60" s="130"/>
      <c r="CV60" s="130"/>
      <c r="CW60" s="130"/>
      <c r="CX60" s="130"/>
      <c r="CY60" s="130"/>
      <c r="CZ60" s="130"/>
      <c r="DA60" s="130"/>
      <c r="DB60" s="130"/>
      <c r="DC60" s="130"/>
      <c r="DD60" s="130"/>
      <c r="DE60" s="130"/>
      <c r="DF60" s="130"/>
      <c r="DG60" s="130"/>
      <c r="DH60" s="130"/>
      <c r="DI60" s="130"/>
      <c r="DJ60" s="130"/>
      <c r="DK60" s="130"/>
      <c r="DL60" s="130"/>
      <c r="DM60" s="130"/>
      <c r="DN60" s="130"/>
      <c r="DO60" s="130"/>
      <c r="DP60" s="130"/>
      <c r="DQ60" s="130"/>
      <c r="DR60" s="130"/>
      <c r="DS60" s="130"/>
      <c r="DT60" s="130"/>
      <c r="DU60" s="130"/>
      <c r="DV60" s="130"/>
      <c r="DW60" s="130"/>
      <c r="DX60" s="130"/>
      <c r="DY60" s="130"/>
      <c r="DZ60" s="130"/>
      <c r="EA60" s="130"/>
      <c r="EB60" s="130"/>
      <c r="EC60" s="130"/>
      <c r="ED60" s="130"/>
      <c r="EE60" s="130"/>
      <c r="EF60" s="130"/>
      <c r="EG60" s="130"/>
      <c r="EH60" s="130"/>
      <c r="EI60" s="130"/>
      <c r="EJ60" s="130"/>
      <c r="EK60" s="130"/>
      <c r="EL60" s="130"/>
      <c r="EM60" s="130"/>
      <c r="EN60" s="130"/>
      <c r="EO60" s="130"/>
      <c r="EP60" s="130"/>
      <c r="EQ60" s="130"/>
      <c r="ER60" s="130"/>
      <c r="ES60" s="130"/>
      <c r="ET60" s="130"/>
      <c r="EU60" s="130"/>
      <c r="EV60" s="130"/>
      <c r="EW60" s="130"/>
      <c r="EX60" s="130"/>
      <c r="EY60" s="130"/>
      <c r="EZ60" s="130"/>
      <c r="FA60" s="130"/>
      <c r="FB60" s="130"/>
      <c r="FC60" s="130"/>
      <c r="FD60" s="130"/>
      <c r="FE60" s="130"/>
      <c r="FF60" s="130"/>
      <c r="FG60" s="130"/>
      <c r="FH60" s="130"/>
      <c r="FI60" s="130"/>
      <c r="FJ60" s="130"/>
      <c r="FK60" s="130"/>
      <c r="FL60" s="130"/>
      <c r="FM60" s="130"/>
      <c r="FN60" s="130"/>
      <c r="FO60" s="130"/>
      <c r="FP60" s="130"/>
      <c r="FQ60" s="130"/>
      <c r="FR60" s="130"/>
      <c r="FS60" s="130"/>
      <c r="FT60" s="130"/>
      <c r="FU60" s="130"/>
      <c r="FV60" s="130"/>
      <c r="FW60" s="130"/>
      <c r="FX60" s="130"/>
      <c r="FY60" s="130"/>
      <c r="FZ60" s="130"/>
      <c r="GA60" s="130"/>
      <c r="GB60" s="130"/>
      <c r="GC60" s="130"/>
      <c r="GD60" s="130"/>
      <c r="GE60" s="130"/>
      <c r="GF60" s="130"/>
      <c r="GG60" s="130"/>
      <c r="GH60" s="130"/>
      <c r="GI60" s="130"/>
      <c r="GJ60" s="130"/>
      <c r="GK60" s="130"/>
      <c r="GL60" s="130"/>
      <c r="GM60" s="130"/>
      <c r="GN60" s="130"/>
      <c r="GO60" s="130"/>
      <c r="GP60" s="130"/>
      <c r="GQ60" s="130"/>
      <c r="GR60" s="130"/>
      <c r="GS60" s="130"/>
      <c r="GT60" s="130"/>
      <c r="GU60" s="130"/>
      <c r="GV60" s="130"/>
      <c r="GW60" s="130"/>
      <c r="GX60" s="130"/>
      <c r="GY60" s="130"/>
      <c r="GZ60" s="130"/>
      <c r="HA60" s="130"/>
      <c r="HB60" s="130"/>
      <c r="HC60" s="130"/>
      <c r="HD60" s="130"/>
      <c r="HE60" s="130"/>
      <c r="HF60" s="130"/>
      <c r="HG60" s="130"/>
      <c r="HH60" s="130"/>
      <c r="HI60" s="130"/>
      <c r="HJ60" s="130"/>
      <c r="HK60" s="130"/>
      <c r="HL60" s="130"/>
      <c r="HM60" s="130"/>
      <c r="HN60" s="130"/>
      <c r="HO60" s="130"/>
      <c r="HP60" s="130"/>
      <c r="HQ60" s="130"/>
      <c r="HR60" s="130"/>
      <c r="HS60" s="130"/>
      <c r="HT60" s="130"/>
      <c r="HU60" s="130"/>
      <c r="HV60" s="130"/>
      <c r="HW60" s="130"/>
      <c r="HX60" s="130"/>
      <c r="HY60" s="130"/>
      <c r="HZ60" s="130"/>
      <c r="IA60" s="130"/>
      <c r="IB60" s="130"/>
    </row>
    <row r="61" spans="1:236" ht="14.15" customHeight="1">
      <c r="A61" s="130"/>
      <c r="B61" s="129"/>
      <c r="C61" s="129"/>
      <c r="D61" s="129"/>
      <c r="E61" s="129"/>
      <c r="F61" s="129"/>
      <c r="G61" s="129"/>
      <c r="H61" s="129"/>
      <c r="I61" s="129"/>
      <c r="J61" s="129"/>
      <c r="K61" s="129"/>
      <c r="L61" s="129"/>
      <c r="N61" s="1034"/>
      <c r="O61" s="1034"/>
      <c r="P61" s="548"/>
      <c r="Q61" s="548"/>
      <c r="R61" s="548"/>
      <c r="S61" s="548"/>
      <c r="U61" s="549"/>
      <c r="V61" s="548"/>
      <c r="W61" s="548"/>
      <c r="X61" s="548"/>
      <c r="Y61" s="548"/>
      <c r="Z61" s="548"/>
      <c r="AA61" s="548"/>
      <c r="AB61" s="548"/>
      <c r="AC61" s="548"/>
      <c r="AD61" s="548"/>
      <c r="AE61" s="548"/>
      <c r="AF61" s="548"/>
      <c r="AG61" s="548"/>
      <c r="AH61" s="548"/>
      <c r="AI61" s="548"/>
      <c r="AJ61" s="548"/>
      <c r="AK61" s="548"/>
      <c r="AL61" s="130"/>
      <c r="AM61" s="130"/>
      <c r="AN61" s="130"/>
      <c r="AO61" s="130"/>
      <c r="AP61" s="130"/>
      <c r="AQ61" s="130"/>
      <c r="AR61" s="130"/>
      <c r="AS61" s="130"/>
      <c r="AT61" s="130"/>
      <c r="AU61" s="130"/>
      <c r="AV61" s="130"/>
      <c r="AW61" s="130"/>
      <c r="AX61" s="130"/>
      <c r="AY61" s="130"/>
      <c r="AZ61" s="130"/>
      <c r="BA61" s="130"/>
      <c r="BB61" s="130"/>
      <c r="BC61" s="130"/>
      <c r="BD61" s="130"/>
      <c r="BE61" s="130"/>
      <c r="BF61" s="130"/>
      <c r="BG61" s="130"/>
      <c r="BH61" s="130"/>
      <c r="BI61" s="130"/>
      <c r="BJ61" s="130"/>
      <c r="BK61" s="130"/>
      <c r="BL61" s="130"/>
      <c r="BM61" s="130"/>
      <c r="BN61" s="130"/>
      <c r="BO61" s="130"/>
      <c r="BP61" s="130"/>
      <c r="BQ61" s="130"/>
      <c r="BR61" s="130"/>
      <c r="BS61" s="130"/>
      <c r="BT61" s="130"/>
      <c r="BU61" s="130"/>
      <c r="BV61" s="130"/>
      <c r="BW61" s="130"/>
      <c r="BX61" s="130"/>
      <c r="BY61" s="130"/>
      <c r="BZ61" s="130"/>
      <c r="CA61" s="130"/>
      <c r="CB61" s="130"/>
      <c r="CC61" s="130"/>
      <c r="CD61" s="130"/>
      <c r="CE61" s="130"/>
      <c r="CF61" s="130"/>
      <c r="CG61" s="130"/>
      <c r="CH61" s="130"/>
      <c r="CI61" s="130"/>
      <c r="CJ61" s="130"/>
      <c r="CK61" s="130"/>
      <c r="CL61" s="130"/>
      <c r="CM61" s="130"/>
      <c r="CN61" s="130"/>
      <c r="CO61" s="130"/>
      <c r="CP61" s="130"/>
      <c r="CQ61" s="130"/>
      <c r="CR61" s="130"/>
      <c r="CS61" s="130"/>
      <c r="CT61" s="130"/>
      <c r="CU61" s="130"/>
      <c r="CV61" s="130"/>
      <c r="CW61" s="130"/>
      <c r="CX61" s="130"/>
      <c r="CY61" s="130"/>
      <c r="CZ61" s="130"/>
      <c r="DA61" s="130"/>
      <c r="DB61" s="130"/>
      <c r="DC61" s="130"/>
      <c r="DD61" s="130"/>
      <c r="DE61" s="130"/>
      <c r="DF61" s="130"/>
      <c r="DG61" s="130"/>
      <c r="DH61" s="130"/>
      <c r="DI61" s="130"/>
      <c r="DJ61" s="130"/>
      <c r="DK61" s="130"/>
      <c r="DL61" s="130"/>
      <c r="DM61" s="130"/>
      <c r="DN61" s="130"/>
      <c r="DO61" s="130"/>
      <c r="DP61" s="130"/>
      <c r="DQ61" s="130"/>
      <c r="DR61" s="130"/>
      <c r="DS61" s="130"/>
      <c r="DT61" s="130"/>
      <c r="DU61" s="130"/>
      <c r="DV61" s="130"/>
      <c r="DW61" s="130"/>
      <c r="DX61" s="130"/>
      <c r="DY61" s="130"/>
      <c r="DZ61" s="130"/>
      <c r="EA61" s="130"/>
      <c r="EB61" s="130"/>
      <c r="EC61" s="130"/>
      <c r="ED61" s="130"/>
      <c r="EE61" s="130"/>
      <c r="EF61" s="130"/>
      <c r="EG61" s="130"/>
      <c r="EH61" s="130"/>
      <c r="EI61" s="130"/>
      <c r="EJ61" s="130"/>
      <c r="EK61" s="130"/>
      <c r="EL61" s="130"/>
      <c r="EM61" s="130"/>
      <c r="EN61" s="130"/>
      <c r="EO61" s="130"/>
      <c r="EP61" s="130"/>
      <c r="EQ61" s="130"/>
      <c r="ER61" s="130"/>
      <c r="ES61" s="130"/>
      <c r="ET61" s="130"/>
      <c r="EU61" s="130"/>
      <c r="EV61" s="130"/>
      <c r="EW61" s="130"/>
      <c r="EX61" s="130"/>
      <c r="EY61" s="130"/>
      <c r="EZ61" s="130"/>
      <c r="FA61" s="130"/>
      <c r="FB61" s="130"/>
      <c r="FC61" s="130"/>
      <c r="FD61" s="130"/>
      <c r="FE61" s="130"/>
      <c r="FF61" s="130"/>
      <c r="FG61" s="130"/>
      <c r="FH61" s="130"/>
      <c r="FI61" s="130"/>
      <c r="FJ61" s="130"/>
      <c r="FK61" s="130"/>
      <c r="FL61" s="130"/>
      <c r="FM61" s="130"/>
      <c r="FN61" s="130"/>
      <c r="FO61" s="130"/>
      <c r="FP61" s="130"/>
      <c r="FQ61" s="130"/>
      <c r="FR61" s="130"/>
      <c r="FS61" s="130"/>
      <c r="FT61" s="130"/>
      <c r="FU61" s="130"/>
      <c r="FV61" s="130"/>
      <c r="FW61" s="130"/>
      <c r="FX61" s="130"/>
      <c r="FY61" s="130"/>
      <c r="FZ61" s="130"/>
      <c r="GA61" s="130"/>
      <c r="GB61" s="130"/>
      <c r="GC61" s="130"/>
      <c r="GD61" s="130"/>
      <c r="GE61" s="130"/>
      <c r="GF61" s="130"/>
      <c r="GG61" s="130"/>
      <c r="GH61" s="130"/>
      <c r="GI61" s="130"/>
      <c r="GJ61" s="130"/>
      <c r="GK61" s="130"/>
      <c r="GL61" s="130"/>
      <c r="GM61" s="130"/>
      <c r="GN61" s="130"/>
      <c r="GO61" s="130"/>
      <c r="GP61" s="130"/>
      <c r="GQ61" s="130"/>
      <c r="GR61" s="130"/>
      <c r="GS61" s="130"/>
      <c r="GT61" s="130"/>
      <c r="GU61" s="130"/>
      <c r="GV61" s="130"/>
      <c r="GW61" s="130"/>
      <c r="GX61" s="130"/>
      <c r="GY61" s="130"/>
      <c r="GZ61" s="130"/>
      <c r="HA61" s="130"/>
      <c r="HB61" s="130"/>
      <c r="HC61" s="130"/>
      <c r="HD61" s="130"/>
      <c r="HE61" s="130"/>
      <c r="HF61" s="130"/>
      <c r="HG61" s="130"/>
      <c r="HH61" s="130"/>
      <c r="HI61" s="130"/>
      <c r="HJ61" s="130"/>
      <c r="HK61" s="130"/>
      <c r="HL61" s="130"/>
      <c r="HM61" s="130"/>
      <c r="HN61" s="130"/>
      <c r="HO61" s="130"/>
      <c r="HP61" s="130"/>
      <c r="HQ61" s="130"/>
      <c r="HR61" s="130"/>
      <c r="HS61" s="130"/>
      <c r="HT61" s="130"/>
      <c r="HU61" s="130"/>
      <c r="HV61" s="130"/>
      <c r="HW61" s="130"/>
      <c r="HX61" s="130"/>
      <c r="HY61" s="130"/>
      <c r="HZ61" s="130"/>
      <c r="IA61" s="130"/>
      <c r="IB61" s="130"/>
    </row>
    <row r="62" spans="1:236" ht="14.15" customHeight="1">
      <c r="A62" s="130"/>
      <c r="B62" s="129"/>
      <c r="C62" s="129"/>
      <c r="D62" s="129"/>
      <c r="E62" s="129"/>
      <c r="F62" s="129"/>
      <c r="G62" s="129"/>
      <c r="H62" s="129"/>
      <c r="I62" s="129"/>
      <c r="J62" s="129"/>
      <c r="K62" s="129"/>
      <c r="L62" s="129"/>
      <c r="N62" s="1034"/>
      <c r="O62" s="1034"/>
      <c r="W62" s="548"/>
      <c r="X62" s="1427"/>
      <c r="Y62" s="548"/>
      <c r="Z62" s="548"/>
      <c r="AA62" s="548"/>
      <c r="AB62" s="548"/>
      <c r="AC62" s="548"/>
      <c r="AD62" s="548"/>
      <c r="AE62" s="548"/>
      <c r="AF62" s="548"/>
      <c r="AG62" s="548"/>
      <c r="AH62" s="548"/>
      <c r="AI62" s="548"/>
      <c r="AJ62" s="548"/>
      <c r="AK62" s="548"/>
      <c r="AL62" s="130"/>
      <c r="AM62" s="130"/>
      <c r="AN62" s="130"/>
      <c r="AO62" s="130"/>
      <c r="AP62" s="130"/>
      <c r="AQ62" s="130"/>
      <c r="AR62" s="130"/>
      <c r="AS62" s="130"/>
      <c r="AT62" s="130"/>
      <c r="AU62" s="130"/>
      <c r="AV62" s="130"/>
      <c r="AW62" s="130"/>
      <c r="AX62" s="130"/>
      <c r="AY62" s="130"/>
      <c r="AZ62" s="130"/>
      <c r="BA62" s="130"/>
      <c r="BB62" s="130"/>
      <c r="BC62" s="130"/>
      <c r="BD62" s="130"/>
      <c r="BE62" s="130"/>
      <c r="BF62" s="130"/>
      <c r="BG62" s="130"/>
      <c r="BH62" s="130"/>
      <c r="BI62" s="130"/>
      <c r="BJ62" s="130"/>
      <c r="BK62" s="130"/>
      <c r="BL62" s="130"/>
      <c r="BM62" s="130"/>
      <c r="BN62" s="130"/>
      <c r="BO62" s="130"/>
      <c r="BP62" s="130"/>
      <c r="BQ62" s="130"/>
      <c r="BR62" s="130"/>
      <c r="BS62" s="130"/>
      <c r="BT62" s="130"/>
      <c r="BU62" s="130"/>
      <c r="BV62" s="130"/>
      <c r="BW62" s="130"/>
      <c r="BX62" s="130"/>
      <c r="BY62" s="130"/>
      <c r="BZ62" s="130"/>
      <c r="CA62" s="130"/>
      <c r="CB62" s="130"/>
      <c r="CC62" s="130"/>
      <c r="CD62" s="130"/>
      <c r="CE62" s="130"/>
      <c r="CF62" s="130"/>
      <c r="CG62" s="130"/>
      <c r="CH62" s="130"/>
      <c r="CI62" s="130"/>
      <c r="CJ62" s="130"/>
      <c r="CK62" s="130"/>
      <c r="CL62" s="130"/>
      <c r="CM62" s="130"/>
      <c r="CN62" s="130"/>
      <c r="CO62" s="130"/>
      <c r="CP62" s="130"/>
      <c r="CQ62" s="130"/>
      <c r="CR62" s="130"/>
      <c r="CS62" s="130"/>
      <c r="CT62" s="130"/>
      <c r="CU62" s="130"/>
      <c r="CV62" s="130"/>
      <c r="CW62" s="130"/>
      <c r="CX62" s="130"/>
      <c r="CY62" s="130"/>
      <c r="CZ62" s="130"/>
      <c r="DA62" s="130"/>
      <c r="DB62" s="130"/>
      <c r="DC62" s="130"/>
      <c r="DD62" s="130"/>
      <c r="DE62" s="130"/>
      <c r="DF62" s="130"/>
      <c r="DG62" s="130"/>
      <c r="DH62" s="130"/>
      <c r="DI62" s="130"/>
      <c r="DJ62" s="130"/>
      <c r="DK62" s="130"/>
      <c r="DL62" s="130"/>
      <c r="DM62" s="130"/>
      <c r="DN62" s="130"/>
      <c r="DO62" s="130"/>
      <c r="DP62" s="130"/>
      <c r="DQ62" s="130"/>
      <c r="DR62" s="130"/>
      <c r="DS62" s="130"/>
      <c r="DT62" s="130"/>
      <c r="DU62" s="130"/>
      <c r="DV62" s="130"/>
      <c r="DW62" s="130"/>
      <c r="DX62" s="130"/>
      <c r="DY62" s="130"/>
      <c r="DZ62" s="130"/>
      <c r="EA62" s="130"/>
      <c r="EB62" s="130"/>
      <c r="EC62" s="130"/>
      <c r="ED62" s="130"/>
      <c r="EE62" s="130"/>
      <c r="EF62" s="130"/>
      <c r="EG62" s="130"/>
      <c r="EH62" s="130"/>
      <c r="EI62" s="130"/>
      <c r="EJ62" s="130"/>
      <c r="EK62" s="130"/>
      <c r="EL62" s="130"/>
      <c r="EM62" s="130"/>
      <c r="EN62" s="130"/>
      <c r="EO62" s="130"/>
      <c r="EP62" s="130"/>
      <c r="EQ62" s="130"/>
      <c r="ER62" s="130"/>
      <c r="ES62" s="130"/>
      <c r="ET62" s="130"/>
      <c r="EU62" s="130"/>
      <c r="EV62" s="130"/>
      <c r="EW62" s="130"/>
      <c r="EX62" s="130"/>
      <c r="EY62" s="130"/>
      <c r="EZ62" s="130"/>
      <c r="FA62" s="130"/>
      <c r="FB62" s="130"/>
      <c r="FC62" s="130"/>
      <c r="FD62" s="130"/>
      <c r="FE62" s="130"/>
      <c r="FF62" s="130"/>
      <c r="FG62" s="130"/>
      <c r="FH62" s="130"/>
      <c r="FI62" s="130"/>
      <c r="FJ62" s="130"/>
      <c r="FK62" s="130"/>
      <c r="FL62" s="130"/>
      <c r="FM62" s="130"/>
      <c r="FN62" s="130"/>
      <c r="FO62" s="130"/>
      <c r="FP62" s="130"/>
      <c r="FQ62" s="130"/>
      <c r="FR62" s="130"/>
      <c r="FS62" s="130"/>
      <c r="FT62" s="130"/>
      <c r="FU62" s="130"/>
      <c r="FV62" s="130"/>
      <c r="FW62" s="130"/>
      <c r="FX62" s="130"/>
      <c r="FY62" s="130"/>
      <c r="FZ62" s="130"/>
      <c r="GA62" s="130"/>
      <c r="GB62" s="130"/>
      <c r="GC62" s="130"/>
      <c r="GD62" s="130"/>
      <c r="GE62" s="130"/>
      <c r="GF62" s="130"/>
      <c r="GG62" s="130"/>
      <c r="GH62" s="130"/>
      <c r="GI62" s="130"/>
      <c r="GJ62" s="130"/>
      <c r="GK62" s="130"/>
      <c r="GL62" s="130"/>
      <c r="GM62" s="130"/>
      <c r="GN62" s="130"/>
      <c r="GO62" s="130"/>
      <c r="GP62" s="130"/>
      <c r="GQ62" s="130"/>
      <c r="GR62" s="130"/>
      <c r="GS62" s="130"/>
      <c r="GT62" s="130"/>
      <c r="GU62" s="130"/>
      <c r="GV62" s="130"/>
      <c r="GW62" s="130"/>
      <c r="GX62" s="130"/>
      <c r="GY62" s="130"/>
      <c r="GZ62" s="130"/>
      <c r="HA62" s="130"/>
      <c r="HB62" s="130"/>
      <c r="HC62" s="130"/>
      <c r="HD62" s="130"/>
      <c r="HE62" s="130"/>
      <c r="HF62" s="130"/>
      <c r="HG62" s="130"/>
      <c r="HH62" s="130"/>
      <c r="HI62" s="130"/>
      <c r="HJ62" s="130"/>
      <c r="HK62" s="130"/>
      <c r="HL62" s="130"/>
      <c r="HM62" s="130"/>
      <c r="HN62" s="130"/>
      <c r="HO62" s="130"/>
      <c r="HP62" s="130"/>
      <c r="HQ62" s="130"/>
      <c r="HR62" s="130"/>
      <c r="HS62" s="130"/>
      <c r="HT62" s="130"/>
      <c r="HU62" s="130"/>
      <c r="HV62" s="130"/>
      <c r="HW62" s="130"/>
      <c r="HX62" s="130"/>
      <c r="HY62" s="130"/>
      <c r="HZ62" s="130"/>
      <c r="IA62" s="130"/>
      <c r="IB62" s="130"/>
    </row>
    <row r="63" spans="1:236" ht="14.15" customHeight="1">
      <c r="A63" s="130"/>
      <c r="B63" s="129"/>
      <c r="C63" s="129"/>
      <c r="D63" s="129"/>
      <c r="E63" s="129"/>
      <c r="F63" s="129"/>
      <c r="G63" s="129"/>
      <c r="H63" s="129"/>
      <c r="I63" s="1420">
        <v>17303666344.539997</v>
      </c>
      <c r="J63" s="1420"/>
      <c r="K63" s="129"/>
      <c r="L63" s="129"/>
      <c r="N63" s="1034"/>
      <c r="O63" s="1034"/>
      <c r="W63" s="548"/>
      <c r="X63" s="1427"/>
      <c r="Y63" s="548"/>
      <c r="Z63" s="548"/>
      <c r="AA63" s="548"/>
      <c r="AB63" s="548"/>
      <c r="AC63" s="548"/>
      <c r="AD63" s="548"/>
      <c r="AE63" s="548"/>
      <c r="AF63" s="548"/>
      <c r="AG63" s="548"/>
      <c r="AH63" s="548"/>
      <c r="AI63" s="548"/>
      <c r="AJ63" s="548"/>
      <c r="AK63" s="548"/>
      <c r="AL63" s="130"/>
      <c r="AM63" s="130"/>
      <c r="AN63" s="130"/>
      <c r="AO63" s="130"/>
      <c r="AP63" s="130"/>
      <c r="AQ63" s="130"/>
      <c r="AR63" s="130"/>
      <c r="AS63" s="130"/>
      <c r="AT63" s="130"/>
      <c r="AU63" s="130"/>
      <c r="AV63" s="130"/>
      <c r="AW63" s="130"/>
      <c r="AX63" s="130"/>
      <c r="AY63" s="130"/>
      <c r="AZ63" s="130"/>
      <c r="BA63" s="130"/>
      <c r="BB63" s="130"/>
      <c r="BC63" s="130"/>
      <c r="BD63" s="130"/>
      <c r="BE63" s="130"/>
      <c r="BF63" s="130"/>
      <c r="BG63" s="130"/>
      <c r="BH63" s="130"/>
      <c r="BI63" s="130"/>
      <c r="BJ63" s="130"/>
      <c r="BK63" s="130"/>
      <c r="BL63" s="130"/>
      <c r="BM63" s="130"/>
      <c r="BN63" s="130"/>
      <c r="BO63" s="130"/>
      <c r="BP63" s="130"/>
      <c r="BQ63" s="130"/>
      <c r="BR63" s="130"/>
      <c r="BS63" s="130"/>
      <c r="BT63" s="130"/>
      <c r="BU63" s="130"/>
      <c r="BV63" s="130"/>
      <c r="BW63" s="130"/>
      <c r="BX63" s="130"/>
      <c r="BY63" s="130"/>
      <c r="BZ63" s="130"/>
      <c r="CA63" s="130"/>
      <c r="CB63" s="130"/>
      <c r="CC63" s="130"/>
      <c r="CD63" s="130"/>
      <c r="CE63" s="130"/>
      <c r="CF63" s="130"/>
      <c r="CG63" s="130"/>
      <c r="CH63" s="130"/>
      <c r="CI63" s="130"/>
      <c r="CJ63" s="130"/>
      <c r="CK63" s="130"/>
      <c r="CL63" s="130"/>
      <c r="CM63" s="130"/>
      <c r="CN63" s="130"/>
      <c r="CO63" s="130"/>
      <c r="CP63" s="130"/>
      <c r="CQ63" s="130"/>
      <c r="CR63" s="130"/>
      <c r="CS63" s="130"/>
      <c r="CT63" s="130"/>
      <c r="CU63" s="130"/>
      <c r="CV63" s="130"/>
      <c r="CW63" s="130"/>
      <c r="CX63" s="130"/>
      <c r="CY63" s="130"/>
      <c r="CZ63" s="130"/>
      <c r="DA63" s="130"/>
      <c r="DB63" s="130"/>
      <c r="DC63" s="130"/>
      <c r="DD63" s="130"/>
      <c r="DE63" s="130"/>
      <c r="DF63" s="130"/>
      <c r="DG63" s="130"/>
      <c r="DH63" s="130"/>
      <c r="DI63" s="130"/>
      <c r="DJ63" s="130"/>
      <c r="DK63" s="130"/>
      <c r="DL63" s="130"/>
      <c r="DM63" s="130"/>
      <c r="DN63" s="130"/>
      <c r="DO63" s="130"/>
      <c r="DP63" s="130"/>
      <c r="DQ63" s="130"/>
      <c r="DR63" s="130"/>
      <c r="DS63" s="130"/>
      <c r="DT63" s="130"/>
      <c r="DU63" s="130"/>
      <c r="DV63" s="130"/>
      <c r="DW63" s="130"/>
      <c r="DX63" s="130"/>
      <c r="DY63" s="130"/>
      <c r="DZ63" s="130"/>
      <c r="EA63" s="130"/>
      <c r="EB63" s="130"/>
      <c r="EC63" s="130"/>
      <c r="ED63" s="130"/>
      <c r="EE63" s="130"/>
      <c r="EF63" s="130"/>
      <c r="EG63" s="130"/>
      <c r="EH63" s="130"/>
      <c r="EI63" s="130"/>
      <c r="EJ63" s="130"/>
      <c r="EK63" s="130"/>
      <c r="EL63" s="130"/>
      <c r="EM63" s="130"/>
      <c r="EN63" s="130"/>
      <c r="EO63" s="130"/>
      <c r="EP63" s="130"/>
      <c r="EQ63" s="130"/>
      <c r="ER63" s="130"/>
      <c r="ES63" s="130"/>
      <c r="ET63" s="130"/>
      <c r="EU63" s="130"/>
      <c r="EV63" s="130"/>
      <c r="EW63" s="130"/>
      <c r="EX63" s="130"/>
      <c r="EY63" s="130"/>
      <c r="EZ63" s="130"/>
      <c r="FA63" s="130"/>
      <c r="FB63" s="130"/>
      <c r="FC63" s="130"/>
      <c r="FD63" s="130"/>
      <c r="FE63" s="130"/>
      <c r="FF63" s="130"/>
      <c r="FG63" s="130"/>
      <c r="FH63" s="130"/>
      <c r="FI63" s="130"/>
      <c r="FJ63" s="130"/>
      <c r="FK63" s="130"/>
      <c r="FL63" s="130"/>
      <c r="FM63" s="130"/>
      <c r="FN63" s="130"/>
      <c r="FO63" s="130"/>
      <c r="FP63" s="130"/>
      <c r="FQ63" s="130"/>
      <c r="FR63" s="130"/>
      <c r="FS63" s="130"/>
      <c r="FT63" s="130"/>
      <c r="FU63" s="130"/>
      <c r="FV63" s="130"/>
      <c r="FW63" s="130"/>
      <c r="FX63" s="130"/>
      <c r="FY63" s="130"/>
      <c r="FZ63" s="130"/>
      <c r="GA63" s="130"/>
      <c r="GB63" s="130"/>
      <c r="GC63" s="130"/>
      <c r="GD63" s="130"/>
      <c r="GE63" s="130"/>
      <c r="GF63" s="130"/>
      <c r="GG63" s="130"/>
      <c r="GH63" s="130"/>
      <c r="GI63" s="130"/>
      <c r="GJ63" s="130"/>
      <c r="GK63" s="130"/>
      <c r="GL63" s="130"/>
      <c r="GM63" s="130"/>
      <c r="GN63" s="130"/>
      <c r="GO63" s="130"/>
      <c r="GP63" s="130"/>
      <c r="GQ63" s="130"/>
      <c r="GR63" s="130"/>
      <c r="GS63" s="130"/>
      <c r="GT63" s="130"/>
      <c r="GU63" s="130"/>
      <c r="GV63" s="130"/>
      <c r="GW63" s="130"/>
      <c r="GX63" s="130"/>
      <c r="GY63" s="130"/>
      <c r="GZ63" s="130"/>
      <c r="HA63" s="130"/>
      <c r="HB63" s="130"/>
      <c r="HC63" s="130"/>
      <c r="HD63" s="130"/>
      <c r="HE63" s="130"/>
      <c r="HF63" s="130"/>
      <c r="HG63" s="130"/>
      <c r="HH63" s="130"/>
      <c r="HI63" s="130"/>
      <c r="HJ63" s="130"/>
      <c r="HK63" s="130"/>
      <c r="HL63" s="130"/>
      <c r="HM63" s="130"/>
      <c r="HN63" s="130"/>
      <c r="HO63" s="130"/>
      <c r="HP63" s="130"/>
      <c r="HQ63" s="130"/>
      <c r="HR63" s="130"/>
      <c r="HS63" s="130"/>
      <c r="HT63" s="130"/>
      <c r="HU63" s="130"/>
      <c r="HV63" s="130"/>
      <c r="HW63" s="130"/>
      <c r="HX63" s="130"/>
      <c r="HY63" s="130"/>
      <c r="HZ63" s="130"/>
      <c r="IA63" s="130"/>
      <c r="IB63" s="130"/>
    </row>
    <row r="64" spans="1:236" ht="14.15" customHeight="1">
      <c r="A64" s="130"/>
      <c r="B64" s="129"/>
      <c r="C64" s="129"/>
      <c r="D64" s="129"/>
      <c r="E64" s="129"/>
      <c r="F64" s="129"/>
      <c r="G64" s="129"/>
      <c r="H64" s="129"/>
      <c r="I64" s="1420">
        <v>17237352000</v>
      </c>
      <c r="J64" s="1420"/>
      <c r="K64" s="129"/>
      <c r="L64" s="129"/>
      <c r="N64" s="1034"/>
      <c r="O64" s="1034"/>
      <c r="W64" s="548"/>
      <c r="X64" s="1427"/>
      <c r="Y64" s="548"/>
      <c r="Z64" s="548"/>
      <c r="AA64" s="548"/>
      <c r="AB64" s="548"/>
      <c r="AC64" s="548"/>
      <c r="AD64" s="548"/>
      <c r="AE64" s="548"/>
      <c r="AF64" s="548"/>
      <c r="AG64" s="548"/>
      <c r="AH64" s="548"/>
      <c r="AI64" s="548"/>
      <c r="AJ64" s="548"/>
      <c r="AK64" s="548"/>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0"/>
      <c r="CQ64" s="130"/>
      <c r="CR64" s="130"/>
      <c r="CS64" s="130"/>
      <c r="CT64" s="130"/>
      <c r="CU64" s="130"/>
      <c r="CV64" s="130"/>
      <c r="CW64" s="130"/>
      <c r="CX64" s="130"/>
      <c r="CY64" s="130"/>
      <c r="CZ64" s="130"/>
      <c r="DA64" s="130"/>
      <c r="DB64" s="130"/>
      <c r="DC64" s="130"/>
      <c r="DD64" s="130"/>
      <c r="DE64" s="130"/>
      <c r="DF64" s="130"/>
      <c r="DG64" s="130"/>
      <c r="DH64" s="130"/>
      <c r="DI64" s="130"/>
      <c r="DJ64" s="130"/>
      <c r="DK64" s="130"/>
      <c r="DL64" s="130"/>
      <c r="DM64" s="130"/>
      <c r="DN64" s="130"/>
      <c r="DO64" s="130"/>
      <c r="DP64" s="130"/>
      <c r="DQ64" s="130"/>
      <c r="DR64" s="130"/>
      <c r="DS64" s="130"/>
      <c r="DT64" s="130"/>
      <c r="DU64" s="130"/>
      <c r="DV64" s="130"/>
      <c r="DW64" s="130"/>
      <c r="DX64" s="130"/>
      <c r="DY64" s="130"/>
      <c r="DZ64" s="130"/>
      <c r="EA64" s="130"/>
      <c r="EB64" s="130"/>
      <c r="EC64" s="130"/>
      <c r="ED64" s="130"/>
      <c r="EE64" s="130"/>
      <c r="EF64" s="130"/>
      <c r="EG64" s="130"/>
      <c r="EH64" s="130"/>
      <c r="EI64" s="130"/>
      <c r="EJ64" s="130"/>
      <c r="EK64" s="130"/>
      <c r="EL64" s="130"/>
      <c r="EM64" s="130"/>
      <c r="EN64" s="130"/>
      <c r="EO64" s="130"/>
      <c r="EP64" s="130"/>
      <c r="EQ64" s="130"/>
      <c r="ER64" s="130"/>
      <c r="ES64" s="130"/>
      <c r="ET64" s="130"/>
      <c r="EU64" s="130"/>
      <c r="EV64" s="130"/>
      <c r="EW64" s="130"/>
      <c r="EX64" s="130"/>
      <c r="EY64" s="130"/>
      <c r="EZ64" s="130"/>
      <c r="FA64" s="130"/>
      <c r="FB64" s="130"/>
      <c r="FC64" s="130"/>
      <c r="FD64" s="130"/>
      <c r="FE64" s="130"/>
      <c r="FF64" s="130"/>
      <c r="FG64" s="130"/>
      <c r="FH64" s="130"/>
      <c r="FI64" s="130"/>
      <c r="FJ64" s="130"/>
      <c r="FK64" s="130"/>
      <c r="FL64" s="130"/>
      <c r="FM64" s="130"/>
      <c r="FN64" s="130"/>
      <c r="FO64" s="130"/>
      <c r="FP64" s="130"/>
      <c r="FQ64" s="130"/>
      <c r="FR64" s="130"/>
      <c r="FS64" s="130"/>
      <c r="FT64" s="130"/>
      <c r="FU64" s="130"/>
      <c r="FV64" s="130"/>
      <c r="FW64" s="130"/>
      <c r="FX64" s="130"/>
      <c r="FY64" s="130"/>
      <c r="FZ64" s="130"/>
      <c r="GA64" s="130"/>
      <c r="GB64" s="130"/>
      <c r="GC64" s="130"/>
      <c r="GD64" s="130"/>
      <c r="GE64" s="130"/>
      <c r="GF64" s="130"/>
      <c r="GG64" s="130"/>
      <c r="GH64" s="130"/>
      <c r="GI64" s="130"/>
      <c r="GJ64" s="130"/>
      <c r="GK64" s="130"/>
      <c r="GL64" s="130"/>
      <c r="GM64" s="130"/>
      <c r="GN64" s="130"/>
      <c r="GO64" s="130"/>
      <c r="GP64" s="130"/>
      <c r="GQ64" s="130"/>
      <c r="GR64" s="130"/>
      <c r="GS64" s="130"/>
      <c r="GT64" s="130"/>
      <c r="GU64" s="130"/>
      <c r="GV64" s="130"/>
      <c r="GW64" s="130"/>
      <c r="GX64" s="130"/>
      <c r="GY64" s="130"/>
      <c r="GZ64" s="130"/>
      <c r="HA64" s="130"/>
      <c r="HB64" s="130"/>
      <c r="HC64" s="130"/>
      <c r="HD64" s="130"/>
      <c r="HE64" s="130"/>
      <c r="HF64" s="130"/>
      <c r="HG64" s="130"/>
      <c r="HH64" s="130"/>
      <c r="HI64" s="130"/>
      <c r="HJ64" s="130"/>
      <c r="HK64" s="130"/>
      <c r="HL64" s="130"/>
      <c r="HM64" s="130"/>
      <c r="HN64" s="130"/>
      <c r="HO64" s="130"/>
      <c r="HP64" s="130"/>
      <c r="HQ64" s="130"/>
      <c r="HR64" s="130"/>
      <c r="HS64" s="130"/>
      <c r="HT64" s="130"/>
      <c r="HU64" s="130"/>
      <c r="HV64" s="130"/>
      <c r="HW64" s="130"/>
      <c r="HX64" s="130"/>
      <c r="HY64" s="130"/>
      <c r="HZ64" s="130"/>
      <c r="IA64" s="130"/>
      <c r="IB64" s="130"/>
    </row>
    <row r="65" spans="1:236" ht="14.15" customHeight="1">
      <c r="A65" s="130"/>
      <c r="B65" s="129"/>
      <c r="C65" s="129"/>
      <c r="D65" s="129"/>
      <c r="E65" s="129"/>
      <c r="F65" s="129"/>
      <c r="G65" s="129"/>
      <c r="H65" s="129"/>
      <c r="I65" s="1420">
        <f>I63-I64</f>
        <v>66314344.539997101</v>
      </c>
      <c r="J65" s="1420"/>
      <c r="K65" s="129"/>
      <c r="L65" s="129"/>
      <c r="N65" s="1034"/>
      <c r="O65" s="1034"/>
      <c r="W65" s="548"/>
      <c r="X65" s="1427"/>
      <c r="Y65" s="548"/>
      <c r="Z65" s="548"/>
      <c r="AA65" s="548"/>
      <c r="AB65" s="548"/>
      <c r="AC65" s="548"/>
      <c r="AD65" s="548"/>
      <c r="AE65" s="548"/>
      <c r="AF65" s="548"/>
      <c r="AG65" s="548"/>
      <c r="AH65" s="548"/>
      <c r="AI65" s="548"/>
      <c r="AJ65" s="548"/>
      <c r="AK65" s="548"/>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0"/>
      <c r="DI65" s="130"/>
      <c r="DJ65" s="130"/>
      <c r="DK65" s="130"/>
      <c r="DL65" s="130"/>
      <c r="DM65" s="130"/>
      <c r="DN65" s="130"/>
      <c r="DO65" s="130"/>
      <c r="DP65" s="130"/>
      <c r="DQ65" s="130"/>
      <c r="DR65" s="130"/>
      <c r="DS65" s="130"/>
      <c r="DT65" s="130"/>
      <c r="DU65" s="130"/>
      <c r="DV65" s="130"/>
      <c r="DW65" s="130"/>
      <c r="DX65" s="130"/>
      <c r="DY65" s="130"/>
      <c r="DZ65" s="130"/>
      <c r="EA65" s="130"/>
      <c r="EB65" s="130"/>
      <c r="EC65" s="130"/>
      <c r="ED65" s="130"/>
      <c r="EE65" s="130"/>
      <c r="EF65" s="130"/>
      <c r="EG65" s="130"/>
      <c r="EH65" s="130"/>
      <c r="EI65" s="130"/>
      <c r="EJ65" s="130"/>
      <c r="EK65" s="130"/>
      <c r="EL65" s="130"/>
      <c r="EM65" s="130"/>
      <c r="EN65" s="130"/>
      <c r="EO65" s="130"/>
      <c r="EP65" s="130"/>
      <c r="EQ65" s="130"/>
      <c r="ER65" s="130"/>
      <c r="ES65" s="130"/>
      <c r="ET65" s="130"/>
      <c r="EU65" s="130"/>
      <c r="EV65" s="130"/>
      <c r="EW65" s="130"/>
      <c r="EX65" s="130"/>
      <c r="EY65" s="130"/>
      <c r="EZ65" s="130"/>
      <c r="FA65" s="130"/>
      <c r="FB65" s="130"/>
      <c r="FC65" s="130"/>
      <c r="FD65" s="130"/>
      <c r="FE65" s="130"/>
      <c r="FF65" s="130"/>
      <c r="FG65" s="130"/>
      <c r="FH65" s="130"/>
      <c r="FI65" s="130"/>
      <c r="FJ65" s="130"/>
      <c r="FK65" s="130"/>
      <c r="FL65" s="130"/>
      <c r="FM65" s="130"/>
      <c r="FN65" s="130"/>
      <c r="FO65" s="130"/>
      <c r="FP65" s="130"/>
      <c r="FQ65" s="130"/>
      <c r="FR65" s="130"/>
      <c r="FS65" s="130"/>
      <c r="FT65" s="130"/>
      <c r="FU65" s="130"/>
      <c r="FV65" s="130"/>
      <c r="FW65" s="130"/>
      <c r="FX65" s="130"/>
      <c r="FY65" s="130"/>
      <c r="FZ65" s="130"/>
      <c r="GA65" s="130"/>
      <c r="GB65" s="130"/>
      <c r="GC65" s="130"/>
      <c r="GD65" s="130"/>
      <c r="GE65" s="130"/>
      <c r="GF65" s="130"/>
      <c r="GG65" s="130"/>
      <c r="GH65" s="130"/>
      <c r="GI65" s="130"/>
      <c r="GJ65" s="130"/>
      <c r="GK65" s="130"/>
      <c r="GL65" s="130"/>
      <c r="GM65" s="130"/>
      <c r="GN65" s="130"/>
      <c r="GO65" s="130"/>
      <c r="GP65" s="130"/>
      <c r="GQ65" s="130"/>
      <c r="GR65" s="130"/>
      <c r="GS65" s="130"/>
      <c r="GT65" s="130"/>
      <c r="GU65" s="130"/>
      <c r="GV65" s="130"/>
      <c r="GW65" s="130"/>
      <c r="GX65" s="130"/>
      <c r="GY65" s="130"/>
      <c r="GZ65" s="130"/>
      <c r="HA65" s="130"/>
      <c r="HB65" s="130"/>
      <c r="HC65" s="130"/>
      <c r="HD65" s="130"/>
      <c r="HE65" s="130"/>
      <c r="HF65" s="130"/>
      <c r="HG65" s="130"/>
      <c r="HH65" s="130"/>
      <c r="HI65" s="130"/>
      <c r="HJ65" s="130"/>
      <c r="HK65" s="130"/>
      <c r="HL65" s="130"/>
      <c r="HM65" s="130"/>
      <c r="HN65" s="130"/>
      <c r="HO65" s="130"/>
      <c r="HP65" s="130"/>
      <c r="HQ65" s="130"/>
      <c r="HR65" s="130"/>
      <c r="HS65" s="130"/>
      <c r="HT65" s="130"/>
      <c r="HU65" s="130"/>
      <c r="HV65" s="130"/>
      <c r="HW65" s="130"/>
      <c r="HX65" s="130"/>
      <c r="HY65" s="130"/>
      <c r="HZ65" s="130"/>
      <c r="IA65" s="130"/>
      <c r="IB65" s="130"/>
    </row>
    <row r="66" spans="1:236" ht="14.15" customHeight="1">
      <c r="A66" s="130"/>
      <c r="B66" s="129"/>
      <c r="C66" s="129"/>
      <c r="D66" s="129"/>
      <c r="E66" s="129"/>
      <c r="F66" s="129"/>
      <c r="G66" s="129"/>
      <c r="H66" s="129"/>
      <c r="I66" s="374">
        <f>I65/I63</f>
        <v>3.8323869184476007E-3</v>
      </c>
      <c r="J66" s="374"/>
      <c r="K66" s="129"/>
      <c r="L66" s="129"/>
      <c r="N66" s="1034"/>
      <c r="O66" s="1034"/>
      <c r="W66" s="548"/>
      <c r="X66" s="1427"/>
      <c r="Y66" s="548"/>
      <c r="Z66" s="548"/>
      <c r="AA66" s="548"/>
      <c r="AB66" s="548"/>
      <c r="AC66" s="548"/>
      <c r="AD66" s="548"/>
      <c r="AE66" s="548"/>
      <c r="AF66" s="548"/>
      <c r="AG66" s="548"/>
      <c r="AH66" s="548"/>
      <c r="AI66" s="548"/>
      <c r="AJ66" s="548"/>
      <c r="AK66" s="548"/>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0"/>
      <c r="DI66" s="130"/>
      <c r="DJ66" s="130"/>
      <c r="DK66" s="130"/>
      <c r="DL66" s="130"/>
      <c r="DM66" s="130"/>
      <c r="DN66" s="130"/>
      <c r="DO66" s="130"/>
      <c r="DP66" s="130"/>
      <c r="DQ66" s="130"/>
      <c r="DR66" s="130"/>
      <c r="DS66" s="130"/>
      <c r="DT66" s="130"/>
      <c r="DU66" s="130"/>
      <c r="DV66" s="130"/>
      <c r="DW66" s="130"/>
      <c r="DX66" s="130"/>
      <c r="DY66" s="130"/>
      <c r="DZ66" s="130"/>
      <c r="EA66" s="130"/>
      <c r="EB66" s="130"/>
      <c r="EC66" s="130"/>
      <c r="ED66" s="130"/>
      <c r="EE66" s="130"/>
      <c r="EF66" s="130"/>
      <c r="EG66" s="130"/>
      <c r="EH66" s="130"/>
      <c r="EI66" s="130"/>
      <c r="EJ66" s="130"/>
      <c r="EK66" s="130"/>
      <c r="EL66" s="130"/>
      <c r="EM66" s="130"/>
      <c r="EN66" s="130"/>
      <c r="EO66" s="130"/>
      <c r="EP66" s="130"/>
      <c r="EQ66" s="130"/>
      <c r="ER66" s="130"/>
      <c r="ES66" s="130"/>
      <c r="ET66" s="130"/>
      <c r="EU66" s="130"/>
      <c r="EV66" s="130"/>
      <c r="EW66" s="130"/>
      <c r="EX66" s="130"/>
      <c r="EY66" s="130"/>
      <c r="EZ66" s="130"/>
      <c r="FA66" s="130"/>
      <c r="FB66" s="130"/>
      <c r="FC66" s="130"/>
      <c r="FD66" s="130"/>
      <c r="FE66" s="130"/>
      <c r="FF66" s="130"/>
      <c r="FG66" s="130"/>
      <c r="FH66" s="130"/>
      <c r="FI66" s="130"/>
      <c r="FJ66" s="130"/>
      <c r="FK66" s="130"/>
      <c r="FL66" s="130"/>
      <c r="FM66" s="130"/>
      <c r="FN66" s="130"/>
      <c r="FO66" s="130"/>
      <c r="FP66" s="130"/>
      <c r="FQ66" s="130"/>
      <c r="FR66" s="130"/>
      <c r="FS66" s="130"/>
      <c r="FT66" s="130"/>
      <c r="FU66" s="130"/>
      <c r="FV66" s="130"/>
      <c r="FW66" s="130"/>
      <c r="FX66" s="130"/>
      <c r="FY66" s="130"/>
      <c r="FZ66" s="130"/>
      <c r="GA66" s="130"/>
      <c r="GB66" s="130"/>
      <c r="GC66" s="130"/>
      <c r="GD66" s="130"/>
      <c r="GE66" s="130"/>
      <c r="GF66" s="130"/>
      <c r="GG66" s="130"/>
      <c r="GH66" s="130"/>
      <c r="GI66" s="130"/>
      <c r="GJ66" s="130"/>
      <c r="GK66" s="130"/>
      <c r="GL66" s="130"/>
      <c r="GM66" s="130"/>
      <c r="GN66" s="130"/>
      <c r="GO66" s="130"/>
      <c r="GP66" s="130"/>
      <c r="GQ66" s="130"/>
      <c r="GR66" s="130"/>
      <c r="GS66" s="130"/>
      <c r="GT66" s="130"/>
      <c r="GU66" s="130"/>
      <c r="GV66" s="130"/>
      <c r="GW66" s="130"/>
      <c r="GX66" s="130"/>
      <c r="GY66" s="130"/>
      <c r="GZ66" s="130"/>
      <c r="HA66" s="130"/>
      <c r="HB66" s="130"/>
      <c r="HC66" s="130"/>
      <c r="HD66" s="130"/>
      <c r="HE66" s="130"/>
      <c r="HF66" s="130"/>
      <c r="HG66" s="130"/>
      <c r="HH66" s="130"/>
      <c r="HI66" s="130"/>
      <c r="HJ66" s="130"/>
      <c r="HK66" s="130"/>
      <c r="HL66" s="130"/>
      <c r="HM66" s="130"/>
      <c r="HN66" s="130"/>
      <c r="HO66" s="130"/>
      <c r="HP66" s="130"/>
      <c r="HQ66" s="130"/>
      <c r="HR66" s="130"/>
      <c r="HS66" s="130"/>
      <c r="HT66" s="130"/>
      <c r="HU66" s="130"/>
      <c r="HV66" s="130"/>
      <c r="HW66" s="130"/>
      <c r="HX66" s="130"/>
      <c r="HY66" s="130"/>
      <c r="HZ66" s="130"/>
      <c r="IA66" s="130"/>
      <c r="IB66" s="130"/>
    </row>
    <row r="67" spans="1:236" ht="14.15" customHeight="1">
      <c r="A67" s="130"/>
      <c r="B67" s="129"/>
      <c r="C67" s="129"/>
      <c r="D67" s="129"/>
      <c r="E67" s="129"/>
      <c r="F67" s="129"/>
      <c r="G67" s="129"/>
      <c r="H67" s="129"/>
      <c r="I67" s="129"/>
      <c r="J67" s="129"/>
      <c r="K67" s="129"/>
      <c r="L67" s="129"/>
      <c r="N67" s="1034"/>
      <c r="O67" s="1034"/>
      <c r="W67" s="548"/>
      <c r="X67" s="1427"/>
      <c r="Y67" s="548"/>
      <c r="Z67" s="548"/>
      <c r="AA67" s="548"/>
      <c r="AB67" s="548"/>
      <c r="AC67" s="548"/>
      <c r="AD67" s="548"/>
      <c r="AE67" s="548"/>
      <c r="AF67" s="548"/>
      <c r="AG67" s="548"/>
      <c r="AH67" s="548"/>
      <c r="AI67" s="548"/>
      <c r="AJ67" s="548"/>
      <c r="AK67" s="548"/>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0"/>
      <c r="DI67" s="130"/>
      <c r="DJ67" s="130"/>
      <c r="DK67" s="130"/>
      <c r="DL67" s="130"/>
      <c r="DM67" s="130"/>
      <c r="DN67" s="130"/>
      <c r="DO67" s="130"/>
      <c r="DP67" s="130"/>
      <c r="DQ67" s="130"/>
      <c r="DR67" s="130"/>
      <c r="DS67" s="130"/>
      <c r="DT67" s="130"/>
      <c r="DU67" s="130"/>
      <c r="DV67" s="130"/>
      <c r="DW67" s="130"/>
      <c r="DX67" s="130"/>
      <c r="DY67" s="130"/>
      <c r="DZ67" s="130"/>
      <c r="EA67" s="130"/>
      <c r="EB67" s="130"/>
      <c r="EC67" s="130"/>
      <c r="ED67" s="130"/>
      <c r="EE67" s="130"/>
      <c r="EF67" s="130"/>
      <c r="EG67" s="130"/>
      <c r="EH67" s="130"/>
      <c r="EI67" s="130"/>
      <c r="EJ67" s="130"/>
      <c r="EK67" s="130"/>
      <c r="EL67" s="130"/>
      <c r="EM67" s="130"/>
      <c r="EN67" s="130"/>
      <c r="EO67" s="130"/>
      <c r="EP67" s="130"/>
      <c r="EQ67" s="130"/>
      <c r="ER67" s="130"/>
      <c r="ES67" s="130"/>
      <c r="ET67" s="130"/>
      <c r="EU67" s="130"/>
      <c r="EV67" s="130"/>
      <c r="EW67" s="130"/>
      <c r="EX67" s="130"/>
      <c r="EY67" s="130"/>
      <c r="EZ67" s="130"/>
      <c r="FA67" s="130"/>
      <c r="FB67" s="130"/>
      <c r="FC67" s="130"/>
      <c r="FD67" s="130"/>
      <c r="FE67" s="130"/>
      <c r="FF67" s="130"/>
      <c r="FG67" s="130"/>
      <c r="FH67" s="130"/>
      <c r="FI67" s="130"/>
      <c r="FJ67" s="130"/>
      <c r="FK67" s="130"/>
      <c r="FL67" s="130"/>
      <c r="FM67" s="130"/>
      <c r="FN67" s="130"/>
      <c r="FO67" s="130"/>
      <c r="FP67" s="130"/>
      <c r="FQ67" s="130"/>
      <c r="FR67" s="130"/>
      <c r="FS67" s="130"/>
      <c r="FT67" s="130"/>
      <c r="FU67" s="130"/>
      <c r="FV67" s="130"/>
      <c r="FW67" s="130"/>
      <c r="FX67" s="130"/>
      <c r="FY67" s="130"/>
      <c r="FZ67" s="130"/>
      <c r="GA67" s="130"/>
      <c r="GB67" s="130"/>
      <c r="GC67" s="130"/>
      <c r="GD67" s="130"/>
      <c r="GE67" s="130"/>
      <c r="GF67" s="130"/>
      <c r="GG67" s="130"/>
      <c r="GH67" s="130"/>
      <c r="GI67" s="130"/>
      <c r="GJ67" s="130"/>
      <c r="GK67" s="130"/>
      <c r="GL67" s="130"/>
      <c r="GM67" s="130"/>
      <c r="GN67" s="130"/>
      <c r="GO67" s="130"/>
      <c r="GP67" s="130"/>
      <c r="GQ67" s="130"/>
      <c r="GR67" s="130"/>
      <c r="GS67" s="130"/>
      <c r="GT67" s="130"/>
      <c r="GU67" s="130"/>
      <c r="GV67" s="130"/>
      <c r="GW67" s="130"/>
      <c r="GX67" s="130"/>
      <c r="GY67" s="130"/>
      <c r="GZ67" s="130"/>
      <c r="HA67" s="130"/>
      <c r="HB67" s="130"/>
      <c r="HC67" s="130"/>
      <c r="HD67" s="130"/>
      <c r="HE67" s="130"/>
      <c r="HF67" s="130"/>
      <c r="HG67" s="130"/>
      <c r="HH67" s="130"/>
      <c r="HI67" s="130"/>
      <c r="HJ67" s="130"/>
      <c r="HK67" s="130"/>
      <c r="HL67" s="130"/>
      <c r="HM67" s="130"/>
      <c r="HN67" s="130"/>
      <c r="HO67" s="130"/>
      <c r="HP67" s="130"/>
      <c r="HQ67" s="130"/>
      <c r="HR67" s="130"/>
      <c r="HS67" s="130"/>
      <c r="HT67" s="130"/>
      <c r="HU67" s="130"/>
      <c r="HV67" s="130"/>
      <c r="HW67" s="130"/>
      <c r="HX67" s="130"/>
      <c r="HY67" s="130"/>
      <c r="HZ67" s="130"/>
      <c r="IA67" s="130"/>
      <c r="IB67" s="130"/>
    </row>
    <row r="68" spans="1:236" ht="14.15" customHeight="1">
      <c r="A68" s="130"/>
      <c r="B68" s="129"/>
      <c r="C68" s="129"/>
      <c r="D68" s="129"/>
      <c r="E68" s="129"/>
      <c r="F68" s="129"/>
      <c r="G68" s="129"/>
      <c r="H68" s="129"/>
      <c r="I68" s="129"/>
      <c r="J68" s="129"/>
      <c r="K68" s="129"/>
      <c r="L68" s="129"/>
      <c r="N68" s="1034"/>
      <c r="O68" s="1034"/>
      <c r="W68" s="548"/>
      <c r="X68" s="1427"/>
      <c r="Y68" s="548"/>
      <c r="Z68" s="548"/>
      <c r="AA68" s="548"/>
      <c r="AB68" s="548"/>
      <c r="AC68" s="548"/>
      <c r="AD68" s="548"/>
      <c r="AE68" s="548"/>
      <c r="AF68" s="548"/>
      <c r="AG68" s="548"/>
      <c r="AH68" s="548"/>
      <c r="AI68" s="548"/>
      <c r="AJ68" s="548"/>
      <c r="AK68" s="548"/>
      <c r="AL68" s="130"/>
      <c r="AM68" s="130"/>
      <c r="AN68" s="130"/>
      <c r="AO68" s="130"/>
      <c r="AP68" s="130"/>
      <c r="AQ68" s="130"/>
      <c r="AR68" s="130"/>
      <c r="AS68" s="130"/>
      <c r="AT68" s="130"/>
      <c r="AU68" s="130"/>
      <c r="AV68" s="130"/>
      <c r="AW68" s="130"/>
      <c r="AX68" s="130"/>
      <c r="AY68" s="130"/>
      <c r="AZ68" s="130"/>
      <c r="BA68" s="130"/>
      <c r="BB68" s="130"/>
      <c r="BC68" s="130"/>
      <c r="BD68" s="130"/>
      <c r="BE68" s="130"/>
      <c r="BF68" s="130"/>
      <c r="BG68" s="130"/>
      <c r="BH68" s="130"/>
      <c r="BI68" s="130"/>
      <c r="BJ68" s="130"/>
      <c r="BK68" s="130"/>
      <c r="BL68" s="130"/>
      <c r="BM68" s="130"/>
      <c r="BN68" s="130"/>
      <c r="BO68" s="130"/>
      <c r="BP68" s="130"/>
      <c r="BQ68" s="130"/>
      <c r="BR68" s="130"/>
      <c r="BS68" s="130"/>
      <c r="BT68" s="130"/>
      <c r="BU68" s="130"/>
      <c r="BV68" s="130"/>
      <c r="BW68" s="130"/>
      <c r="BX68" s="130"/>
      <c r="BY68" s="130"/>
      <c r="BZ68" s="130"/>
      <c r="CA68" s="130"/>
      <c r="CB68" s="130"/>
      <c r="CC68" s="130"/>
      <c r="CD68" s="130"/>
      <c r="CE68" s="130"/>
      <c r="CF68" s="130"/>
      <c r="CG68" s="130"/>
      <c r="CH68" s="130"/>
      <c r="CI68" s="130"/>
      <c r="CJ68" s="130"/>
      <c r="CK68" s="130"/>
      <c r="CL68" s="130"/>
      <c r="CM68" s="130"/>
      <c r="CN68" s="130"/>
      <c r="CO68" s="130"/>
      <c r="CP68" s="130"/>
      <c r="CQ68" s="130"/>
      <c r="CR68" s="130"/>
      <c r="CS68" s="130"/>
      <c r="CT68" s="130"/>
      <c r="CU68" s="130"/>
      <c r="CV68" s="130"/>
      <c r="CW68" s="130"/>
      <c r="CX68" s="130"/>
      <c r="CY68" s="130"/>
      <c r="CZ68" s="130"/>
      <c r="DA68" s="130"/>
      <c r="DB68" s="130"/>
      <c r="DC68" s="130"/>
      <c r="DD68" s="130"/>
      <c r="DE68" s="130"/>
      <c r="DF68" s="130"/>
      <c r="DG68" s="130"/>
      <c r="DH68" s="130"/>
      <c r="DI68" s="130"/>
      <c r="DJ68" s="130"/>
      <c r="DK68" s="130"/>
      <c r="DL68" s="130"/>
      <c r="DM68" s="130"/>
      <c r="DN68" s="130"/>
      <c r="DO68" s="130"/>
      <c r="DP68" s="130"/>
      <c r="DQ68" s="130"/>
      <c r="DR68" s="130"/>
      <c r="DS68" s="130"/>
      <c r="DT68" s="130"/>
      <c r="DU68" s="130"/>
      <c r="DV68" s="130"/>
      <c r="DW68" s="130"/>
      <c r="DX68" s="130"/>
      <c r="DY68" s="130"/>
      <c r="DZ68" s="130"/>
      <c r="EA68" s="130"/>
      <c r="EB68" s="130"/>
      <c r="EC68" s="130"/>
      <c r="ED68" s="130"/>
      <c r="EE68" s="130"/>
      <c r="EF68" s="130"/>
      <c r="EG68" s="130"/>
      <c r="EH68" s="130"/>
      <c r="EI68" s="130"/>
      <c r="EJ68" s="130"/>
      <c r="EK68" s="130"/>
      <c r="EL68" s="130"/>
      <c r="EM68" s="130"/>
      <c r="EN68" s="130"/>
      <c r="EO68" s="130"/>
      <c r="EP68" s="130"/>
      <c r="EQ68" s="130"/>
      <c r="ER68" s="130"/>
      <c r="ES68" s="130"/>
      <c r="ET68" s="130"/>
      <c r="EU68" s="130"/>
      <c r="EV68" s="130"/>
      <c r="EW68" s="130"/>
      <c r="EX68" s="130"/>
      <c r="EY68" s="130"/>
      <c r="EZ68" s="130"/>
      <c r="FA68" s="130"/>
      <c r="FB68" s="130"/>
      <c r="FC68" s="130"/>
      <c r="FD68" s="130"/>
      <c r="FE68" s="130"/>
      <c r="FF68" s="130"/>
      <c r="FG68" s="130"/>
      <c r="FH68" s="130"/>
      <c r="FI68" s="130"/>
      <c r="FJ68" s="130"/>
      <c r="FK68" s="130"/>
      <c r="FL68" s="130"/>
      <c r="FM68" s="130"/>
      <c r="FN68" s="130"/>
      <c r="FO68" s="130"/>
      <c r="FP68" s="130"/>
      <c r="FQ68" s="130"/>
      <c r="FR68" s="130"/>
      <c r="FS68" s="130"/>
      <c r="FT68" s="130"/>
      <c r="FU68" s="130"/>
      <c r="FV68" s="130"/>
      <c r="FW68" s="130"/>
      <c r="FX68" s="130"/>
      <c r="FY68" s="130"/>
      <c r="FZ68" s="130"/>
      <c r="GA68" s="130"/>
      <c r="GB68" s="130"/>
      <c r="GC68" s="130"/>
      <c r="GD68" s="130"/>
      <c r="GE68" s="130"/>
      <c r="GF68" s="130"/>
      <c r="GG68" s="130"/>
      <c r="GH68" s="130"/>
      <c r="GI68" s="130"/>
      <c r="GJ68" s="130"/>
      <c r="GK68" s="130"/>
      <c r="GL68" s="130"/>
      <c r="GM68" s="130"/>
      <c r="GN68" s="130"/>
      <c r="GO68" s="130"/>
      <c r="GP68" s="130"/>
      <c r="GQ68" s="130"/>
      <c r="GR68" s="130"/>
      <c r="GS68" s="130"/>
      <c r="GT68" s="130"/>
      <c r="GU68" s="130"/>
      <c r="GV68" s="130"/>
      <c r="GW68" s="130"/>
      <c r="GX68" s="130"/>
      <c r="GY68" s="130"/>
      <c r="GZ68" s="130"/>
      <c r="HA68" s="130"/>
      <c r="HB68" s="130"/>
      <c r="HC68" s="130"/>
      <c r="HD68" s="130"/>
      <c r="HE68" s="130"/>
      <c r="HF68" s="130"/>
      <c r="HG68" s="130"/>
      <c r="HH68" s="130"/>
      <c r="HI68" s="130"/>
      <c r="HJ68" s="130"/>
      <c r="HK68" s="130"/>
      <c r="HL68" s="130"/>
      <c r="HM68" s="130"/>
      <c r="HN68" s="130"/>
      <c r="HO68" s="130"/>
      <c r="HP68" s="130"/>
      <c r="HQ68" s="130"/>
      <c r="HR68" s="130"/>
      <c r="HS68" s="130"/>
      <c r="HT68" s="130"/>
      <c r="HU68" s="130"/>
      <c r="HV68" s="130"/>
      <c r="HW68" s="130"/>
      <c r="HX68" s="130"/>
      <c r="HY68" s="130"/>
      <c r="HZ68" s="130"/>
      <c r="IA68" s="130"/>
      <c r="IB68" s="130"/>
    </row>
    <row r="69" spans="1:236" ht="14.15" customHeight="1">
      <c r="A69" s="130"/>
      <c r="B69" s="129"/>
      <c r="C69" s="129"/>
      <c r="D69" s="129"/>
      <c r="E69" s="129"/>
      <c r="F69" s="129"/>
      <c r="G69" s="129"/>
      <c r="H69" s="129"/>
      <c r="I69" s="129"/>
      <c r="J69" s="129"/>
      <c r="K69" s="129"/>
      <c r="L69" s="129"/>
      <c r="N69" s="1034"/>
      <c r="O69" s="1034"/>
      <c r="W69" s="548"/>
      <c r="X69" s="1427"/>
      <c r="Y69" s="548"/>
      <c r="Z69" s="548"/>
      <c r="AA69" s="548"/>
      <c r="AB69" s="548"/>
      <c r="AC69" s="548"/>
      <c r="AD69" s="548"/>
      <c r="AE69" s="548"/>
      <c r="AF69" s="548"/>
      <c r="AG69" s="548"/>
      <c r="AH69" s="548"/>
      <c r="AI69" s="548"/>
      <c r="AJ69" s="548"/>
      <c r="AK69" s="548"/>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0"/>
      <c r="DI69" s="130"/>
      <c r="DJ69" s="130"/>
      <c r="DK69" s="130"/>
      <c r="DL69" s="130"/>
      <c r="DM69" s="130"/>
      <c r="DN69" s="130"/>
      <c r="DO69" s="130"/>
      <c r="DP69" s="130"/>
      <c r="DQ69" s="130"/>
      <c r="DR69" s="130"/>
      <c r="DS69" s="130"/>
      <c r="DT69" s="130"/>
      <c r="DU69" s="130"/>
      <c r="DV69" s="130"/>
      <c r="DW69" s="130"/>
      <c r="DX69" s="130"/>
      <c r="DY69" s="130"/>
      <c r="DZ69" s="130"/>
      <c r="EA69" s="130"/>
      <c r="EB69" s="130"/>
      <c r="EC69" s="130"/>
      <c r="ED69" s="130"/>
      <c r="EE69" s="130"/>
      <c r="EF69" s="130"/>
      <c r="EG69" s="130"/>
      <c r="EH69" s="130"/>
      <c r="EI69" s="130"/>
      <c r="EJ69" s="130"/>
      <c r="EK69" s="130"/>
      <c r="EL69" s="130"/>
      <c r="EM69" s="130"/>
      <c r="EN69" s="130"/>
      <c r="EO69" s="130"/>
      <c r="EP69" s="130"/>
      <c r="EQ69" s="130"/>
      <c r="ER69" s="130"/>
      <c r="ES69" s="130"/>
      <c r="ET69" s="130"/>
      <c r="EU69" s="130"/>
      <c r="EV69" s="130"/>
      <c r="EW69" s="130"/>
      <c r="EX69" s="130"/>
      <c r="EY69" s="130"/>
      <c r="EZ69" s="130"/>
      <c r="FA69" s="130"/>
      <c r="FB69" s="130"/>
      <c r="FC69" s="130"/>
      <c r="FD69" s="130"/>
      <c r="FE69" s="130"/>
      <c r="FF69" s="130"/>
      <c r="FG69" s="130"/>
      <c r="FH69" s="130"/>
      <c r="FI69" s="130"/>
      <c r="FJ69" s="130"/>
      <c r="FK69" s="130"/>
      <c r="FL69" s="130"/>
      <c r="FM69" s="130"/>
      <c r="FN69" s="130"/>
      <c r="FO69" s="130"/>
      <c r="FP69" s="130"/>
      <c r="FQ69" s="130"/>
      <c r="FR69" s="130"/>
      <c r="FS69" s="130"/>
      <c r="FT69" s="130"/>
      <c r="FU69" s="130"/>
      <c r="FV69" s="130"/>
      <c r="FW69" s="130"/>
      <c r="FX69" s="130"/>
      <c r="FY69" s="130"/>
      <c r="FZ69" s="130"/>
      <c r="GA69" s="130"/>
      <c r="GB69" s="130"/>
      <c r="GC69" s="130"/>
      <c r="GD69" s="130"/>
      <c r="GE69" s="130"/>
      <c r="GF69" s="130"/>
      <c r="GG69" s="130"/>
      <c r="GH69" s="130"/>
      <c r="GI69" s="130"/>
      <c r="GJ69" s="130"/>
      <c r="GK69" s="130"/>
      <c r="GL69" s="130"/>
      <c r="GM69" s="130"/>
      <c r="GN69" s="130"/>
      <c r="GO69" s="130"/>
      <c r="GP69" s="130"/>
      <c r="GQ69" s="130"/>
      <c r="GR69" s="130"/>
      <c r="GS69" s="130"/>
      <c r="GT69" s="130"/>
      <c r="GU69" s="130"/>
      <c r="GV69" s="130"/>
      <c r="GW69" s="130"/>
      <c r="GX69" s="130"/>
      <c r="GY69" s="130"/>
      <c r="GZ69" s="130"/>
      <c r="HA69" s="130"/>
      <c r="HB69" s="130"/>
      <c r="HC69" s="130"/>
      <c r="HD69" s="130"/>
      <c r="HE69" s="130"/>
      <c r="HF69" s="130"/>
      <c r="HG69" s="130"/>
      <c r="HH69" s="130"/>
      <c r="HI69" s="130"/>
      <c r="HJ69" s="130"/>
      <c r="HK69" s="130"/>
      <c r="HL69" s="130"/>
      <c r="HM69" s="130"/>
      <c r="HN69" s="130"/>
      <c r="HO69" s="130"/>
      <c r="HP69" s="130"/>
      <c r="HQ69" s="130"/>
      <c r="HR69" s="130"/>
      <c r="HS69" s="130"/>
      <c r="HT69" s="130"/>
      <c r="HU69" s="130"/>
      <c r="HV69" s="130"/>
      <c r="HW69" s="130"/>
      <c r="HX69" s="130"/>
      <c r="HY69" s="130"/>
      <c r="HZ69" s="130"/>
      <c r="IA69" s="130"/>
      <c r="IB69" s="130"/>
    </row>
    <row r="70" spans="1:236" ht="14.15" customHeight="1">
      <c r="A70" s="130"/>
      <c r="B70" s="129"/>
      <c r="C70" s="129"/>
      <c r="D70" s="129"/>
      <c r="E70" s="129"/>
      <c r="F70" s="129"/>
      <c r="G70" s="129"/>
      <c r="H70" s="129"/>
      <c r="I70" s="129"/>
      <c r="J70" s="129"/>
      <c r="K70" s="129"/>
      <c r="L70" s="129"/>
      <c r="N70" s="1034"/>
      <c r="O70" s="1034"/>
      <c r="W70" s="548"/>
      <c r="X70" s="1427"/>
      <c r="Y70" s="548"/>
      <c r="Z70" s="548"/>
      <c r="AA70" s="548"/>
      <c r="AB70" s="548"/>
      <c r="AC70" s="548"/>
      <c r="AD70" s="548"/>
      <c r="AE70" s="548"/>
      <c r="AF70" s="548"/>
      <c r="AG70" s="548"/>
      <c r="AH70" s="548"/>
      <c r="AI70" s="548"/>
      <c r="AJ70" s="548"/>
      <c r="AK70" s="548"/>
      <c r="AL70" s="130"/>
      <c r="AM70" s="130"/>
      <c r="AN70" s="130"/>
      <c r="AO70" s="130"/>
      <c r="AP70" s="130"/>
      <c r="AQ70" s="130"/>
      <c r="AR70" s="130"/>
      <c r="AS70" s="130"/>
      <c r="AT70" s="130"/>
      <c r="AU70" s="130"/>
      <c r="AV70" s="130"/>
      <c r="AW70" s="130"/>
      <c r="AX70" s="130"/>
      <c r="AY70" s="130"/>
      <c r="AZ70" s="130"/>
      <c r="BA70" s="130"/>
      <c r="BB70" s="130"/>
      <c r="BC70" s="130"/>
      <c r="BD70" s="130"/>
      <c r="BE70" s="130"/>
      <c r="BF70" s="130"/>
      <c r="BG70" s="130"/>
      <c r="BH70" s="130"/>
      <c r="BI70" s="130"/>
      <c r="BJ70" s="130"/>
      <c r="BK70" s="130"/>
      <c r="BL70" s="130"/>
      <c r="BM70" s="130"/>
      <c r="BN70" s="130"/>
      <c r="BO70" s="130"/>
      <c r="BP70" s="130"/>
      <c r="BQ70" s="130"/>
      <c r="BR70" s="130"/>
      <c r="BS70" s="130"/>
      <c r="BT70" s="130"/>
      <c r="BU70" s="130"/>
      <c r="BV70" s="130"/>
      <c r="BW70" s="130"/>
      <c r="BX70" s="130"/>
      <c r="BY70" s="130"/>
      <c r="BZ70" s="130"/>
      <c r="CA70" s="130"/>
      <c r="CB70" s="130"/>
      <c r="CC70" s="130"/>
      <c r="CD70" s="130"/>
      <c r="CE70" s="130"/>
      <c r="CF70" s="130"/>
      <c r="CG70" s="130"/>
      <c r="CH70" s="130"/>
      <c r="CI70" s="130"/>
      <c r="CJ70" s="130"/>
      <c r="CK70" s="130"/>
      <c r="CL70" s="130"/>
      <c r="CM70" s="130"/>
      <c r="CN70" s="130"/>
      <c r="CO70" s="130"/>
      <c r="CP70" s="130"/>
      <c r="CQ70" s="130"/>
      <c r="CR70" s="130"/>
      <c r="CS70" s="130"/>
      <c r="CT70" s="130"/>
      <c r="CU70" s="130"/>
      <c r="CV70" s="130"/>
      <c r="CW70" s="130"/>
      <c r="CX70" s="130"/>
      <c r="CY70" s="130"/>
      <c r="CZ70" s="130"/>
      <c r="DA70" s="130"/>
      <c r="DB70" s="130"/>
      <c r="DC70" s="130"/>
      <c r="DD70" s="130"/>
      <c r="DE70" s="130"/>
      <c r="DF70" s="130"/>
      <c r="DG70" s="130"/>
      <c r="DH70" s="130"/>
      <c r="DI70" s="130"/>
      <c r="DJ70" s="130"/>
      <c r="DK70" s="130"/>
      <c r="DL70" s="130"/>
      <c r="DM70" s="130"/>
      <c r="DN70" s="130"/>
      <c r="DO70" s="130"/>
      <c r="DP70" s="130"/>
      <c r="DQ70" s="130"/>
      <c r="DR70" s="130"/>
      <c r="DS70" s="130"/>
      <c r="DT70" s="130"/>
      <c r="DU70" s="130"/>
      <c r="DV70" s="130"/>
      <c r="DW70" s="130"/>
      <c r="DX70" s="130"/>
      <c r="DY70" s="130"/>
      <c r="DZ70" s="130"/>
      <c r="EA70" s="130"/>
      <c r="EB70" s="130"/>
      <c r="EC70" s="130"/>
      <c r="ED70" s="130"/>
      <c r="EE70" s="130"/>
      <c r="EF70" s="130"/>
      <c r="EG70" s="130"/>
      <c r="EH70" s="130"/>
      <c r="EI70" s="130"/>
      <c r="EJ70" s="130"/>
      <c r="EK70" s="130"/>
      <c r="EL70" s="130"/>
      <c r="EM70" s="130"/>
      <c r="EN70" s="130"/>
      <c r="EO70" s="130"/>
      <c r="EP70" s="130"/>
      <c r="EQ70" s="130"/>
      <c r="ER70" s="130"/>
      <c r="ES70" s="130"/>
      <c r="ET70" s="130"/>
      <c r="EU70" s="130"/>
      <c r="EV70" s="130"/>
      <c r="EW70" s="130"/>
      <c r="EX70" s="130"/>
      <c r="EY70" s="130"/>
      <c r="EZ70" s="130"/>
      <c r="FA70" s="130"/>
      <c r="FB70" s="130"/>
      <c r="FC70" s="130"/>
      <c r="FD70" s="130"/>
      <c r="FE70" s="130"/>
      <c r="FF70" s="130"/>
      <c r="FG70" s="130"/>
      <c r="FH70" s="130"/>
      <c r="FI70" s="130"/>
      <c r="FJ70" s="130"/>
      <c r="FK70" s="130"/>
      <c r="FL70" s="130"/>
      <c r="FM70" s="130"/>
      <c r="FN70" s="130"/>
      <c r="FO70" s="130"/>
      <c r="FP70" s="130"/>
      <c r="FQ70" s="130"/>
      <c r="FR70" s="130"/>
      <c r="FS70" s="130"/>
      <c r="FT70" s="130"/>
      <c r="FU70" s="130"/>
      <c r="FV70" s="130"/>
      <c r="FW70" s="130"/>
      <c r="FX70" s="130"/>
      <c r="FY70" s="130"/>
      <c r="FZ70" s="130"/>
      <c r="GA70" s="130"/>
      <c r="GB70" s="130"/>
      <c r="GC70" s="130"/>
      <c r="GD70" s="130"/>
      <c r="GE70" s="130"/>
      <c r="GF70" s="130"/>
      <c r="GG70" s="130"/>
      <c r="GH70" s="130"/>
      <c r="GI70" s="130"/>
      <c r="GJ70" s="130"/>
      <c r="GK70" s="130"/>
      <c r="GL70" s="130"/>
      <c r="GM70" s="130"/>
      <c r="GN70" s="130"/>
      <c r="GO70" s="130"/>
      <c r="GP70" s="130"/>
      <c r="GQ70" s="130"/>
      <c r="GR70" s="130"/>
      <c r="GS70" s="130"/>
      <c r="GT70" s="130"/>
      <c r="GU70" s="130"/>
      <c r="GV70" s="130"/>
      <c r="GW70" s="130"/>
      <c r="GX70" s="130"/>
      <c r="GY70" s="130"/>
      <c r="GZ70" s="130"/>
      <c r="HA70" s="130"/>
      <c r="HB70" s="130"/>
      <c r="HC70" s="130"/>
      <c r="HD70" s="130"/>
      <c r="HE70" s="130"/>
      <c r="HF70" s="130"/>
      <c r="HG70" s="130"/>
      <c r="HH70" s="130"/>
      <c r="HI70" s="130"/>
      <c r="HJ70" s="130"/>
      <c r="HK70" s="130"/>
      <c r="HL70" s="130"/>
      <c r="HM70" s="130"/>
      <c r="HN70" s="130"/>
      <c r="HO70" s="130"/>
      <c r="HP70" s="130"/>
      <c r="HQ70" s="130"/>
      <c r="HR70" s="130"/>
      <c r="HS70" s="130"/>
      <c r="HT70" s="130"/>
      <c r="HU70" s="130"/>
      <c r="HV70" s="130"/>
      <c r="HW70" s="130"/>
      <c r="HX70" s="130"/>
      <c r="HY70" s="130"/>
      <c r="HZ70" s="130"/>
      <c r="IA70" s="130"/>
      <c r="IB70" s="130"/>
    </row>
    <row r="71" spans="1:236" ht="14.15" customHeight="1">
      <c r="A71" s="130"/>
      <c r="B71" s="129"/>
      <c r="C71" s="129"/>
      <c r="D71" s="129"/>
      <c r="E71" s="129"/>
      <c r="F71" s="129"/>
      <c r="G71" s="129"/>
      <c r="H71" s="129"/>
      <c r="I71" s="129"/>
      <c r="J71" s="129"/>
      <c r="K71" s="129"/>
      <c r="L71" s="129"/>
      <c r="N71" s="1034"/>
      <c r="O71" s="1034"/>
      <c r="W71" s="548"/>
      <c r="X71" s="1427"/>
      <c r="Y71" s="548"/>
      <c r="Z71" s="548"/>
      <c r="AA71" s="548"/>
      <c r="AB71" s="548"/>
      <c r="AC71" s="548"/>
      <c r="AD71" s="548"/>
      <c r="AE71" s="548"/>
      <c r="AF71" s="548"/>
      <c r="AG71" s="548"/>
      <c r="AH71" s="548"/>
      <c r="AI71" s="548"/>
      <c r="AJ71" s="548"/>
      <c r="AK71" s="548"/>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c r="CX71" s="130"/>
      <c r="CY71" s="130"/>
      <c r="CZ71" s="130"/>
      <c r="DA71" s="130"/>
      <c r="DB71" s="130"/>
      <c r="DC71" s="130"/>
      <c r="DD71" s="130"/>
      <c r="DE71" s="130"/>
      <c r="DF71" s="130"/>
      <c r="DG71" s="130"/>
      <c r="DH71" s="130"/>
      <c r="DI71" s="130"/>
      <c r="DJ71" s="130"/>
      <c r="DK71" s="130"/>
      <c r="DL71" s="130"/>
      <c r="DM71" s="130"/>
      <c r="DN71" s="130"/>
      <c r="DO71" s="130"/>
      <c r="DP71" s="130"/>
      <c r="DQ71" s="130"/>
      <c r="DR71" s="130"/>
      <c r="DS71" s="130"/>
      <c r="DT71" s="130"/>
      <c r="DU71" s="130"/>
      <c r="DV71" s="130"/>
      <c r="DW71" s="130"/>
      <c r="DX71" s="130"/>
      <c r="DY71" s="130"/>
      <c r="DZ71" s="130"/>
      <c r="EA71" s="130"/>
      <c r="EB71" s="130"/>
      <c r="EC71" s="130"/>
      <c r="ED71" s="130"/>
      <c r="EE71" s="130"/>
      <c r="EF71" s="130"/>
      <c r="EG71" s="130"/>
      <c r="EH71" s="130"/>
      <c r="EI71" s="130"/>
      <c r="EJ71" s="130"/>
      <c r="EK71" s="130"/>
      <c r="EL71" s="130"/>
      <c r="EM71" s="130"/>
      <c r="EN71" s="130"/>
      <c r="EO71" s="130"/>
      <c r="EP71" s="130"/>
      <c r="EQ71" s="130"/>
      <c r="ER71" s="130"/>
      <c r="ES71" s="130"/>
      <c r="ET71" s="130"/>
      <c r="EU71" s="130"/>
      <c r="EV71" s="130"/>
      <c r="EW71" s="130"/>
      <c r="EX71" s="130"/>
      <c r="EY71" s="130"/>
      <c r="EZ71" s="130"/>
      <c r="FA71" s="130"/>
      <c r="FB71" s="130"/>
      <c r="FC71" s="130"/>
      <c r="FD71" s="130"/>
      <c r="FE71" s="130"/>
      <c r="FF71" s="130"/>
      <c r="FG71" s="130"/>
      <c r="FH71" s="130"/>
      <c r="FI71" s="130"/>
      <c r="FJ71" s="130"/>
      <c r="FK71" s="130"/>
      <c r="FL71" s="130"/>
      <c r="FM71" s="130"/>
      <c r="FN71" s="130"/>
      <c r="FO71" s="130"/>
      <c r="FP71" s="130"/>
      <c r="FQ71" s="130"/>
      <c r="FR71" s="130"/>
      <c r="FS71" s="130"/>
      <c r="FT71" s="130"/>
      <c r="FU71" s="130"/>
      <c r="FV71" s="130"/>
      <c r="FW71" s="130"/>
      <c r="FX71" s="130"/>
      <c r="FY71" s="130"/>
      <c r="FZ71" s="130"/>
      <c r="GA71" s="130"/>
      <c r="GB71" s="130"/>
      <c r="GC71" s="130"/>
      <c r="GD71" s="130"/>
      <c r="GE71" s="130"/>
      <c r="GF71" s="130"/>
      <c r="GG71" s="130"/>
      <c r="GH71" s="130"/>
      <c r="GI71" s="130"/>
      <c r="GJ71" s="130"/>
      <c r="GK71" s="130"/>
      <c r="GL71" s="130"/>
      <c r="GM71" s="130"/>
      <c r="GN71" s="130"/>
      <c r="GO71" s="130"/>
      <c r="GP71" s="130"/>
      <c r="GQ71" s="130"/>
      <c r="GR71" s="130"/>
      <c r="GS71" s="130"/>
      <c r="GT71" s="130"/>
      <c r="GU71" s="130"/>
      <c r="GV71" s="130"/>
      <c r="GW71" s="130"/>
      <c r="GX71" s="130"/>
      <c r="GY71" s="130"/>
      <c r="GZ71" s="130"/>
      <c r="HA71" s="130"/>
      <c r="HB71" s="130"/>
      <c r="HC71" s="130"/>
      <c r="HD71" s="130"/>
      <c r="HE71" s="130"/>
      <c r="HF71" s="130"/>
      <c r="HG71" s="130"/>
      <c r="HH71" s="130"/>
      <c r="HI71" s="130"/>
      <c r="HJ71" s="130"/>
      <c r="HK71" s="130"/>
      <c r="HL71" s="130"/>
      <c r="HM71" s="130"/>
      <c r="HN71" s="130"/>
      <c r="HO71" s="130"/>
      <c r="HP71" s="130"/>
      <c r="HQ71" s="130"/>
      <c r="HR71" s="130"/>
      <c r="HS71" s="130"/>
      <c r="HT71" s="130"/>
      <c r="HU71" s="130"/>
      <c r="HV71" s="130"/>
      <c r="HW71" s="130"/>
      <c r="HX71" s="130"/>
      <c r="HY71" s="130"/>
      <c r="HZ71" s="130"/>
      <c r="IA71" s="130"/>
      <c r="IB71" s="130"/>
    </row>
    <row r="72" spans="1:236" ht="14.15" customHeight="1">
      <c r="A72" s="130"/>
      <c r="B72" s="129"/>
      <c r="C72" s="129"/>
      <c r="D72" s="129"/>
      <c r="E72" s="129"/>
      <c r="F72" s="129"/>
      <c r="G72" s="129"/>
      <c r="H72" s="129"/>
      <c r="I72" s="129"/>
      <c r="J72" s="129"/>
      <c r="K72" s="129"/>
      <c r="L72" s="129"/>
      <c r="N72" s="1034"/>
      <c r="O72" s="1034"/>
      <c r="W72" s="548"/>
      <c r="X72" s="1427"/>
      <c r="Y72" s="548"/>
      <c r="Z72" s="548"/>
      <c r="AA72" s="548"/>
      <c r="AB72" s="548"/>
      <c r="AC72" s="548"/>
      <c r="AD72" s="548"/>
      <c r="AE72" s="548"/>
      <c r="AF72" s="548"/>
      <c r="AG72" s="548"/>
      <c r="AH72" s="548"/>
      <c r="AI72" s="548"/>
      <c r="AJ72" s="548"/>
      <c r="AK72" s="548"/>
      <c r="AL72" s="130"/>
      <c r="AM72" s="130"/>
      <c r="AN72" s="130"/>
      <c r="AO72" s="130"/>
      <c r="AP72" s="130"/>
      <c r="AQ72" s="130"/>
      <c r="AR72" s="130"/>
      <c r="AS72" s="130"/>
      <c r="AT72" s="130"/>
      <c r="AU72" s="130"/>
      <c r="AV72" s="130"/>
      <c r="AW72" s="130"/>
      <c r="AX72" s="130"/>
      <c r="AY72" s="130"/>
      <c r="AZ72" s="130"/>
      <c r="BA72" s="130"/>
      <c r="BB72" s="130"/>
      <c r="BC72" s="130"/>
      <c r="BD72" s="130"/>
      <c r="BE72" s="130"/>
      <c r="BF72" s="130"/>
      <c r="BG72" s="130"/>
      <c r="BH72" s="130"/>
      <c r="BI72" s="130"/>
      <c r="BJ72" s="130"/>
      <c r="BK72" s="130"/>
      <c r="BL72" s="130"/>
      <c r="BM72" s="130"/>
      <c r="BN72" s="130"/>
      <c r="BO72" s="130"/>
      <c r="BP72" s="130"/>
      <c r="BQ72" s="130"/>
      <c r="BR72" s="130"/>
      <c r="BS72" s="130"/>
      <c r="BT72" s="130"/>
      <c r="BU72" s="130"/>
      <c r="BV72" s="130"/>
      <c r="BW72" s="130"/>
      <c r="BX72" s="130"/>
      <c r="BY72" s="130"/>
      <c r="BZ72" s="130"/>
      <c r="CA72" s="130"/>
      <c r="CB72" s="130"/>
      <c r="CC72" s="130"/>
      <c r="CD72" s="130"/>
      <c r="CE72" s="130"/>
      <c r="CF72" s="130"/>
      <c r="CG72" s="130"/>
      <c r="CH72" s="130"/>
      <c r="CI72" s="130"/>
      <c r="CJ72" s="130"/>
      <c r="CK72" s="130"/>
      <c r="CL72" s="130"/>
      <c r="CM72" s="130"/>
      <c r="CN72" s="130"/>
      <c r="CO72" s="130"/>
      <c r="CP72" s="130"/>
      <c r="CQ72" s="130"/>
      <c r="CR72" s="130"/>
      <c r="CS72" s="130"/>
      <c r="CT72" s="130"/>
      <c r="CU72" s="130"/>
      <c r="CV72" s="130"/>
      <c r="CW72" s="130"/>
      <c r="CX72" s="130"/>
      <c r="CY72" s="130"/>
      <c r="CZ72" s="130"/>
      <c r="DA72" s="130"/>
      <c r="DB72" s="130"/>
      <c r="DC72" s="130"/>
      <c r="DD72" s="130"/>
      <c r="DE72" s="130"/>
      <c r="DF72" s="130"/>
      <c r="DG72" s="130"/>
      <c r="DH72" s="130"/>
      <c r="DI72" s="130"/>
      <c r="DJ72" s="130"/>
      <c r="DK72" s="130"/>
      <c r="DL72" s="130"/>
      <c r="DM72" s="130"/>
      <c r="DN72" s="130"/>
      <c r="DO72" s="130"/>
      <c r="DP72" s="130"/>
      <c r="DQ72" s="130"/>
      <c r="DR72" s="130"/>
      <c r="DS72" s="130"/>
      <c r="DT72" s="130"/>
      <c r="DU72" s="130"/>
      <c r="DV72" s="130"/>
      <c r="DW72" s="130"/>
      <c r="DX72" s="130"/>
      <c r="DY72" s="130"/>
      <c r="DZ72" s="130"/>
      <c r="EA72" s="130"/>
      <c r="EB72" s="130"/>
      <c r="EC72" s="130"/>
      <c r="ED72" s="130"/>
      <c r="EE72" s="130"/>
      <c r="EF72" s="130"/>
      <c r="EG72" s="130"/>
      <c r="EH72" s="130"/>
      <c r="EI72" s="130"/>
      <c r="EJ72" s="130"/>
      <c r="EK72" s="130"/>
      <c r="EL72" s="130"/>
      <c r="EM72" s="130"/>
      <c r="EN72" s="130"/>
      <c r="EO72" s="130"/>
      <c r="EP72" s="130"/>
      <c r="EQ72" s="130"/>
      <c r="ER72" s="130"/>
      <c r="ES72" s="130"/>
      <c r="ET72" s="130"/>
      <c r="EU72" s="130"/>
      <c r="EV72" s="130"/>
      <c r="EW72" s="130"/>
      <c r="EX72" s="130"/>
      <c r="EY72" s="130"/>
      <c r="EZ72" s="130"/>
      <c r="FA72" s="130"/>
      <c r="FB72" s="130"/>
      <c r="FC72" s="130"/>
      <c r="FD72" s="130"/>
      <c r="FE72" s="130"/>
      <c r="FF72" s="130"/>
      <c r="FG72" s="130"/>
      <c r="FH72" s="130"/>
      <c r="FI72" s="130"/>
      <c r="FJ72" s="130"/>
      <c r="FK72" s="130"/>
      <c r="FL72" s="130"/>
      <c r="FM72" s="130"/>
      <c r="FN72" s="130"/>
      <c r="FO72" s="130"/>
      <c r="FP72" s="130"/>
      <c r="FQ72" s="130"/>
      <c r="FR72" s="130"/>
      <c r="FS72" s="130"/>
      <c r="FT72" s="130"/>
      <c r="FU72" s="130"/>
      <c r="FV72" s="130"/>
      <c r="FW72" s="130"/>
      <c r="FX72" s="130"/>
      <c r="FY72" s="130"/>
      <c r="FZ72" s="130"/>
      <c r="GA72" s="130"/>
      <c r="GB72" s="130"/>
      <c r="GC72" s="130"/>
      <c r="GD72" s="130"/>
      <c r="GE72" s="130"/>
      <c r="GF72" s="130"/>
      <c r="GG72" s="130"/>
      <c r="GH72" s="130"/>
      <c r="GI72" s="130"/>
      <c r="GJ72" s="130"/>
      <c r="GK72" s="130"/>
      <c r="GL72" s="130"/>
      <c r="GM72" s="130"/>
      <c r="GN72" s="130"/>
      <c r="GO72" s="130"/>
      <c r="GP72" s="130"/>
      <c r="GQ72" s="130"/>
      <c r="GR72" s="130"/>
      <c r="GS72" s="130"/>
      <c r="GT72" s="130"/>
      <c r="GU72" s="130"/>
      <c r="GV72" s="130"/>
      <c r="GW72" s="130"/>
      <c r="GX72" s="130"/>
      <c r="GY72" s="130"/>
      <c r="GZ72" s="130"/>
      <c r="HA72" s="130"/>
      <c r="HB72" s="130"/>
      <c r="HC72" s="130"/>
      <c r="HD72" s="130"/>
      <c r="HE72" s="130"/>
      <c r="HF72" s="130"/>
      <c r="HG72" s="130"/>
      <c r="HH72" s="130"/>
      <c r="HI72" s="130"/>
      <c r="HJ72" s="130"/>
      <c r="HK72" s="130"/>
      <c r="HL72" s="130"/>
      <c r="HM72" s="130"/>
      <c r="HN72" s="130"/>
      <c r="HO72" s="130"/>
      <c r="HP72" s="130"/>
      <c r="HQ72" s="130"/>
      <c r="HR72" s="130"/>
      <c r="HS72" s="130"/>
      <c r="HT72" s="130"/>
      <c r="HU72" s="130"/>
      <c r="HV72" s="130"/>
      <c r="HW72" s="130"/>
      <c r="HX72" s="130"/>
      <c r="HY72" s="130"/>
      <c r="HZ72" s="130"/>
      <c r="IA72" s="130"/>
      <c r="IB72" s="130"/>
    </row>
    <row r="73" spans="1:236" ht="14.15" customHeight="1">
      <c r="A73" s="130"/>
      <c r="B73" s="129"/>
      <c r="C73" s="129"/>
      <c r="D73" s="129"/>
      <c r="E73" s="129"/>
      <c r="F73" s="129"/>
      <c r="G73" s="129"/>
      <c r="H73" s="129"/>
      <c r="I73" s="129"/>
      <c r="J73" s="129"/>
      <c r="K73" s="129"/>
      <c r="L73" s="129"/>
      <c r="N73" s="1034"/>
      <c r="O73" s="1034"/>
      <c r="W73" s="548"/>
      <c r="X73" s="1427"/>
      <c r="Y73" s="548"/>
      <c r="Z73" s="548"/>
      <c r="AA73" s="548"/>
      <c r="AB73" s="548"/>
      <c r="AC73" s="548"/>
      <c r="AD73" s="548"/>
      <c r="AE73" s="548"/>
      <c r="AF73" s="548"/>
      <c r="AG73" s="548"/>
      <c r="AH73" s="548"/>
      <c r="AI73" s="548"/>
      <c r="AJ73" s="548"/>
      <c r="AK73" s="548"/>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0"/>
      <c r="DI73" s="130"/>
      <c r="DJ73" s="130"/>
      <c r="DK73" s="130"/>
      <c r="DL73" s="130"/>
      <c r="DM73" s="130"/>
      <c r="DN73" s="130"/>
      <c r="DO73" s="130"/>
      <c r="DP73" s="130"/>
      <c r="DQ73" s="130"/>
      <c r="DR73" s="130"/>
      <c r="DS73" s="130"/>
      <c r="DT73" s="130"/>
      <c r="DU73" s="130"/>
      <c r="DV73" s="130"/>
      <c r="DW73" s="130"/>
      <c r="DX73" s="130"/>
      <c r="DY73" s="130"/>
      <c r="DZ73" s="130"/>
      <c r="EA73" s="130"/>
      <c r="EB73" s="130"/>
      <c r="EC73" s="130"/>
      <c r="ED73" s="130"/>
      <c r="EE73" s="130"/>
      <c r="EF73" s="130"/>
      <c r="EG73" s="130"/>
      <c r="EH73" s="130"/>
      <c r="EI73" s="130"/>
      <c r="EJ73" s="130"/>
      <c r="EK73" s="130"/>
      <c r="EL73" s="130"/>
      <c r="EM73" s="130"/>
      <c r="EN73" s="130"/>
      <c r="EO73" s="130"/>
      <c r="EP73" s="130"/>
      <c r="EQ73" s="130"/>
      <c r="ER73" s="130"/>
      <c r="ES73" s="130"/>
      <c r="ET73" s="130"/>
      <c r="EU73" s="130"/>
      <c r="EV73" s="130"/>
      <c r="EW73" s="130"/>
      <c r="EX73" s="130"/>
      <c r="EY73" s="130"/>
      <c r="EZ73" s="130"/>
      <c r="FA73" s="130"/>
      <c r="FB73" s="130"/>
      <c r="FC73" s="130"/>
      <c r="FD73" s="130"/>
      <c r="FE73" s="130"/>
      <c r="FF73" s="130"/>
      <c r="FG73" s="130"/>
      <c r="FH73" s="130"/>
      <c r="FI73" s="130"/>
      <c r="FJ73" s="130"/>
      <c r="FK73" s="130"/>
      <c r="FL73" s="130"/>
      <c r="FM73" s="130"/>
      <c r="FN73" s="130"/>
      <c r="FO73" s="130"/>
      <c r="FP73" s="130"/>
      <c r="FQ73" s="130"/>
      <c r="FR73" s="130"/>
      <c r="FS73" s="130"/>
      <c r="FT73" s="130"/>
      <c r="FU73" s="130"/>
      <c r="FV73" s="130"/>
      <c r="FW73" s="130"/>
      <c r="FX73" s="130"/>
      <c r="FY73" s="130"/>
      <c r="FZ73" s="130"/>
      <c r="GA73" s="130"/>
      <c r="GB73" s="130"/>
      <c r="GC73" s="130"/>
      <c r="GD73" s="130"/>
      <c r="GE73" s="130"/>
      <c r="GF73" s="130"/>
      <c r="GG73" s="130"/>
      <c r="GH73" s="130"/>
      <c r="GI73" s="130"/>
      <c r="GJ73" s="130"/>
      <c r="GK73" s="130"/>
      <c r="GL73" s="130"/>
      <c r="GM73" s="130"/>
      <c r="GN73" s="130"/>
      <c r="GO73" s="130"/>
      <c r="GP73" s="130"/>
      <c r="GQ73" s="130"/>
      <c r="GR73" s="130"/>
      <c r="GS73" s="130"/>
      <c r="GT73" s="130"/>
      <c r="GU73" s="130"/>
      <c r="GV73" s="130"/>
      <c r="GW73" s="130"/>
      <c r="GX73" s="130"/>
      <c r="GY73" s="130"/>
      <c r="GZ73" s="130"/>
      <c r="HA73" s="130"/>
      <c r="HB73" s="130"/>
      <c r="HC73" s="130"/>
      <c r="HD73" s="130"/>
      <c r="HE73" s="130"/>
      <c r="HF73" s="130"/>
      <c r="HG73" s="130"/>
      <c r="HH73" s="130"/>
      <c r="HI73" s="130"/>
      <c r="HJ73" s="130"/>
      <c r="HK73" s="130"/>
      <c r="HL73" s="130"/>
      <c r="HM73" s="130"/>
      <c r="HN73" s="130"/>
      <c r="HO73" s="130"/>
      <c r="HP73" s="130"/>
      <c r="HQ73" s="130"/>
      <c r="HR73" s="130"/>
      <c r="HS73" s="130"/>
      <c r="HT73" s="130"/>
      <c r="HU73" s="130"/>
      <c r="HV73" s="130"/>
      <c r="HW73" s="130"/>
      <c r="HX73" s="130"/>
      <c r="HY73" s="130"/>
      <c r="HZ73" s="130"/>
      <c r="IA73" s="130"/>
      <c r="IB73" s="130"/>
    </row>
    <row r="74" spans="1:236" ht="14.15" customHeight="1">
      <c r="A74" s="130"/>
      <c r="B74" s="129"/>
      <c r="C74" s="129"/>
      <c r="D74" s="129"/>
      <c r="E74" s="129"/>
      <c r="F74" s="129"/>
      <c r="G74" s="129"/>
      <c r="H74" s="129"/>
      <c r="I74" s="129"/>
      <c r="J74" s="129"/>
      <c r="K74" s="129"/>
      <c r="L74" s="129"/>
      <c r="N74" s="1034"/>
      <c r="O74" s="1034"/>
      <c r="W74" s="548"/>
      <c r="X74" s="1427"/>
      <c r="Y74" s="548"/>
      <c r="Z74" s="548"/>
      <c r="AA74" s="548"/>
      <c r="AB74" s="548"/>
      <c r="AC74" s="548"/>
      <c r="AD74" s="548"/>
      <c r="AE74" s="548"/>
      <c r="AF74" s="548"/>
      <c r="AG74" s="548"/>
      <c r="AH74" s="548"/>
      <c r="AI74" s="548"/>
      <c r="AJ74" s="548"/>
      <c r="AK74" s="548"/>
      <c r="AL74" s="130"/>
      <c r="AM74" s="130"/>
      <c r="AN74" s="130"/>
      <c r="AO74" s="130"/>
      <c r="AP74" s="130"/>
      <c r="AQ74" s="130"/>
      <c r="AR74" s="130"/>
      <c r="AS74" s="130"/>
      <c r="AT74" s="130"/>
      <c r="AU74" s="130"/>
      <c r="AV74" s="130"/>
      <c r="AW74" s="130"/>
      <c r="AX74" s="130"/>
      <c r="AY74" s="130"/>
      <c r="AZ74" s="130"/>
      <c r="BA74" s="130"/>
      <c r="BB74" s="130"/>
      <c r="BC74" s="130"/>
      <c r="BD74" s="130"/>
      <c r="BE74" s="130"/>
      <c r="BF74" s="130"/>
      <c r="BG74" s="130"/>
      <c r="BH74" s="130"/>
      <c r="BI74" s="130"/>
      <c r="BJ74" s="130"/>
      <c r="BK74" s="130"/>
      <c r="BL74" s="130"/>
      <c r="BM74" s="130"/>
      <c r="BN74" s="130"/>
      <c r="BO74" s="130"/>
      <c r="BP74" s="130"/>
      <c r="BQ74" s="130"/>
      <c r="BR74" s="130"/>
      <c r="BS74" s="130"/>
      <c r="BT74" s="130"/>
      <c r="BU74" s="130"/>
      <c r="BV74" s="130"/>
      <c r="BW74" s="130"/>
      <c r="BX74" s="130"/>
      <c r="BY74" s="130"/>
      <c r="BZ74" s="130"/>
      <c r="CA74" s="130"/>
      <c r="CB74" s="130"/>
      <c r="CC74" s="130"/>
      <c r="CD74" s="130"/>
      <c r="CE74" s="130"/>
      <c r="CF74" s="130"/>
      <c r="CG74" s="130"/>
      <c r="CH74" s="130"/>
      <c r="CI74" s="130"/>
      <c r="CJ74" s="130"/>
      <c r="CK74" s="130"/>
      <c r="CL74" s="130"/>
      <c r="CM74" s="130"/>
      <c r="CN74" s="130"/>
      <c r="CO74" s="130"/>
      <c r="CP74" s="130"/>
      <c r="CQ74" s="130"/>
      <c r="CR74" s="130"/>
      <c r="CS74" s="130"/>
      <c r="CT74" s="130"/>
      <c r="CU74" s="130"/>
      <c r="CV74" s="130"/>
      <c r="CW74" s="130"/>
      <c r="CX74" s="130"/>
      <c r="CY74" s="130"/>
      <c r="CZ74" s="130"/>
      <c r="DA74" s="130"/>
      <c r="DB74" s="130"/>
      <c r="DC74" s="130"/>
      <c r="DD74" s="130"/>
      <c r="DE74" s="130"/>
      <c r="DF74" s="130"/>
      <c r="DG74" s="130"/>
      <c r="DH74" s="130"/>
      <c r="DI74" s="130"/>
      <c r="DJ74" s="130"/>
      <c r="DK74" s="130"/>
      <c r="DL74" s="130"/>
      <c r="DM74" s="130"/>
      <c r="DN74" s="130"/>
      <c r="DO74" s="130"/>
      <c r="DP74" s="130"/>
      <c r="DQ74" s="130"/>
      <c r="DR74" s="130"/>
      <c r="DS74" s="130"/>
      <c r="DT74" s="130"/>
      <c r="DU74" s="130"/>
      <c r="DV74" s="130"/>
      <c r="DW74" s="130"/>
      <c r="DX74" s="130"/>
      <c r="DY74" s="130"/>
      <c r="DZ74" s="130"/>
      <c r="EA74" s="130"/>
      <c r="EB74" s="130"/>
      <c r="EC74" s="130"/>
      <c r="ED74" s="130"/>
      <c r="EE74" s="130"/>
      <c r="EF74" s="130"/>
      <c r="EG74" s="130"/>
      <c r="EH74" s="130"/>
      <c r="EI74" s="130"/>
      <c r="EJ74" s="130"/>
      <c r="EK74" s="130"/>
      <c r="EL74" s="130"/>
      <c r="EM74" s="130"/>
      <c r="EN74" s="130"/>
      <c r="EO74" s="130"/>
      <c r="EP74" s="130"/>
      <c r="EQ74" s="130"/>
      <c r="ER74" s="130"/>
      <c r="ES74" s="130"/>
      <c r="ET74" s="130"/>
      <c r="EU74" s="130"/>
      <c r="EV74" s="130"/>
      <c r="EW74" s="130"/>
      <c r="EX74" s="130"/>
      <c r="EY74" s="130"/>
      <c r="EZ74" s="130"/>
      <c r="FA74" s="130"/>
      <c r="FB74" s="130"/>
      <c r="FC74" s="130"/>
      <c r="FD74" s="130"/>
      <c r="FE74" s="130"/>
      <c r="FF74" s="130"/>
      <c r="FG74" s="130"/>
      <c r="FH74" s="130"/>
      <c r="FI74" s="130"/>
      <c r="FJ74" s="130"/>
      <c r="FK74" s="130"/>
      <c r="FL74" s="130"/>
      <c r="FM74" s="130"/>
      <c r="FN74" s="130"/>
      <c r="FO74" s="130"/>
      <c r="FP74" s="130"/>
      <c r="FQ74" s="130"/>
      <c r="FR74" s="130"/>
      <c r="FS74" s="130"/>
      <c r="FT74" s="130"/>
      <c r="FU74" s="130"/>
      <c r="FV74" s="130"/>
      <c r="FW74" s="130"/>
      <c r="FX74" s="130"/>
      <c r="FY74" s="130"/>
      <c r="FZ74" s="130"/>
      <c r="GA74" s="130"/>
      <c r="GB74" s="130"/>
      <c r="GC74" s="130"/>
      <c r="GD74" s="130"/>
      <c r="GE74" s="130"/>
      <c r="GF74" s="130"/>
      <c r="GG74" s="130"/>
      <c r="GH74" s="130"/>
      <c r="GI74" s="130"/>
      <c r="GJ74" s="130"/>
      <c r="GK74" s="130"/>
      <c r="GL74" s="130"/>
      <c r="GM74" s="130"/>
      <c r="GN74" s="130"/>
      <c r="GO74" s="130"/>
      <c r="GP74" s="130"/>
      <c r="GQ74" s="130"/>
      <c r="GR74" s="130"/>
      <c r="GS74" s="130"/>
      <c r="GT74" s="130"/>
      <c r="GU74" s="130"/>
      <c r="GV74" s="130"/>
      <c r="GW74" s="130"/>
      <c r="GX74" s="130"/>
      <c r="GY74" s="130"/>
      <c r="GZ74" s="130"/>
      <c r="HA74" s="130"/>
      <c r="HB74" s="130"/>
      <c r="HC74" s="130"/>
      <c r="HD74" s="130"/>
      <c r="HE74" s="130"/>
      <c r="HF74" s="130"/>
      <c r="HG74" s="130"/>
      <c r="HH74" s="130"/>
      <c r="HI74" s="130"/>
      <c r="HJ74" s="130"/>
      <c r="HK74" s="130"/>
      <c r="HL74" s="130"/>
      <c r="HM74" s="130"/>
      <c r="HN74" s="130"/>
      <c r="HO74" s="130"/>
      <c r="HP74" s="130"/>
      <c r="HQ74" s="130"/>
      <c r="HR74" s="130"/>
      <c r="HS74" s="130"/>
      <c r="HT74" s="130"/>
      <c r="HU74" s="130"/>
      <c r="HV74" s="130"/>
      <c r="HW74" s="130"/>
      <c r="HX74" s="130"/>
      <c r="HY74" s="130"/>
      <c r="HZ74" s="130"/>
      <c r="IA74" s="130"/>
      <c r="IB74" s="130"/>
    </row>
    <row r="75" spans="1:236" ht="14.15" customHeight="1">
      <c r="A75" s="130"/>
      <c r="B75" s="129"/>
      <c r="C75" s="129"/>
      <c r="D75" s="129"/>
      <c r="E75" s="129"/>
      <c r="F75" s="129"/>
      <c r="G75" s="129"/>
      <c r="H75" s="129"/>
      <c r="I75" s="129"/>
      <c r="J75" s="129"/>
      <c r="K75" s="129"/>
      <c r="L75" s="129"/>
      <c r="N75" s="1034"/>
      <c r="O75" s="1034"/>
      <c r="W75" s="548"/>
      <c r="X75" s="1427"/>
      <c r="Y75" s="548"/>
      <c r="Z75" s="548"/>
      <c r="AA75" s="548"/>
      <c r="AB75" s="548"/>
      <c r="AC75" s="548"/>
      <c r="AD75" s="548"/>
      <c r="AE75" s="548"/>
      <c r="AF75" s="548"/>
      <c r="AG75" s="548"/>
      <c r="AH75" s="548"/>
      <c r="AI75" s="548"/>
      <c r="AJ75" s="548"/>
      <c r="AK75" s="548"/>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0"/>
      <c r="DI75" s="130"/>
      <c r="DJ75" s="130"/>
      <c r="DK75" s="130"/>
      <c r="DL75" s="130"/>
      <c r="DM75" s="130"/>
      <c r="DN75" s="130"/>
      <c r="DO75" s="130"/>
      <c r="DP75" s="130"/>
      <c r="DQ75" s="130"/>
      <c r="DR75" s="130"/>
      <c r="DS75" s="130"/>
      <c r="DT75" s="130"/>
      <c r="DU75" s="130"/>
      <c r="DV75" s="130"/>
      <c r="DW75" s="130"/>
      <c r="DX75" s="130"/>
      <c r="DY75" s="130"/>
      <c r="DZ75" s="130"/>
      <c r="EA75" s="130"/>
      <c r="EB75" s="130"/>
      <c r="EC75" s="130"/>
      <c r="ED75" s="130"/>
      <c r="EE75" s="130"/>
      <c r="EF75" s="130"/>
      <c r="EG75" s="130"/>
      <c r="EH75" s="130"/>
      <c r="EI75" s="130"/>
      <c r="EJ75" s="130"/>
      <c r="EK75" s="130"/>
      <c r="EL75" s="130"/>
      <c r="EM75" s="130"/>
      <c r="EN75" s="130"/>
      <c r="EO75" s="130"/>
      <c r="EP75" s="130"/>
      <c r="EQ75" s="130"/>
      <c r="ER75" s="130"/>
      <c r="ES75" s="130"/>
      <c r="ET75" s="130"/>
      <c r="EU75" s="130"/>
      <c r="EV75" s="130"/>
      <c r="EW75" s="130"/>
      <c r="EX75" s="130"/>
      <c r="EY75" s="130"/>
      <c r="EZ75" s="130"/>
      <c r="FA75" s="130"/>
      <c r="FB75" s="130"/>
      <c r="FC75" s="130"/>
      <c r="FD75" s="130"/>
      <c r="FE75" s="130"/>
      <c r="FF75" s="130"/>
      <c r="FG75" s="130"/>
      <c r="FH75" s="130"/>
      <c r="FI75" s="130"/>
      <c r="FJ75" s="130"/>
      <c r="FK75" s="130"/>
      <c r="FL75" s="130"/>
      <c r="FM75" s="130"/>
      <c r="FN75" s="130"/>
      <c r="FO75" s="130"/>
      <c r="FP75" s="130"/>
      <c r="FQ75" s="130"/>
      <c r="FR75" s="130"/>
      <c r="FS75" s="130"/>
      <c r="FT75" s="130"/>
      <c r="FU75" s="130"/>
      <c r="FV75" s="130"/>
      <c r="FW75" s="130"/>
      <c r="FX75" s="130"/>
      <c r="FY75" s="130"/>
      <c r="FZ75" s="130"/>
      <c r="GA75" s="130"/>
      <c r="GB75" s="130"/>
      <c r="GC75" s="130"/>
      <c r="GD75" s="130"/>
      <c r="GE75" s="130"/>
      <c r="GF75" s="130"/>
      <c r="GG75" s="130"/>
      <c r="GH75" s="130"/>
      <c r="GI75" s="130"/>
      <c r="GJ75" s="130"/>
      <c r="GK75" s="130"/>
      <c r="GL75" s="130"/>
      <c r="GM75" s="130"/>
      <c r="GN75" s="130"/>
      <c r="GO75" s="130"/>
      <c r="GP75" s="130"/>
      <c r="GQ75" s="130"/>
      <c r="GR75" s="130"/>
      <c r="GS75" s="130"/>
      <c r="GT75" s="130"/>
      <c r="GU75" s="130"/>
      <c r="GV75" s="130"/>
      <c r="GW75" s="130"/>
      <c r="GX75" s="130"/>
      <c r="GY75" s="130"/>
      <c r="GZ75" s="130"/>
      <c r="HA75" s="130"/>
      <c r="HB75" s="130"/>
      <c r="HC75" s="130"/>
      <c r="HD75" s="130"/>
      <c r="HE75" s="130"/>
      <c r="HF75" s="130"/>
      <c r="HG75" s="130"/>
      <c r="HH75" s="130"/>
      <c r="HI75" s="130"/>
      <c r="HJ75" s="130"/>
      <c r="HK75" s="130"/>
      <c r="HL75" s="130"/>
      <c r="HM75" s="130"/>
      <c r="HN75" s="130"/>
      <c r="HO75" s="130"/>
      <c r="HP75" s="130"/>
      <c r="HQ75" s="130"/>
      <c r="HR75" s="130"/>
      <c r="HS75" s="130"/>
      <c r="HT75" s="130"/>
      <c r="HU75" s="130"/>
      <c r="HV75" s="130"/>
      <c r="HW75" s="130"/>
      <c r="HX75" s="130"/>
      <c r="HY75" s="130"/>
      <c r="HZ75" s="130"/>
      <c r="IA75" s="130"/>
      <c r="IB75" s="130"/>
    </row>
    <row r="76" spans="1:236" ht="14.15" customHeight="1">
      <c r="A76" s="130"/>
      <c r="B76" s="129"/>
      <c r="C76" s="129"/>
      <c r="D76" s="129"/>
      <c r="E76" s="129"/>
      <c r="F76" s="129"/>
      <c r="G76" s="129"/>
      <c r="H76" s="129"/>
      <c r="I76" s="129"/>
      <c r="J76" s="129"/>
      <c r="K76" s="129"/>
      <c r="L76" s="129"/>
      <c r="N76" s="1034"/>
      <c r="O76" s="1034"/>
      <c r="W76" s="548"/>
      <c r="X76" s="1427"/>
      <c r="Y76" s="548"/>
      <c r="Z76" s="548"/>
      <c r="AA76" s="548"/>
      <c r="AB76" s="548"/>
      <c r="AC76" s="548"/>
      <c r="AD76" s="548"/>
      <c r="AE76" s="548"/>
      <c r="AF76" s="548"/>
      <c r="AG76" s="548"/>
      <c r="AH76" s="548"/>
      <c r="AI76" s="548"/>
      <c r="AJ76" s="548"/>
      <c r="AK76" s="548"/>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0"/>
      <c r="CQ76" s="130"/>
      <c r="CR76" s="130"/>
      <c r="CS76" s="130"/>
      <c r="CT76" s="130"/>
      <c r="CU76" s="130"/>
      <c r="CV76" s="130"/>
      <c r="CW76" s="130"/>
      <c r="CX76" s="130"/>
      <c r="CY76" s="130"/>
      <c r="CZ76" s="130"/>
      <c r="DA76" s="130"/>
      <c r="DB76" s="130"/>
      <c r="DC76" s="130"/>
      <c r="DD76" s="130"/>
      <c r="DE76" s="130"/>
      <c r="DF76" s="130"/>
      <c r="DG76" s="130"/>
      <c r="DH76" s="130"/>
      <c r="DI76" s="130"/>
      <c r="DJ76" s="130"/>
      <c r="DK76" s="130"/>
      <c r="DL76" s="130"/>
      <c r="DM76" s="130"/>
      <c r="DN76" s="130"/>
      <c r="DO76" s="130"/>
      <c r="DP76" s="130"/>
      <c r="DQ76" s="130"/>
      <c r="DR76" s="130"/>
      <c r="DS76" s="130"/>
      <c r="DT76" s="130"/>
      <c r="DU76" s="130"/>
      <c r="DV76" s="130"/>
      <c r="DW76" s="130"/>
      <c r="DX76" s="130"/>
      <c r="DY76" s="130"/>
      <c r="DZ76" s="130"/>
      <c r="EA76" s="130"/>
      <c r="EB76" s="130"/>
      <c r="EC76" s="130"/>
      <c r="ED76" s="130"/>
      <c r="EE76" s="130"/>
      <c r="EF76" s="130"/>
      <c r="EG76" s="130"/>
      <c r="EH76" s="130"/>
      <c r="EI76" s="130"/>
      <c r="EJ76" s="130"/>
      <c r="EK76" s="130"/>
      <c r="EL76" s="130"/>
      <c r="EM76" s="130"/>
      <c r="EN76" s="130"/>
      <c r="EO76" s="130"/>
      <c r="EP76" s="130"/>
      <c r="EQ76" s="130"/>
      <c r="ER76" s="130"/>
      <c r="ES76" s="130"/>
      <c r="ET76" s="130"/>
      <c r="EU76" s="130"/>
      <c r="EV76" s="130"/>
      <c r="EW76" s="130"/>
      <c r="EX76" s="130"/>
      <c r="EY76" s="130"/>
      <c r="EZ76" s="130"/>
      <c r="FA76" s="130"/>
      <c r="FB76" s="130"/>
      <c r="FC76" s="130"/>
      <c r="FD76" s="130"/>
      <c r="FE76" s="130"/>
      <c r="FF76" s="130"/>
      <c r="FG76" s="130"/>
      <c r="FH76" s="130"/>
      <c r="FI76" s="130"/>
      <c r="FJ76" s="130"/>
      <c r="FK76" s="130"/>
      <c r="FL76" s="130"/>
      <c r="FM76" s="130"/>
      <c r="FN76" s="130"/>
      <c r="FO76" s="130"/>
      <c r="FP76" s="130"/>
      <c r="FQ76" s="130"/>
      <c r="FR76" s="130"/>
      <c r="FS76" s="130"/>
      <c r="FT76" s="130"/>
      <c r="FU76" s="130"/>
      <c r="FV76" s="130"/>
      <c r="FW76" s="130"/>
      <c r="FX76" s="130"/>
      <c r="FY76" s="130"/>
      <c r="FZ76" s="130"/>
      <c r="GA76" s="130"/>
      <c r="GB76" s="130"/>
      <c r="GC76" s="130"/>
      <c r="GD76" s="130"/>
      <c r="GE76" s="130"/>
      <c r="GF76" s="130"/>
      <c r="GG76" s="130"/>
      <c r="GH76" s="130"/>
      <c r="GI76" s="130"/>
      <c r="GJ76" s="130"/>
      <c r="GK76" s="130"/>
      <c r="GL76" s="130"/>
      <c r="GM76" s="130"/>
      <c r="GN76" s="130"/>
      <c r="GO76" s="130"/>
      <c r="GP76" s="130"/>
      <c r="GQ76" s="130"/>
      <c r="GR76" s="130"/>
      <c r="GS76" s="130"/>
      <c r="GT76" s="130"/>
      <c r="GU76" s="130"/>
      <c r="GV76" s="130"/>
      <c r="GW76" s="130"/>
      <c r="GX76" s="130"/>
      <c r="GY76" s="130"/>
      <c r="GZ76" s="130"/>
      <c r="HA76" s="130"/>
      <c r="HB76" s="130"/>
      <c r="HC76" s="130"/>
      <c r="HD76" s="130"/>
      <c r="HE76" s="130"/>
      <c r="HF76" s="130"/>
      <c r="HG76" s="130"/>
      <c r="HH76" s="130"/>
      <c r="HI76" s="130"/>
      <c r="HJ76" s="130"/>
      <c r="HK76" s="130"/>
      <c r="HL76" s="130"/>
      <c r="HM76" s="130"/>
      <c r="HN76" s="130"/>
      <c r="HO76" s="130"/>
      <c r="HP76" s="130"/>
      <c r="HQ76" s="130"/>
      <c r="HR76" s="130"/>
      <c r="HS76" s="130"/>
      <c r="HT76" s="130"/>
      <c r="HU76" s="130"/>
      <c r="HV76" s="130"/>
      <c r="HW76" s="130"/>
      <c r="HX76" s="130"/>
      <c r="HY76" s="130"/>
      <c r="HZ76" s="130"/>
      <c r="IA76" s="130"/>
      <c r="IB76" s="130"/>
    </row>
    <row r="77" spans="1:236" ht="14.15" customHeight="1">
      <c r="A77" s="130"/>
      <c r="B77" s="129"/>
      <c r="C77" s="129"/>
      <c r="D77" s="129"/>
      <c r="E77" s="129"/>
      <c r="F77" s="129"/>
      <c r="G77" s="129"/>
      <c r="H77" s="129"/>
      <c r="I77" s="129"/>
      <c r="J77" s="129"/>
      <c r="K77" s="129"/>
      <c r="L77" s="129"/>
      <c r="N77" s="1034"/>
      <c r="O77" s="1034"/>
      <c r="W77" s="548"/>
      <c r="X77" s="1427"/>
      <c r="Y77" s="548"/>
      <c r="Z77" s="548"/>
      <c r="AA77" s="548"/>
      <c r="AB77" s="548"/>
      <c r="AC77" s="548"/>
      <c r="AD77" s="548"/>
      <c r="AE77" s="548"/>
      <c r="AF77" s="548"/>
      <c r="AG77" s="548"/>
      <c r="AH77" s="548"/>
      <c r="AI77" s="548"/>
      <c r="AJ77" s="548"/>
      <c r="AK77" s="548"/>
      <c r="AL77" s="130"/>
      <c r="AM77" s="130"/>
      <c r="AN77" s="130"/>
      <c r="AO77" s="130"/>
      <c r="AP77" s="130"/>
      <c r="AQ77" s="130"/>
      <c r="AR77" s="130"/>
      <c r="AS77" s="130"/>
      <c r="AT77" s="130"/>
      <c r="AU77" s="130"/>
      <c r="AV77" s="130"/>
      <c r="AW77" s="130"/>
      <c r="AX77" s="130"/>
      <c r="AY77" s="130"/>
      <c r="AZ77" s="130"/>
      <c r="BA77" s="130"/>
      <c r="BB77" s="130"/>
      <c r="BC77" s="130"/>
      <c r="BD77" s="130"/>
      <c r="BE77" s="130"/>
      <c r="BF77" s="130"/>
      <c r="BG77" s="130"/>
      <c r="BH77" s="130"/>
      <c r="BI77" s="130"/>
      <c r="BJ77" s="130"/>
      <c r="BK77" s="130"/>
      <c r="BL77" s="130"/>
      <c r="BM77" s="130"/>
      <c r="BN77" s="130"/>
      <c r="BO77" s="130"/>
      <c r="BP77" s="130"/>
      <c r="BQ77" s="130"/>
      <c r="BR77" s="130"/>
      <c r="BS77" s="130"/>
      <c r="BT77" s="130"/>
      <c r="BU77" s="130"/>
      <c r="BV77" s="130"/>
      <c r="BW77" s="130"/>
      <c r="BX77" s="130"/>
      <c r="BY77" s="130"/>
      <c r="BZ77" s="130"/>
      <c r="CA77" s="130"/>
      <c r="CB77" s="130"/>
      <c r="CC77" s="130"/>
      <c r="CD77" s="130"/>
      <c r="CE77" s="130"/>
      <c r="CF77" s="130"/>
      <c r="CG77" s="130"/>
      <c r="CH77" s="130"/>
      <c r="CI77" s="130"/>
      <c r="CJ77" s="130"/>
      <c r="CK77" s="130"/>
      <c r="CL77" s="130"/>
      <c r="CM77" s="130"/>
      <c r="CN77" s="130"/>
      <c r="CO77" s="130"/>
      <c r="CP77" s="130"/>
      <c r="CQ77" s="130"/>
      <c r="CR77" s="130"/>
      <c r="CS77" s="130"/>
      <c r="CT77" s="130"/>
      <c r="CU77" s="130"/>
      <c r="CV77" s="130"/>
      <c r="CW77" s="130"/>
      <c r="CX77" s="130"/>
      <c r="CY77" s="130"/>
      <c r="CZ77" s="130"/>
      <c r="DA77" s="130"/>
      <c r="DB77" s="130"/>
      <c r="DC77" s="130"/>
      <c r="DD77" s="130"/>
      <c r="DE77" s="130"/>
      <c r="DF77" s="130"/>
      <c r="DG77" s="130"/>
      <c r="DH77" s="130"/>
      <c r="DI77" s="130"/>
      <c r="DJ77" s="130"/>
      <c r="DK77" s="130"/>
      <c r="DL77" s="130"/>
      <c r="DM77" s="130"/>
      <c r="DN77" s="130"/>
      <c r="DO77" s="130"/>
      <c r="DP77" s="130"/>
      <c r="DQ77" s="130"/>
      <c r="DR77" s="130"/>
      <c r="DS77" s="130"/>
      <c r="DT77" s="130"/>
      <c r="DU77" s="130"/>
      <c r="DV77" s="130"/>
      <c r="DW77" s="130"/>
      <c r="DX77" s="130"/>
      <c r="DY77" s="130"/>
      <c r="DZ77" s="130"/>
      <c r="EA77" s="130"/>
      <c r="EB77" s="130"/>
      <c r="EC77" s="130"/>
      <c r="ED77" s="130"/>
      <c r="EE77" s="130"/>
      <c r="EF77" s="130"/>
      <c r="EG77" s="130"/>
      <c r="EH77" s="130"/>
      <c r="EI77" s="130"/>
      <c r="EJ77" s="130"/>
      <c r="EK77" s="130"/>
      <c r="EL77" s="130"/>
      <c r="EM77" s="130"/>
      <c r="EN77" s="130"/>
      <c r="EO77" s="130"/>
      <c r="EP77" s="130"/>
      <c r="EQ77" s="130"/>
      <c r="ER77" s="130"/>
      <c r="ES77" s="130"/>
      <c r="ET77" s="130"/>
      <c r="EU77" s="130"/>
      <c r="EV77" s="130"/>
      <c r="EW77" s="130"/>
      <c r="EX77" s="130"/>
      <c r="EY77" s="130"/>
      <c r="EZ77" s="130"/>
      <c r="FA77" s="130"/>
      <c r="FB77" s="130"/>
      <c r="FC77" s="130"/>
      <c r="FD77" s="130"/>
      <c r="FE77" s="130"/>
      <c r="FF77" s="130"/>
      <c r="FG77" s="130"/>
      <c r="FH77" s="130"/>
      <c r="FI77" s="130"/>
      <c r="FJ77" s="130"/>
      <c r="FK77" s="130"/>
      <c r="FL77" s="130"/>
      <c r="FM77" s="130"/>
      <c r="FN77" s="130"/>
      <c r="FO77" s="130"/>
      <c r="FP77" s="130"/>
      <c r="FQ77" s="130"/>
      <c r="FR77" s="130"/>
      <c r="FS77" s="130"/>
      <c r="FT77" s="130"/>
      <c r="FU77" s="130"/>
      <c r="FV77" s="130"/>
      <c r="FW77" s="130"/>
      <c r="FX77" s="130"/>
      <c r="FY77" s="130"/>
      <c r="FZ77" s="130"/>
      <c r="GA77" s="130"/>
      <c r="GB77" s="130"/>
      <c r="GC77" s="130"/>
      <c r="GD77" s="130"/>
      <c r="GE77" s="130"/>
      <c r="GF77" s="130"/>
      <c r="GG77" s="130"/>
      <c r="GH77" s="130"/>
      <c r="GI77" s="130"/>
      <c r="GJ77" s="130"/>
      <c r="GK77" s="130"/>
      <c r="GL77" s="130"/>
      <c r="GM77" s="130"/>
      <c r="GN77" s="130"/>
      <c r="GO77" s="130"/>
      <c r="GP77" s="130"/>
      <c r="GQ77" s="130"/>
      <c r="GR77" s="130"/>
      <c r="GS77" s="130"/>
      <c r="GT77" s="130"/>
      <c r="GU77" s="130"/>
      <c r="GV77" s="130"/>
      <c r="GW77" s="130"/>
      <c r="GX77" s="130"/>
      <c r="GY77" s="130"/>
      <c r="GZ77" s="130"/>
      <c r="HA77" s="130"/>
      <c r="HB77" s="130"/>
      <c r="HC77" s="130"/>
      <c r="HD77" s="130"/>
      <c r="HE77" s="130"/>
      <c r="HF77" s="130"/>
      <c r="HG77" s="130"/>
      <c r="HH77" s="130"/>
      <c r="HI77" s="130"/>
      <c r="HJ77" s="130"/>
      <c r="HK77" s="130"/>
      <c r="HL77" s="130"/>
      <c r="HM77" s="130"/>
      <c r="HN77" s="130"/>
      <c r="HO77" s="130"/>
      <c r="HP77" s="130"/>
      <c r="HQ77" s="130"/>
      <c r="HR77" s="130"/>
      <c r="HS77" s="130"/>
      <c r="HT77" s="130"/>
      <c r="HU77" s="130"/>
      <c r="HV77" s="130"/>
      <c r="HW77" s="130"/>
      <c r="HX77" s="130"/>
      <c r="HY77" s="130"/>
      <c r="HZ77" s="130"/>
      <c r="IA77" s="130"/>
      <c r="IB77" s="130"/>
    </row>
    <row r="78" spans="1:236" ht="14.15" customHeight="1">
      <c r="A78" s="130"/>
      <c r="B78" s="129"/>
      <c r="C78" s="129"/>
      <c r="D78" s="129"/>
      <c r="E78" s="129"/>
      <c r="F78" s="129"/>
      <c r="G78" s="129"/>
      <c r="H78" s="129"/>
      <c r="I78" s="129"/>
      <c r="J78" s="129"/>
      <c r="K78" s="129"/>
      <c r="L78" s="129"/>
      <c r="N78" s="1034"/>
      <c r="O78" s="1034"/>
      <c r="W78" s="548"/>
      <c r="X78" s="1427"/>
      <c r="Y78" s="548"/>
      <c r="Z78" s="548"/>
      <c r="AA78" s="548"/>
      <c r="AB78" s="548"/>
      <c r="AC78" s="548"/>
      <c r="AD78" s="548"/>
      <c r="AE78" s="548"/>
      <c r="AF78" s="548"/>
      <c r="AG78" s="548"/>
      <c r="AH78" s="548"/>
      <c r="AI78" s="548"/>
      <c r="AJ78" s="548"/>
      <c r="AK78" s="548"/>
      <c r="AL78" s="130"/>
      <c r="AM78" s="130"/>
      <c r="AN78" s="130"/>
      <c r="AO78" s="130"/>
      <c r="AP78" s="130"/>
      <c r="AQ78" s="130"/>
      <c r="AR78" s="130"/>
      <c r="AS78" s="130"/>
      <c r="AT78" s="130"/>
      <c r="AU78" s="130"/>
      <c r="AV78" s="130"/>
      <c r="AW78" s="130"/>
      <c r="AX78" s="130"/>
      <c r="AY78" s="130"/>
      <c r="AZ78" s="130"/>
      <c r="BA78" s="130"/>
      <c r="BB78" s="130"/>
      <c r="BC78" s="130"/>
      <c r="BD78" s="130"/>
      <c r="BE78" s="130"/>
      <c r="BF78" s="130"/>
      <c r="BG78" s="130"/>
      <c r="BH78" s="130"/>
      <c r="BI78" s="130"/>
      <c r="BJ78" s="130"/>
      <c r="BK78" s="130"/>
      <c r="BL78" s="130"/>
      <c r="BM78" s="130"/>
      <c r="BN78" s="130"/>
      <c r="BO78" s="130"/>
      <c r="BP78" s="130"/>
      <c r="BQ78" s="130"/>
      <c r="BR78" s="130"/>
      <c r="BS78" s="130"/>
      <c r="BT78" s="130"/>
      <c r="BU78" s="130"/>
      <c r="BV78" s="130"/>
      <c r="BW78" s="130"/>
      <c r="BX78" s="130"/>
      <c r="BY78" s="130"/>
      <c r="BZ78" s="130"/>
      <c r="CA78" s="130"/>
      <c r="CB78" s="130"/>
      <c r="CC78" s="130"/>
      <c r="CD78" s="130"/>
      <c r="CE78" s="130"/>
      <c r="CF78" s="130"/>
      <c r="CG78" s="130"/>
      <c r="CH78" s="130"/>
      <c r="CI78" s="130"/>
      <c r="CJ78" s="130"/>
      <c r="CK78" s="130"/>
      <c r="CL78" s="130"/>
      <c r="CM78" s="130"/>
      <c r="CN78" s="130"/>
      <c r="CO78" s="130"/>
      <c r="CP78" s="130"/>
      <c r="CQ78" s="130"/>
      <c r="CR78" s="130"/>
      <c r="CS78" s="130"/>
      <c r="CT78" s="130"/>
      <c r="CU78" s="130"/>
      <c r="CV78" s="130"/>
      <c r="CW78" s="130"/>
      <c r="CX78" s="130"/>
      <c r="CY78" s="130"/>
      <c r="CZ78" s="130"/>
      <c r="DA78" s="130"/>
      <c r="DB78" s="130"/>
      <c r="DC78" s="130"/>
      <c r="DD78" s="130"/>
      <c r="DE78" s="130"/>
      <c r="DF78" s="130"/>
      <c r="DG78" s="130"/>
      <c r="DH78" s="130"/>
      <c r="DI78" s="130"/>
      <c r="DJ78" s="130"/>
      <c r="DK78" s="130"/>
      <c r="DL78" s="130"/>
      <c r="DM78" s="130"/>
      <c r="DN78" s="130"/>
      <c r="DO78" s="130"/>
      <c r="DP78" s="130"/>
      <c r="DQ78" s="130"/>
      <c r="DR78" s="130"/>
      <c r="DS78" s="130"/>
      <c r="DT78" s="130"/>
      <c r="DU78" s="130"/>
      <c r="DV78" s="130"/>
      <c r="DW78" s="130"/>
      <c r="DX78" s="130"/>
      <c r="DY78" s="130"/>
      <c r="DZ78" s="130"/>
      <c r="EA78" s="130"/>
      <c r="EB78" s="130"/>
      <c r="EC78" s="130"/>
      <c r="ED78" s="130"/>
      <c r="EE78" s="130"/>
      <c r="EF78" s="130"/>
      <c r="EG78" s="130"/>
      <c r="EH78" s="130"/>
      <c r="EI78" s="130"/>
      <c r="EJ78" s="130"/>
      <c r="EK78" s="130"/>
      <c r="EL78" s="130"/>
      <c r="EM78" s="130"/>
      <c r="EN78" s="130"/>
      <c r="EO78" s="130"/>
      <c r="EP78" s="130"/>
      <c r="EQ78" s="130"/>
      <c r="ER78" s="130"/>
      <c r="ES78" s="130"/>
      <c r="ET78" s="130"/>
      <c r="EU78" s="130"/>
      <c r="EV78" s="130"/>
      <c r="EW78" s="130"/>
      <c r="EX78" s="130"/>
      <c r="EY78" s="130"/>
      <c r="EZ78" s="130"/>
      <c r="FA78" s="130"/>
      <c r="FB78" s="130"/>
      <c r="FC78" s="130"/>
      <c r="FD78" s="130"/>
      <c r="FE78" s="130"/>
      <c r="FF78" s="130"/>
      <c r="FG78" s="130"/>
      <c r="FH78" s="130"/>
      <c r="FI78" s="130"/>
      <c r="FJ78" s="130"/>
      <c r="FK78" s="130"/>
      <c r="FL78" s="130"/>
      <c r="FM78" s="130"/>
      <c r="FN78" s="130"/>
      <c r="FO78" s="130"/>
      <c r="FP78" s="130"/>
      <c r="FQ78" s="130"/>
      <c r="FR78" s="130"/>
      <c r="FS78" s="130"/>
      <c r="FT78" s="130"/>
      <c r="FU78" s="130"/>
      <c r="FV78" s="130"/>
      <c r="FW78" s="130"/>
      <c r="FX78" s="130"/>
      <c r="FY78" s="130"/>
      <c r="FZ78" s="130"/>
      <c r="GA78" s="130"/>
      <c r="GB78" s="130"/>
      <c r="GC78" s="130"/>
      <c r="GD78" s="130"/>
      <c r="GE78" s="130"/>
      <c r="GF78" s="130"/>
      <c r="GG78" s="130"/>
      <c r="GH78" s="130"/>
      <c r="GI78" s="130"/>
      <c r="GJ78" s="130"/>
      <c r="GK78" s="130"/>
      <c r="GL78" s="130"/>
      <c r="GM78" s="130"/>
      <c r="GN78" s="130"/>
      <c r="GO78" s="130"/>
      <c r="GP78" s="130"/>
      <c r="GQ78" s="130"/>
      <c r="GR78" s="130"/>
      <c r="GS78" s="130"/>
      <c r="GT78" s="130"/>
      <c r="GU78" s="130"/>
      <c r="GV78" s="130"/>
      <c r="GW78" s="130"/>
      <c r="GX78" s="130"/>
      <c r="GY78" s="130"/>
      <c r="GZ78" s="130"/>
      <c r="HA78" s="130"/>
      <c r="HB78" s="130"/>
      <c r="HC78" s="130"/>
      <c r="HD78" s="130"/>
      <c r="HE78" s="130"/>
      <c r="HF78" s="130"/>
      <c r="HG78" s="130"/>
      <c r="HH78" s="130"/>
      <c r="HI78" s="130"/>
      <c r="HJ78" s="130"/>
      <c r="HK78" s="130"/>
      <c r="HL78" s="130"/>
      <c r="HM78" s="130"/>
      <c r="HN78" s="130"/>
      <c r="HO78" s="130"/>
      <c r="HP78" s="130"/>
      <c r="HQ78" s="130"/>
      <c r="HR78" s="130"/>
      <c r="HS78" s="130"/>
      <c r="HT78" s="130"/>
      <c r="HU78" s="130"/>
      <c r="HV78" s="130"/>
      <c r="HW78" s="130"/>
      <c r="HX78" s="130"/>
      <c r="HY78" s="130"/>
      <c r="HZ78" s="130"/>
      <c r="IA78" s="130"/>
      <c r="IB78" s="130"/>
    </row>
    <row r="79" spans="1:236" ht="14.15" customHeight="1">
      <c r="A79" s="130"/>
      <c r="B79" s="129"/>
      <c r="C79" s="129"/>
      <c r="D79" s="129"/>
      <c r="E79" s="129"/>
      <c r="F79" s="129"/>
      <c r="G79" s="129"/>
      <c r="H79" s="129"/>
      <c r="I79" s="129"/>
      <c r="J79" s="129"/>
      <c r="K79" s="129"/>
      <c r="L79" s="129"/>
      <c r="N79" s="1034"/>
      <c r="O79" s="1034"/>
      <c r="W79" s="548"/>
      <c r="X79" s="1427"/>
      <c r="Y79" s="548"/>
      <c r="Z79" s="548"/>
      <c r="AA79" s="548"/>
      <c r="AB79" s="548"/>
      <c r="AC79" s="548"/>
      <c r="AD79" s="548"/>
      <c r="AE79" s="548"/>
      <c r="AF79" s="548"/>
      <c r="AG79" s="548"/>
      <c r="AH79" s="548"/>
      <c r="AI79" s="548"/>
      <c r="AJ79" s="548"/>
      <c r="AK79" s="548"/>
      <c r="AL79" s="130"/>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c r="BT79" s="130"/>
      <c r="BU79" s="130"/>
      <c r="BV79" s="130"/>
      <c r="BW79" s="130"/>
      <c r="BX79" s="130"/>
      <c r="BY79" s="130"/>
      <c r="BZ79" s="130"/>
      <c r="CA79" s="130"/>
      <c r="CB79" s="130"/>
      <c r="CC79" s="130"/>
      <c r="CD79" s="130"/>
      <c r="CE79" s="130"/>
      <c r="CF79" s="130"/>
      <c r="CG79" s="130"/>
      <c r="CH79" s="130"/>
      <c r="CI79" s="130"/>
      <c r="CJ79" s="130"/>
      <c r="CK79" s="130"/>
      <c r="CL79" s="130"/>
      <c r="CM79" s="130"/>
      <c r="CN79" s="130"/>
      <c r="CO79" s="130"/>
      <c r="CP79" s="130"/>
      <c r="CQ79" s="130"/>
      <c r="CR79" s="130"/>
      <c r="CS79" s="130"/>
      <c r="CT79" s="130"/>
      <c r="CU79" s="130"/>
      <c r="CV79" s="130"/>
      <c r="CW79" s="130"/>
      <c r="CX79" s="130"/>
      <c r="CY79" s="130"/>
      <c r="CZ79" s="130"/>
      <c r="DA79" s="130"/>
      <c r="DB79" s="130"/>
      <c r="DC79" s="130"/>
      <c r="DD79" s="130"/>
      <c r="DE79" s="130"/>
      <c r="DF79" s="130"/>
      <c r="DG79" s="130"/>
      <c r="DH79" s="130"/>
      <c r="DI79" s="130"/>
      <c r="DJ79" s="130"/>
      <c r="DK79" s="130"/>
      <c r="DL79" s="130"/>
      <c r="DM79" s="130"/>
      <c r="DN79" s="130"/>
      <c r="DO79" s="130"/>
      <c r="DP79" s="130"/>
      <c r="DQ79" s="130"/>
      <c r="DR79" s="130"/>
      <c r="DS79" s="130"/>
      <c r="DT79" s="130"/>
      <c r="DU79" s="130"/>
      <c r="DV79" s="130"/>
      <c r="DW79" s="130"/>
      <c r="DX79" s="130"/>
      <c r="DY79" s="130"/>
      <c r="DZ79" s="130"/>
      <c r="EA79" s="130"/>
      <c r="EB79" s="130"/>
      <c r="EC79" s="130"/>
      <c r="ED79" s="130"/>
      <c r="EE79" s="130"/>
      <c r="EF79" s="130"/>
      <c r="EG79" s="130"/>
      <c r="EH79" s="130"/>
      <c r="EI79" s="130"/>
      <c r="EJ79" s="130"/>
      <c r="EK79" s="130"/>
      <c r="EL79" s="130"/>
      <c r="EM79" s="130"/>
      <c r="EN79" s="130"/>
      <c r="EO79" s="130"/>
      <c r="EP79" s="130"/>
      <c r="EQ79" s="130"/>
      <c r="ER79" s="130"/>
      <c r="ES79" s="130"/>
      <c r="ET79" s="130"/>
      <c r="EU79" s="130"/>
      <c r="EV79" s="130"/>
      <c r="EW79" s="130"/>
      <c r="EX79" s="130"/>
      <c r="EY79" s="130"/>
      <c r="EZ79" s="130"/>
      <c r="FA79" s="130"/>
      <c r="FB79" s="130"/>
      <c r="FC79" s="130"/>
      <c r="FD79" s="130"/>
      <c r="FE79" s="130"/>
      <c r="FF79" s="130"/>
      <c r="FG79" s="130"/>
      <c r="FH79" s="130"/>
      <c r="FI79" s="130"/>
      <c r="FJ79" s="130"/>
      <c r="FK79" s="130"/>
      <c r="FL79" s="130"/>
      <c r="FM79" s="130"/>
      <c r="FN79" s="130"/>
      <c r="FO79" s="130"/>
      <c r="FP79" s="130"/>
      <c r="FQ79" s="130"/>
      <c r="FR79" s="130"/>
      <c r="FS79" s="130"/>
      <c r="FT79" s="130"/>
      <c r="FU79" s="130"/>
      <c r="FV79" s="130"/>
      <c r="FW79" s="130"/>
      <c r="FX79" s="130"/>
      <c r="FY79" s="130"/>
      <c r="FZ79" s="130"/>
      <c r="GA79" s="130"/>
      <c r="GB79" s="130"/>
      <c r="GC79" s="130"/>
      <c r="GD79" s="130"/>
      <c r="GE79" s="130"/>
      <c r="GF79" s="130"/>
      <c r="GG79" s="130"/>
      <c r="GH79" s="130"/>
      <c r="GI79" s="130"/>
      <c r="GJ79" s="130"/>
      <c r="GK79" s="130"/>
      <c r="GL79" s="130"/>
      <c r="GM79" s="130"/>
      <c r="GN79" s="130"/>
      <c r="GO79" s="130"/>
      <c r="GP79" s="130"/>
      <c r="GQ79" s="130"/>
      <c r="GR79" s="130"/>
      <c r="GS79" s="130"/>
      <c r="GT79" s="130"/>
      <c r="GU79" s="130"/>
      <c r="GV79" s="130"/>
      <c r="GW79" s="130"/>
      <c r="GX79" s="130"/>
      <c r="GY79" s="130"/>
      <c r="GZ79" s="130"/>
      <c r="HA79" s="130"/>
      <c r="HB79" s="130"/>
      <c r="HC79" s="130"/>
      <c r="HD79" s="130"/>
      <c r="HE79" s="130"/>
      <c r="HF79" s="130"/>
      <c r="HG79" s="130"/>
      <c r="HH79" s="130"/>
      <c r="HI79" s="130"/>
      <c r="HJ79" s="130"/>
      <c r="HK79" s="130"/>
      <c r="HL79" s="130"/>
      <c r="HM79" s="130"/>
      <c r="HN79" s="130"/>
      <c r="HO79" s="130"/>
      <c r="HP79" s="130"/>
      <c r="HQ79" s="130"/>
      <c r="HR79" s="130"/>
      <c r="HS79" s="130"/>
      <c r="HT79" s="130"/>
      <c r="HU79" s="130"/>
      <c r="HV79" s="130"/>
      <c r="HW79" s="130"/>
      <c r="HX79" s="130"/>
      <c r="HY79" s="130"/>
      <c r="HZ79" s="130"/>
      <c r="IA79" s="130"/>
      <c r="IB79" s="130"/>
    </row>
    <row r="80" spans="1:236" ht="14.15" customHeight="1">
      <c r="A80" s="130"/>
      <c r="B80" s="129"/>
      <c r="C80" s="129"/>
      <c r="D80" s="129"/>
      <c r="E80" s="129"/>
      <c r="F80" s="129"/>
      <c r="G80" s="129"/>
      <c r="H80" s="129"/>
      <c r="I80" s="129"/>
      <c r="J80" s="129"/>
      <c r="K80" s="129"/>
      <c r="L80" s="129"/>
      <c r="N80" s="1034"/>
      <c r="O80" s="1034"/>
      <c r="W80" s="548"/>
      <c r="X80" s="1427"/>
      <c r="Y80" s="548"/>
      <c r="Z80" s="548"/>
      <c r="AA80" s="548"/>
      <c r="AB80" s="548"/>
      <c r="AC80" s="548"/>
      <c r="AD80" s="548"/>
      <c r="AE80" s="548"/>
      <c r="AF80" s="548"/>
      <c r="AG80" s="548"/>
      <c r="AH80" s="548"/>
      <c r="AI80" s="548"/>
      <c r="AJ80" s="548"/>
      <c r="AK80" s="548"/>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c r="DM80" s="130"/>
      <c r="DN80" s="130"/>
      <c r="DO80" s="130"/>
      <c r="DP80" s="130"/>
      <c r="DQ80" s="130"/>
      <c r="DR80" s="130"/>
      <c r="DS80" s="130"/>
      <c r="DT80" s="130"/>
      <c r="DU80" s="130"/>
      <c r="DV80" s="130"/>
      <c r="DW80" s="130"/>
      <c r="DX80" s="130"/>
      <c r="DY80" s="130"/>
      <c r="DZ80" s="130"/>
      <c r="EA80" s="130"/>
      <c r="EB80" s="130"/>
      <c r="EC80" s="130"/>
      <c r="ED80" s="130"/>
      <c r="EE80" s="130"/>
      <c r="EF80" s="130"/>
      <c r="EG80" s="130"/>
      <c r="EH80" s="130"/>
      <c r="EI80" s="130"/>
      <c r="EJ80" s="130"/>
      <c r="EK80" s="130"/>
      <c r="EL80" s="130"/>
      <c r="EM80" s="130"/>
      <c r="EN80" s="130"/>
      <c r="EO80" s="130"/>
      <c r="EP80" s="130"/>
      <c r="EQ80" s="130"/>
      <c r="ER80" s="130"/>
      <c r="ES80" s="130"/>
      <c r="ET80" s="130"/>
      <c r="EU80" s="130"/>
      <c r="EV80" s="130"/>
      <c r="EW80" s="130"/>
      <c r="EX80" s="130"/>
      <c r="EY80" s="130"/>
      <c r="EZ80" s="130"/>
      <c r="FA80" s="130"/>
      <c r="FB80" s="130"/>
      <c r="FC80" s="130"/>
      <c r="FD80" s="130"/>
      <c r="FE80" s="130"/>
      <c r="FF80" s="130"/>
      <c r="FG80" s="130"/>
      <c r="FH80" s="130"/>
      <c r="FI80" s="130"/>
      <c r="FJ80" s="130"/>
      <c r="FK80" s="130"/>
      <c r="FL80" s="130"/>
      <c r="FM80" s="130"/>
      <c r="FN80" s="130"/>
      <c r="FO80" s="130"/>
      <c r="FP80" s="130"/>
      <c r="FQ80" s="130"/>
      <c r="FR80" s="130"/>
      <c r="FS80" s="130"/>
      <c r="FT80" s="130"/>
      <c r="FU80" s="130"/>
      <c r="FV80" s="130"/>
      <c r="FW80" s="130"/>
      <c r="FX80" s="130"/>
      <c r="FY80" s="130"/>
      <c r="FZ80" s="130"/>
      <c r="GA80" s="130"/>
      <c r="GB80" s="130"/>
      <c r="GC80" s="130"/>
      <c r="GD80" s="130"/>
      <c r="GE80" s="130"/>
      <c r="GF80" s="130"/>
      <c r="GG80" s="130"/>
      <c r="GH80" s="130"/>
      <c r="GI80" s="130"/>
      <c r="GJ80" s="130"/>
      <c r="GK80" s="130"/>
      <c r="GL80" s="130"/>
      <c r="GM80" s="130"/>
      <c r="GN80" s="130"/>
      <c r="GO80" s="130"/>
      <c r="GP80" s="130"/>
      <c r="GQ80" s="130"/>
      <c r="GR80" s="130"/>
      <c r="GS80" s="130"/>
      <c r="GT80" s="130"/>
      <c r="GU80" s="130"/>
      <c r="GV80" s="130"/>
      <c r="GW80" s="130"/>
      <c r="GX80" s="130"/>
      <c r="GY80" s="130"/>
      <c r="GZ80" s="130"/>
      <c r="HA80" s="130"/>
      <c r="HB80" s="130"/>
      <c r="HC80" s="130"/>
      <c r="HD80" s="130"/>
      <c r="HE80" s="130"/>
      <c r="HF80" s="130"/>
      <c r="HG80" s="130"/>
      <c r="HH80" s="130"/>
      <c r="HI80" s="130"/>
      <c r="HJ80" s="130"/>
      <c r="HK80" s="130"/>
      <c r="HL80" s="130"/>
      <c r="HM80" s="130"/>
      <c r="HN80" s="130"/>
      <c r="HO80" s="130"/>
      <c r="HP80" s="130"/>
      <c r="HQ80" s="130"/>
      <c r="HR80" s="130"/>
      <c r="HS80" s="130"/>
      <c r="HT80" s="130"/>
      <c r="HU80" s="130"/>
      <c r="HV80" s="130"/>
      <c r="HW80" s="130"/>
      <c r="HX80" s="130"/>
      <c r="HY80" s="130"/>
      <c r="HZ80" s="130"/>
      <c r="IA80" s="130"/>
      <c r="IB80" s="130"/>
    </row>
    <row r="81" spans="1:236" ht="14.15" customHeight="1">
      <c r="A81" s="130"/>
      <c r="B81" s="129"/>
      <c r="C81" s="129"/>
      <c r="D81" s="129"/>
      <c r="E81" s="129"/>
      <c r="F81" s="129"/>
      <c r="G81" s="129"/>
      <c r="H81" s="129"/>
      <c r="I81" s="129"/>
      <c r="J81" s="129"/>
      <c r="K81" s="129"/>
      <c r="L81" s="129"/>
      <c r="N81" s="1034"/>
      <c r="O81" s="1034"/>
      <c r="W81" s="548"/>
      <c r="X81" s="1427"/>
      <c r="Y81" s="548"/>
      <c r="Z81" s="548"/>
      <c r="AA81" s="548"/>
      <c r="AB81" s="548"/>
      <c r="AC81" s="548"/>
      <c r="AD81" s="548"/>
      <c r="AE81" s="548"/>
      <c r="AF81" s="548"/>
      <c r="AG81" s="548"/>
      <c r="AH81" s="548"/>
      <c r="AI81" s="548"/>
      <c r="AJ81" s="548"/>
      <c r="AK81" s="548"/>
      <c r="AL81" s="130"/>
      <c r="AM81" s="130"/>
      <c r="AN81" s="130"/>
      <c r="AO81" s="130"/>
      <c r="AP81" s="130"/>
      <c r="AQ81" s="130"/>
      <c r="AR81" s="130"/>
      <c r="AS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c r="DM81" s="130"/>
      <c r="DN81" s="130"/>
      <c r="DO81" s="130"/>
      <c r="DP81" s="130"/>
      <c r="DQ81" s="130"/>
      <c r="DR81" s="130"/>
      <c r="DS81" s="130"/>
      <c r="DT81" s="130"/>
      <c r="DU81" s="130"/>
      <c r="DV81" s="130"/>
      <c r="DW81" s="130"/>
      <c r="DX81" s="130"/>
      <c r="DY81" s="130"/>
      <c r="DZ81" s="130"/>
      <c r="EA81" s="130"/>
      <c r="EB81" s="130"/>
      <c r="EC81" s="130"/>
      <c r="ED81" s="130"/>
      <c r="EE81" s="130"/>
      <c r="EF81" s="130"/>
      <c r="EG81" s="130"/>
      <c r="EH81" s="130"/>
      <c r="EI81" s="130"/>
      <c r="EJ81" s="130"/>
      <c r="EK81" s="130"/>
      <c r="EL81" s="130"/>
      <c r="EM81" s="130"/>
      <c r="EN81" s="130"/>
      <c r="EO81" s="130"/>
      <c r="EP81" s="130"/>
      <c r="EQ81" s="130"/>
      <c r="ER81" s="130"/>
      <c r="ES81" s="130"/>
      <c r="ET81" s="130"/>
      <c r="EU81" s="130"/>
      <c r="EV81" s="130"/>
      <c r="EW81" s="130"/>
      <c r="EX81" s="130"/>
      <c r="EY81" s="130"/>
      <c r="EZ81" s="130"/>
      <c r="FA81" s="130"/>
      <c r="FB81" s="130"/>
      <c r="FC81" s="130"/>
      <c r="FD81" s="130"/>
      <c r="FE81" s="130"/>
      <c r="FF81" s="130"/>
      <c r="FG81" s="130"/>
      <c r="FH81" s="130"/>
      <c r="FI81" s="130"/>
      <c r="FJ81" s="130"/>
      <c r="FK81" s="130"/>
      <c r="FL81" s="130"/>
      <c r="FM81" s="130"/>
      <c r="FN81" s="130"/>
      <c r="FO81" s="130"/>
      <c r="FP81" s="130"/>
      <c r="FQ81" s="130"/>
      <c r="FR81" s="130"/>
      <c r="FS81" s="130"/>
      <c r="FT81" s="130"/>
      <c r="FU81" s="130"/>
      <c r="FV81" s="130"/>
      <c r="FW81" s="130"/>
      <c r="FX81" s="130"/>
      <c r="FY81" s="130"/>
      <c r="FZ81" s="130"/>
      <c r="GA81" s="130"/>
      <c r="GB81" s="130"/>
      <c r="GC81" s="130"/>
      <c r="GD81" s="130"/>
      <c r="GE81" s="130"/>
      <c r="GF81" s="130"/>
      <c r="GG81" s="130"/>
      <c r="GH81" s="130"/>
      <c r="GI81" s="130"/>
      <c r="GJ81" s="130"/>
      <c r="GK81" s="130"/>
      <c r="GL81" s="130"/>
      <c r="GM81" s="130"/>
      <c r="GN81" s="130"/>
      <c r="GO81" s="130"/>
      <c r="GP81" s="130"/>
      <c r="GQ81" s="130"/>
      <c r="GR81" s="130"/>
      <c r="GS81" s="130"/>
      <c r="GT81" s="130"/>
      <c r="GU81" s="130"/>
      <c r="GV81" s="130"/>
      <c r="GW81" s="130"/>
      <c r="GX81" s="130"/>
      <c r="GY81" s="130"/>
      <c r="GZ81" s="130"/>
      <c r="HA81" s="130"/>
      <c r="HB81" s="130"/>
      <c r="HC81" s="130"/>
      <c r="HD81" s="130"/>
      <c r="HE81" s="130"/>
      <c r="HF81" s="130"/>
      <c r="HG81" s="130"/>
      <c r="HH81" s="130"/>
      <c r="HI81" s="130"/>
      <c r="HJ81" s="130"/>
      <c r="HK81" s="130"/>
      <c r="HL81" s="130"/>
      <c r="HM81" s="130"/>
      <c r="HN81" s="130"/>
      <c r="HO81" s="130"/>
      <c r="HP81" s="130"/>
      <c r="HQ81" s="130"/>
      <c r="HR81" s="130"/>
      <c r="HS81" s="130"/>
      <c r="HT81" s="130"/>
      <c r="HU81" s="130"/>
      <c r="HV81" s="130"/>
      <c r="HW81" s="130"/>
      <c r="HX81" s="130"/>
      <c r="HY81" s="130"/>
      <c r="HZ81" s="130"/>
      <c r="IA81" s="130"/>
      <c r="IB81" s="130"/>
    </row>
    <row r="82" spans="1:236" ht="14.15" customHeight="1">
      <c r="A82" s="130"/>
      <c r="B82" s="129"/>
      <c r="C82" s="129"/>
      <c r="D82" s="129"/>
      <c r="E82" s="129"/>
      <c r="F82" s="129"/>
      <c r="G82" s="129"/>
      <c r="H82" s="129"/>
      <c r="I82" s="129"/>
      <c r="J82" s="129"/>
      <c r="K82" s="129"/>
      <c r="L82" s="129"/>
      <c r="N82" s="1034"/>
      <c r="O82" s="1034"/>
      <c r="W82" s="548"/>
      <c r="X82" s="548"/>
      <c r="Y82" s="548"/>
      <c r="Z82" s="548"/>
      <c r="AA82" s="548"/>
      <c r="AB82" s="548"/>
      <c r="AC82" s="548"/>
      <c r="AD82" s="548"/>
      <c r="AE82" s="548"/>
      <c r="AF82" s="548"/>
      <c r="AG82" s="548"/>
      <c r="AH82" s="548"/>
      <c r="AI82" s="548"/>
      <c r="AJ82" s="548"/>
      <c r="AK82" s="548"/>
      <c r="AL82" s="130"/>
      <c r="AM82" s="130"/>
      <c r="AN82" s="130"/>
      <c r="AO82" s="130"/>
      <c r="AP82" s="130"/>
      <c r="AQ82" s="130"/>
      <c r="AR82" s="130"/>
      <c r="AS82" s="130"/>
      <c r="AT82" s="130"/>
      <c r="AU82" s="130"/>
      <c r="AV82" s="130"/>
      <c r="AW82" s="130"/>
      <c r="AX82" s="130"/>
      <c r="AY82" s="130"/>
      <c r="AZ82" s="130"/>
      <c r="BA82" s="130"/>
      <c r="BB82" s="130"/>
      <c r="BC82" s="130"/>
      <c r="BD82" s="130"/>
      <c r="BE82" s="130"/>
      <c r="BF82" s="130"/>
      <c r="BG82" s="130"/>
      <c r="BH82" s="130"/>
      <c r="BI82" s="130"/>
      <c r="BJ82" s="130"/>
      <c r="BK82" s="130"/>
      <c r="BL82" s="130"/>
      <c r="BM82" s="130"/>
      <c r="BN82" s="130"/>
      <c r="BO82" s="130"/>
      <c r="BP82" s="130"/>
      <c r="BQ82" s="130"/>
      <c r="BR82" s="130"/>
      <c r="BS82" s="130"/>
      <c r="BT82" s="130"/>
      <c r="BU82" s="130"/>
      <c r="BV82" s="130"/>
      <c r="BW82" s="130"/>
      <c r="BX82" s="130"/>
      <c r="BY82" s="130"/>
      <c r="BZ82" s="130"/>
      <c r="CA82" s="130"/>
      <c r="CB82" s="130"/>
      <c r="CC82" s="130"/>
      <c r="CD82" s="130"/>
      <c r="CE82" s="130"/>
      <c r="CF82" s="130"/>
      <c r="CG82" s="130"/>
      <c r="CH82" s="130"/>
      <c r="CI82" s="130"/>
      <c r="CJ82" s="130"/>
      <c r="CK82" s="130"/>
      <c r="CL82" s="130"/>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c r="DM82" s="130"/>
      <c r="DN82" s="130"/>
      <c r="DO82" s="130"/>
      <c r="DP82" s="130"/>
      <c r="DQ82" s="130"/>
      <c r="DR82" s="130"/>
      <c r="DS82" s="130"/>
      <c r="DT82" s="130"/>
      <c r="DU82" s="130"/>
      <c r="DV82" s="130"/>
      <c r="DW82" s="130"/>
      <c r="DX82" s="130"/>
      <c r="DY82" s="130"/>
      <c r="DZ82" s="130"/>
      <c r="EA82" s="130"/>
      <c r="EB82" s="130"/>
      <c r="EC82" s="130"/>
      <c r="ED82" s="130"/>
      <c r="EE82" s="130"/>
      <c r="EF82" s="130"/>
      <c r="EG82" s="130"/>
      <c r="EH82" s="130"/>
      <c r="EI82" s="130"/>
      <c r="EJ82" s="130"/>
      <c r="EK82" s="130"/>
      <c r="EL82" s="130"/>
      <c r="EM82" s="130"/>
      <c r="EN82" s="130"/>
      <c r="EO82" s="130"/>
      <c r="EP82" s="130"/>
      <c r="EQ82" s="130"/>
      <c r="ER82" s="130"/>
      <c r="ES82" s="130"/>
      <c r="ET82" s="130"/>
      <c r="EU82" s="130"/>
      <c r="EV82" s="130"/>
      <c r="EW82" s="130"/>
      <c r="EX82" s="130"/>
      <c r="EY82" s="130"/>
      <c r="EZ82" s="130"/>
      <c r="FA82" s="130"/>
      <c r="FB82" s="130"/>
      <c r="FC82" s="130"/>
      <c r="FD82" s="130"/>
      <c r="FE82" s="130"/>
      <c r="FF82" s="130"/>
      <c r="FG82" s="130"/>
      <c r="FH82" s="130"/>
      <c r="FI82" s="130"/>
      <c r="FJ82" s="130"/>
      <c r="FK82" s="130"/>
      <c r="FL82" s="130"/>
      <c r="FM82" s="130"/>
      <c r="FN82" s="130"/>
      <c r="FO82" s="130"/>
      <c r="FP82" s="130"/>
      <c r="FQ82" s="130"/>
      <c r="FR82" s="130"/>
      <c r="FS82" s="130"/>
      <c r="FT82" s="130"/>
      <c r="FU82" s="130"/>
      <c r="FV82" s="130"/>
      <c r="FW82" s="130"/>
      <c r="FX82" s="130"/>
      <c r="FY82" s="130"/>
      <c r="FZ82" s="130"/>
      <c r="GA82" s="130"/>
      <c r="GB82" s="130"/>
      <c r="GC82" s="130"/>
      <c r="GD82" s="130"/>
      <c r="GE82" s="130"/>
      <c r="GF82" s="130"/>
      <c r="GG82" s="130"/>
      <c r="GH82" s="130"/>
      <c r="GI82" s="130"/>
      <c r="GJ82" s="130"/>
      <c r="GK82" s="130"/>
      <c r="GL82" s="130"/>
      <c r="GM82" s="130"/>
      <c r="GN82" s="130"/>
      <c r="GO82" s="130"/>
      <c r="GP82" s="130"/>
      <c r="GQ82" s="130"/>
      <c r="GR82" s="130"/>
      <c r="GS82" s="130"/>
      <c r="GT82" s="130"/>
      <c r="GU82" s="130"/>
      <c r="GV82" s="130"/>
      <c r="GW82" s="130"/>
      <c r="GX82" s="130"/>
      <c r="GY82" s="130"/>
      <c r="GZ82" s="130"/>
      <c r="HA82" s="130"/>
      <c r="HB82" s="130"/>
      <c r="HC82" s="130"/>
      <c r="HD82" s="130"/>
      <c r="HE82" s="130"/>
      <c r="HF82" s="130"/>
      <c r="HG82" s="130"/>
      <c r="HH82" s="130"/>
      <c r="HI82" s="130"/>
      <c r="HJ82" s="130"/>
      <c r="HK82" s="130"/>
      <c r="HL82" s="130"/>
      <c r="HM82" s="130"/>
      <c r="HN82" s="130"/>
      <c r="HO82" s="130"/>
      <c r="HP82" s="130"/>
      <c r="HQ82" s="130"/>
      <c r="HR82" s="130"/>
      <c r="HS82" s="130"/>
      <c r="HT82" s="130"/>
      <c r="HU82" s="130"/>
      <c r="HV82" s="130"/>
      <c r="HW82" s="130"/>
      <c r="HX82" s="130"/>
      <c r="HY82" s="130"/>
      <c r="HZ82" s="130"/>
      <c r="IA82" s="130"/>
      <c r="IB82" s="130"/>
    </row>
    <row r="83" spans="1:236" ht="14.15" customHeight="1">
      <c r="A83" s="130"/>
      <c r="B83" s="129"/>
      <c r="C83" s="129"/>
      <c r="D83" s="129"/>
      <c r="E83" s="129"/>
      <c r="F83" s="129"/>
      <c r="G83" s="129"/>
      <c r="H83" s="129"/>
      <c r="I83" s="129"/>
      <c r="J83" s="129"/>
      <c r="K83" s="129"/>
      <c r="L83" s="129"/>
      <c r="N83" s="1034"/>
      <c r="O83" s="1034"/>
      <c r="W83" s="548"/>
      <c r="X83" s="1428"/>
      <c r="Y83" s="548"/>
      <c r="Z83" s="548"/>
      <c r="AA83" s="548"/>
      <c r="AB83" s="548"/>
      <c r="AC83" s="548"/>
      <c r="AD83" s="548"/>
      <c r="AE83" s="548"/>
      <c r="AF83" s="548"/>
      <c r="AG83" s="548"/>
      <c r="AH83" s="548"/>
      <c r="AI83" s="548"/>
      <c r="AJ83" s="548"/>
      <c r="AK83" s="548"/>
      <c r="AL83" s="130"/>
      <c r="AM83" s="130"/>
      <c r="AN83" s="130"/>
      <c r="AO83" s="130"/>
      <c r="AP83" s="130"/>
      <c r="AQ83" s="130"/>
      <c r="AR83" s="130"/>
      <c r="AS83" s="130"/>
      <c r="AT83" s="130"/>
      <c r="AU83" s="130"/>
      <c r="AV83" s="130"/>
      <c r="AW83" s="130"/>
      <c r="AX83" s="130"/>
      <c r="AY83" s="130"/>
      <c r="AZ83" s="130"/>
      <c r="BA83" s="130"/>
      <c r="BB83" s="130"/>
      <c r="BC83" s="130"/>
      <c r="BD83" s="130"/>
      <c r="BE83" s="130"/>
      <c r="BF83" s="130"/>
      <c r="BG83" s="130"/>
      <c r="BH83" s="130"/>
      <c r="BI83" s="130"/>
      <c r="BJ83" s="130"/>
      <c r="BK83" s="130"/>
      <c r="BL83" s="130"/>
      <c r="BM83" s="130"/>
      <c r="BN83" s="130"/>
      <c r="BO83" s="130"/>
      <c r="BP83" s="130"/>
      <c r="BQ83" s="130"/>
      <c r="BR83" s="130"/>
      <c r="BS83" s="130"/>
      <c r="BT83" s="130"/>
      <c r="BU83" s="130"/>
      <c r="BV83" s="130"/>
      <c r="BW83" s="130"/>
      <c r="BX83" s="130"/>
      <c r="BY83" s="130"/>
      <c r="BZ83" s="130"/>
      <c r="CA83" s="130"/>
      <c r="CB83" s="130"/>
      <c r="CC83" s="130"/>
      <c r="CD83" s="130"/>
      <c r="CE83" s="130"/>
      <c r="CF83" s="130"/>
      <c r="CG83" s="130"/>
      <c r="CH83" s="130"/>
      <c r="CI83" s="130"/>
      <c r="CJ83" s="130"/>
      <c r="CK83" s="130"/>
      <c r="CL83" s="130"/>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c r="DM83" s="130"/>
      <c r="DN83" s="130"/>
      <c r="DO83" s="130"/>
      <c r="DP83" s="130"/>
      <c r="DQ83" s="130"/>
      <c r="DR83" s="130"/>
      <c r="DS83" s="130"/>
      <c r="DT83" s="130"/>
      <c r="DU83" s="130"/>
      <c r="DV83" s="130"/>
      <c r="DW83" s="130"/>
      <c r="DX83" s="130"/>
      <c r="DY83" s="130"/>
      <c r="DZ83" s="130"/>
      <c r="EA83" s="130"/>
      <c r="EB83" s="130"/>
      <c r="EC83" s="130"/>
      <c r="ED83" s="130"/>
      <c r="EE83" s="130"/>
      <c r="EF83" s="130"/>
      <c r="EG83" s="130"/>
      <c r="EH83" s="130"/>
      <c r="EI83" s="130"/>
      <c r="EJ83" s="130"/>
      <c r="EK83" s="130"/>
      <c r="EL83" s="130"/>
      <c r="EM83" s="130"/>
      <c r="EN83" s="130"/>
      <c r="EO83" s="130"/>
      <c r="EP83" s="130"/>
      <c r="EQ83" s="130"/>
      <c r="ER83" s="130"/>
      <c r="ES83" s="130"/>
      <c r="ET83" s="130"/>
      <c r="EU83" s="130"/>
      <c r="EV83" s="130"/>
      <c r="EW83" s="130"/>
      <c r="EX83" s="130"/>
      <c r="EY83" s="130"/>
      <c r="EZ83" s="130"/>
      <c r="FA83" s="130"/>
      <c r="FB83" s="130"/>
      <c r="FC83" s="130"/>
      <c r="FD83" s="130"/>
      <c r="FE83" s="130"/>
      <c r="FF83" s="130"/>
      <c r="FG83" s="130"/>
      <c r="FH83" s="130"/>
      <c r="FI83" s="130"/>
      <c r="FJ83" s="130"/>
      <c r="FK83" s="130"/>
      <c r="FL83" s="130"/>
      <c r="FM83" s="130"/>
      <c r="FN83" s="130"/>
      <c r="FO83" s="130"/>
      <c r="FP83" s="130"/>
      <c r="FQ83" s="130"/>
      <c r="FR83" s="130"/>
      <c r="FS83" s="130"/>
      <c r="FT83" s="130"/>
      <c r="FU83" s="130"/>
      <c r="FV83" s="130"/>
      <c r="FW83" s="130"/>
      <c r="FX83" s="130"/>
      <c r="FY83" s="130"/>
      <c r="FZ83" s="130"/>
      <c r="GA83" s="130"/>
      <c r="GB83" s="130"/>
      <c r="GC83" s="130"/>
      <c r="GD83" s="130"/>
      <c r="GE83" s="130"/>
      <c r="GF83" s="130"/>
      <c r="GG83" s="130"/>
      <c r="GH83" s="130"/>
      <c r="GI83" s="130"/>
      <c r="GJ83" s="130"/>
      <c r="GK83" s="130"/>
      <c r="GL83" s="130"/>
      <c r="GM83" s="130"/>
      <c r="GN83" s="130"/>
      <c r="GO83" s="130"/>
      <c r="GP83" s="130"/>
      <c r="GQ83" s="130"/>
      <c r="GR83" s="130"/>
      <c r="GS83" s="130"/>
      <c r="GT83" s="130"/>
      <c r="GU83" s="130"/>
      <c r="GV83" s="130"/>
      <c r="GW83" s="130"/>
      <c r="GX83" s="130"/>
      <c r="GY83" s="130"/>
      <c r="GZ83" s="130"/>
      <c r="HA83" s="130"/>
      <c r="HB83" s="130"/>
      <c r="HC83" s="130"/>
      <c r="HD83" s="130"/>
      <c r="HE83" s="130"/>
      <c r="HF83" s="130"/>
      <c r="HG83" s="130"/>
      <c r="HH83" s="130"/>
      <c r="HI83" s="130"/>
      <c r="HJ83" s="130"/>
      <c r="HK83" s="130"/>
      <c r="HL83" s="130"/>
      <c r="HM83" s="130"/>
      <c r="HN83" s="130"/>
      <c r="HO83" s="130"/>
      <c r="HP83" s="130"/>
      <c r="HQ83" s="130"/>
      <c r="HR83" s="130"/>
      <c r="HS83" s="130"/>
      <c r="HT83" s="130"/>
      <c r="HU83" s="130"/>
      <c r="HV83" s="130"/>
      <c r="HW83" s="130"/>
      <c r="HX83" s="130"/>
      <c r="HY83" s="130"/>
      <c r="HZ83" s="130"/>
      <c r="IA83" s="130"/>
      <c r="IB83" s="130"/>
    </row>
    <row r="84" spans="1:236" ht="14.15" customHeight="1">
      <c r="A84" s="130"/>
      <c r="B84" s="129"/>
      <c r="C84" s="129"/>
      <c r="D84" s="129"/>
      <c r="E84" s="129"/>
      <c r="F84" s="129"/>
      <c r="G84" s="129"/>
      <c r="H84" s="129"/>
      <c r="I84" s="129"/>
      <c r="J84" s="129"/>
      <c r="K84" s="129"/>
      <c r="L84" s="129"/>
      <c r="N84" s="1034"/>
      <c r="O84" s="1034"/>
      <c r="W84" s="548"/>
      <c r="X84" s="1428"/>
      <c r="Y84" s="548"/>
      <c r="Z84" s="548"/>
      <c r="AA84" s="548"/>
      <c r="AB84" s="548"/>
      <c r="AC84" s="548"/>
      <c r="AD84" s="548"/>
      <c r="AE84" s="548"/>
      <c r="AF84" s="548"/>
      <c r="AG84" s="548"/>
      <c r="AH84" s="548"/>
      <c r="AI84" s="548"/>
      <c r="AJ84" s="548"/>
      <c r="AK84" s="548"/>
      <c r="AL84" s="130"/>
      <c r="AM84" s="130"/>
      <c r="AN84" s="130"/>
      <c r="AO84" s="130"/>
      <c r="AP84" s="130"/>
      <c r="AQ84" s="130"/>
      <c r="AR84" s="130"/>
      <c r="AS84" s="130"/>
      <c r="AT84" s="130"/>
      <c r="AU84" s="130"/>
      <c r="AV84" s="130"/>
      <c r="AW84" s="130"/>
      <c r="AX84" s="130"/>
      <c r="AY84" s="130"/>
      <c r="AZ84" s="130"/>
      <c r="BA84" s="130"/>
      <c r="BB84" s="130"/>
      <c r="BC84" s="130"/>
      <c r="BD84" s="130"/>
      <c r="BE84" s="130"/>
      <c r="BF84" s="130"/>
      <c r="BG84" s="130"/>
      <c r="BH84" s="130"/>
      <c r="BI84" s="130"/>
      <c r="BJ84" s="130"/>
      <c r="BK84" s="130"/>
      <c r="BL84" s="130"/>
      <c r="BM84" s="130"/>
      <c r="BN84" s="130"/>
      <c r="BO84" s="130"/>
      <c r="BP84" s="130"/>
      <c r="BQ84" s="130"/>
      <c r="BR84" s="130"/>
      <c r="BS84" s="130"/>
      <c r="BT84" s="130"/>
      <c r="BU84" s="130"/>
      <c r="BV84" s="130"/>
      <c r="BW84" s="130"/>
      <c r="BX84" s="130"/>
      <c r="BY84" s="130"/>
      <c r="BZ84" s="130"/>
      <c r="CA84" s="130"/>
      <c r="CB84" s="130"/>
      <c r="CC84" s="130"/>
      <c r="CD84" s="130"/>
      <c r="CE84" s="130"/>
      <c r="CF84" s="130"/>
      <c r="CG84" s="130"/>
      <c r="CH84" s="130"/>
      <c r="CI84" s="130"/>
      <c r="CJ84" s="130"/>
      <c r="CK84" s="130"/>
      <c r="CL84" s="130"/>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c r="DM84" s="130"/>
      <c r="DN84" s="130"/>
      <c r="DO84" s="130"/>
      <c r="DP84" s="130"/>
      <c r="DQ84" s="130"/>
      <c r="DR84" s="130"/>
      <c r="DS84" s="130"/>
      <c r="DT84" s="130"/>
      <c r="DU84" s="130"/>
      <c r="DV84" s="130"/>
      <c r="DW84" s="130"/>
      <c r="DX84" s="130"/>
      <c r="DY84" s="130"/>
      <c r="DZ84" s="130"/>
      <c r="EA84" s="130"/>
      <c r="EB84" s="130"/>
      <c r="EC84" s="130"/>
      <c r="ED84" s="130"/>
      <c r="EE84" s="130"/>
      <c r="EF84" s="130"/>
      <c r="EG84" s="130"/>
      <c r="EH84" s="130"/>
      <c r="EI84" s="130"/>
      <c r="EJ84" s="130"/>
      <c r="EK84" s="130"/>
      <c r="EL84" s="130"/>
      <c r="EM84" s="130"/>
      <c r="EN84" s="130"/>
      <c r="EO84" s="130"/>
      <c r="EP84" s="130"/>
      <c r="EQ84" s="130"/>
      <c r="ER84" s="130"/>
      <c r="ES84" s="130"/>
      <c r="ET84" s="130"/>
      <c r="EU84" s="130"/>
      <c r="EV84" s="130"/>
      <c r="EW84" s="130"/>
      <c r="EX84" s="130"/>
      <c r="EY84" s="130"/>
      <c r="EZ84" s="130"/>
      <c r="FA84" s="130"/>
      <c r="FB84" s="130"/>
      <c r="FC84" s="130"/>
      <c r="FD84" s="130"/>
      <c r="FE84" s="130"/>
      <c r="FF84" s="130"/>
      <c r="FG84" s="130"/>
      <c r="FH84" s="130"/>
      <c r="FI84" s="130"/>
      <c r="FJ84" s="130"/>
      <c r="FK84" s="130"/>
      <c r="FL84" s="130"/>
      <c r="FM84" s="130"/>
      <c r="FN84" s="130"/>
      <c r="FO84" s="130"/>
      <c r="FP84" s="130"/>
      <c r="FQ84" s="130"/>
      <c r="FR84" s="130"/>
      <c r="FS84" s="130"/>
      <c r="FT84" s="130"/>
      <c r="FU84" s="130"/>
      <c r="FV84" s="130"/>
      <c r="FW84" s="130"/>
      <c r="FX84" s="130"/>
      <c r="FY84" s="130"/>
      <c r="FZ84" s="130"/>
      <c r="GA84" s="130"/>
      <c r="GB84" s="130"/>
      <c r="GC84" s="130"/>
      <c r="GD84" s="130"/>
      <c r="GE84" s="130"/>
      <c r="GF84" s="130"/>
      <c r="GG84" s="130"/>
      <c r="GH84" s="130"/>
      <c r="GI84" s="130"/>
      <c r="GJ84" s="130"/>
      <c r="GK84" s="130"/>
      <c r="GL84" s="130"/>
      <c r="GM84" s="130"/>
      <c r="GN84" s="130"/>
      <c r="GO84" s="130"/>
      <c r="GP84" s="130"/>
      <c r="GQ84" s="130"/>
      <c r="GR84" s="130"/>
      <c r="GS84" s="130"/>
      <c r="GT84" s="130"/>
      <c r="GU84" s="130"/>
      <c r="GV84" s="130"/>
      <c r="GW84" s="130"/>
      <c r="GX84" s="130"/>
      <c r="GY84" s="130"/>
      <c r="GZ84" s="130"/>
      <c r="HA84" s="130"/>
      <c r="HB84" s="130"/>
      <c r="HC84" s="130"/>
      <c r="HD84" s="130"/>
      <c r="HE84" s="130"/>
      <c r="HF84" s="130"/>
      <c r="HG84" s="130"/>
      <c r="HH84" s="130"/>
      <c r="HI84" s="130"/>
      <c r="HJ84" s="130"/>
      <c r="HK84" s="130"/>
      <c r="HL84" s="130"/>
      <c r="HM84" s="130"/>
      <c r="HN84" s="130"/>
      <c r="HO84" s="130"/>
      <c r="HP84" s="130"/>
      <c r="HQ84" s="130"/>
      <c r="HR84" s="130"/>
      <c r="HS84" s="130"/>
      <c r="HT84" s="130"/>
      <c r="HU84" s="130"/>
      <c r="HV84" s="130"/>
      <c r="HW84" s="130"/>
      <c r="HX84" s="130"/>
      <c r="HY84" s="130"/>
      <c r="HZ84" s="130"/>
      <c r="IA84" s="130"/>
      <c r="IB84" s="130"/>
    </row>
    <row r="85" spans="1:236" ht="14.15" customHeight="1">
      <c r="A85" s="130"/>
      <c r="B85" s="129"/>
      <c r="C85" s="129"/>
      <c r="D85" s="129"/>
      <c r="E85" s="129"/>
      <c r="F85" s="129"/>
      <c r="G85" s="129"/>
      <c r="H85" s="129"/>
      <c r="I85" s="129"/>
      <c r="J85" s="129"/>
      <c r="K85" s="129"/>
      <c r="L85" s="129"/>
      <c r="N85" s="1034"/>
      <c r="O85" s="1034"/>
      <c r="W85" s="548"/>
      <c r="X85" s="1428"/>
      <c r="Y85" s="548"/>
      <c r="Z85" s="548"/>
      <c r="AA85" s="548"/>
      <c r="AB85" s="548"/>
      <c r="AC85" s="548"/>
      <c r="AD85" s="548"/>
      <c r="AE85" s="548"/>
      <c r="AF85" s="548"/>
      <c r="AG85" s="548"/>
      <c r="AH85" s="548"/>
      <c r="AI85" s="548"/>
      <c r="AJ85" s="548"/>
      <c r="AK85" s="548"/>
      <c r="AL85" s="130"/>
      <c r="AM85" s="130"/>
      <c r="AN85" s="130"/>
      <c r="AO85" s="130"/>
      <c r="AP85" s="130"/>
      <c r="AQ85" s="130"/>
      <c r="AR85" s="130"/>
      <c r="AS85" s="130"/>
      <c r="AT85" s="130"/>
      <c r="AU85" s="130"/>
      <c r="AV85" s="130"/>
      <c r="AW85" s="130"/>
      <c r="AX85" s="130"/>
      <c r="AY85" s="130"/>
      <c r="AZ85" s="130"/>
      <c r="BA85" s="130"/>
      <c r="BB85" s="130"/>
      <c r="BC85" s="130"/>
      <c r="BD85" s="130"/>
      <c r="BE85" s="130"/>
      <c r="BF85" s="130"/>
      <c r="BG85" s="130"/>
      <c r="BH85" s="130"/>
      <c r="BI85" s="130"/>
      <c r="BJ85" s="130"/>
      <c r="BK85" s="130"/>
      <c r="BL85" s="130"/>
      <c r="BM85" s="130"/>
      <c r="BN85" s="130"/>
      <c r="BO85" s="130"/>
      <c r="BP85" s="130"/>
      <c r="BQ85" s="130"/>
      <c r="BR85" s="130"/>
      <c r="BS85" s="130"/>
      <c r="BT85" s="130"/>
      <c r="BU85" s="130"/>
      <c r="BV85" s="130"/>
      <c r="BW85" s="130"/>
      <c r="BX85" s="130"/>
      <c r="BY85" s="130"/>
      <c r="BZ85" s="130"/>
      <c r="CA85" s="130"/>
      <c r="CB85" s="130"/>
      <c r="CC85" s="130"/>
      <c r="CD85" s="130"/>
      <c r="CE85" s="130"/>
      <c r="CF85" s="130"/>
      <c r="CG85" s="130"/>
      <c r="CH85" s="130"/>
      <c r="CI85" s="130"/>
      <c r="CJ85" s="130"/>
      <c r="CK85" s="130"/>
      <c r="CL85" s="130"/>
      <c r="CM85" s="130"/>
      <c r="CN85" s="130"/>
      <c r="CO85" s="130"/>
      <c r="CP85" s="130"/>
      <c r="CQ85" s="130"/>
      <c r="CR85" s="130"/>
      <c r="CS85" s="130"/>
      <c r="CT85" s="130"/>
      <c r="CU85" s="130"/>
      <c r="CV85" s="130"/>
      <c r="CW85" s="130"/>
      <c r="CX85" s="130"/>
      <c r="CY85" s="130"/>
      <c r="CZ85" s="130"/>
      <c r="DA85" s="130"/>
      <c r="DB85" s="130"/>
      <c r="DC85" s="130"/>
      <c r="DD85" s="130"/>
      <c r="DE85" s="130"/>
      <c r="DF85" s="130"/>
      <c r="DG85" s="130"/>
      <c r="DH85" s="130"/>
      <c r="DI85" s="130"/>
      <c r="DJ85" s="130"/>
      <c r="DK85" s="130"/>
      <c r="DL85" s="130"/>
      <c r="DM85" s="130"/>
      <c r="DN85" s="130"/>
      <c r="DO85" s="130"/>
      <c r="DP85" s="130"/>
      <c r="DQ85" s="130"/>
      <c r="DR85" s="130"/>
      <c r="DS85" s="130"/>
      <c r="DT85" s="130"/>
      <c r="DU85" s="130"/>
      <c r="DV85" s="130"/>
      <c r="DW85" s="130"/>
      <c r="DX85" s="130"/>
      <c r="DY85" s="130"/>
      <c r="DZ85" s="130"/>
      <c r="EA85" s="130"/>
      <c r="EB85" s="130"/>
      <c r="EC85" s="130"/>
      <c r="ED85" s="130"/>
      <c r="EE85" s="130"/>
      <c r="EF85" s="130"/>
      <c r="EG85" s="130"/>
      <c r="EH85" s="130"/>
      <c r="EI85" s="130"/>
      <c r="EJ85" s="130"/>
      <c r="EK85" s="130"/>
      <c r="EL85" s="130"/>
      <c r="EM85" s="130"/>
      <c r="EN85" s="130"/>
      <c r="EO85" s="130"/>
      <c r="EP85" s="130"/>
      <c r="EQ85" s="130"/>
      <c r="ER85" s="130"/>
      <c r="ES85" s="130"/>
      <c r="ET85" s="130"/>
      <c r="EU85" s="130"/>
      <c r="EV85" s="130"/>
      <c r="EW85" s="130"/>
      <c r="EX85" s="130"/>
      <c r="EY85" s="130"/>
      <c r="EZ85" s="130"/>
      <c r="FA85" s="130"/>
      <c r="FB85" s="130"/>
      <c r="FC85" s="130"/>
      <c r="FD85" s="130"/>
      <c r="FE85" s="130"/>
      <c r="FF85" s="130"/>
      <c r="FG85" s="130"/>
      <c r="FH85" s="130"/>
      <c r="FI85" s="130"/>
      <c r="FJ85" s="130"/>
      <c r="FK85" s="130"/>
      <c r="FL85" s="130"/>
      <c r="FM85" s="130"/>
      <c r="FN85" s="130"/>
      <c r="FO85" s="130"/>
      <c r="FP85" s="130"/>
      <c r="FQ85" s="130"/>
      <c r="FR85" s="130"/>
      <c r="FS85" s="130"/>
      <c r="FT85" s="130"/>
      <c r="FU85" s="130"/>
      <c r="FV85" s="130"/>
      <c r="FW85" s="130"/>
      <c r="FX85" s="130"/>
      <c r="FY85" s="130"/>
      <c r="FZ85" s="130"/>
      <c r="GA85" s="130"/>
      <c r="GB85" s="130"/>
      <c r="GC85" s="130"/>
      <c r="GD85" s="130"/>
      <c r="GE85" s="130"/>
      <c r="GF85" s="130"/>
      <c r="GG85" s="130"/>
      <c r="GH85" s="130"/>
      <c r="GI85" s="130"/>
      <c r="GJ85" s="130"/>
      <c r="GK85" s="130"/>
      <c r="GL85" s="130"/>
      <c r="GM85" s="130"/>
      <c r="GN85" s="130"/>
      <c r="GO85" s="130"/>
      <c r="GP85" s="130"/>
      <c r="GQ85" s="130"/>
      <c r="GR85" s="130"/>
      <c r="GS85" s="130"/>
      <c r="GT85" s="130"/>
      <c r="GU85" s="130"/>
      <c r="GV85" s="130"/>
      <c r="GW85" s="130"/>
      <c r="GX85" s="130"/>
      <c r="GY85" s="130"/>
      <c r="GZ85" s="130"/>
      <c r="HA85" s="130"/>
      <c r="HB85" s="130"/>
      <c r="HC85" s="130"/>
      <c r="HD85" s="130"/>
      <c r="HE85" s="130"/>
      <c r="HF85" s="130"/>
      <c r="HG85" s="130"/>
      <c r="HH85" s="130"/>
      <c r="HI85" s="130"/>
      <c r="HJ85" s="130"/>
      <c r="HK85" s="130"/>
      <c r="HL85" s="130"/>
      <c r="HM85" s="130"/>
      <c r="HN85" s="130"/>
      <c r="HO85" s="130"/>
      <c r="HP85" s="130"/>
      <c r="HQ85" s="130"/>
      <c r="HR85" s="130"/>
      <c r="HS85" s="130"/>
      <c r="HT85" s="130"/>
      <c r="HU85" s="130"/>
      <c r="HV85" s="130"/>
      <c r="HW85" s="130"/>
      <c r="HX85" s="130"/>
      <c r="HY85" s="130"/>
      <c r="HZ85" s="130"/>
      <c r="IA85" s="130"/>
      <c r="IB85" s="130"/>
    </row>
    <row r="86" spans="1:236" ht="14.15" customHeight="1">
      <c r="A86" s="130"/>
      <c r="B86" s="129"/>
      <c r="C86" s="129"/>
      <c r="D86" s="129"/>
      <c r="E86" s="129"/>
      <c r="F86" s="129"/>
      <c r="G86" s="129"/>
      <c r="H86" s="129"/>
      <c r="I86" s="129"/>
      <c r="J86" s="129"/>
      <c r="K86" s="129"/>
      <c r="L86" s="129"/>
      <c r="N86" s="1034"/>
      <c r="O86" s="1034"/>
      <c r="W86" s="548"/>
      <c r="X86" s="1428"/>
      <c r="Y86" s="548"/>
      <c r="Z86" s="548"/>
      <c r="AA86" s="548"/>
      <c r="AB86" s="548"/>
      <c r="AC86" s="548"/>
      <c r="AD86" s="548"/>
      <c r="AE86" s="548"/>
      <c r="AF86" s="548"/>
      <c r="AG86" s="548"/>
      <c r="AH86" s="548"/>
      <c r="AI86" s="548"/>
      <c r="AJ86" s="548"/>
      <c r="AK86" s="548"/>
      <c r="AL86" s="130"/>
      <c r="AM86" s="130"/>
      <c r="AN86" s="130"/>
      <c r="AO86" s="130"/>
      <c r="AP86" s="130"/>
      <c r="AQ86" s="130"/>
      <c r="AR86" s="130"/>
      <c r="AS86" s="130"/>
      <c r="AT86" s="130"/>
      <c r="AU86" s="130"/>
      <c r="AV86" s="130"/>
      <c r="AW86" s="130"/>
      <c r="AX86" s="130"/>
      <c r="AY86" s="130"/>
      <c r="AZ86" s="130"/>
      <c r="BA86" s="130"/>
      <c r="BB86" s="130"/>
      <c r="BC86" s="130"/>
      <c r="BD86" s="130"/>
      <c r="BE86" s="130"/>
      <c r="BF86" s="130"/>
      <c r="BG86" s="130"/>
      <c r="BH86" s="130"/>
      <c r="BI86" s="130"/>
      <c r="BJ86" s="130"/>
      <c r="BK86" s="130"/>
      <c r="BL86" s="130"/>
      <c r="BM86" s="130"/>
      <c r="BN86" s="130"/>
      <c r="BO86" s="130"/>
      <c r="BP86" s="130"/>
      <c r="BQ86" s="130"/>
      <c r="BR86" s="130"/>
      <c r="BS86" s="130"/>
      <c r="BT86" s="130"/>
      <c r="BU86" s="130"/>
      <c r="BV86" s="130"/>
      <c r="BW86" s="130"/>
      <c r="BX86" s="130"/>
      <c r="BY86" s="130"/>
      <c r="BZ86" s="130"/>
      <c r="CA86" s="130"/>
      <c r="CB86" s="130"/>
      <c r="CC86" s="130"/>
      <c r="CD86" s="130"/>
      <c r="CE86" s="130"/>
      <c r="CF86" s="130"/>
      <c r="CG86" s="130"/>
      <c r="CH86" s="130"/>
      <c r="CI86" s="130"/>
      <c r="CJ86" s="130"/>
      <c r="CK86" s="130"/>
      <c r="CL86" s="130"/>
      <c r="CM86" s="130"/>
      <c r="CN86" s="130"/>
      <c r="CO86" s="130"/>
      <c r="CP86" s="130"/>
      <c r="CQ86" s="130"/>
      <c r="CR86" s="130"/>
      <c r="CS86" s="130"/>
      <c r="CT86" s="130"/>
      <c r="CU86" s="130"/>
      <c r="CV86" s="130"/>
      <c r="CW86" s="130"/>
      <c r="CX86" s="130"/>
      <c r="CY86" s="130"/>
      <c r="CZ86" s="130"/>
      <c r="DA86" s="130"/>
      <c r="DB86" s="130"/>
      <c r="DC86" s="130"/>
      <c r="DD86" s="130"/>
      <c r="DE86" s="130"/>
      <c r="DF86" s="130"/>
      <c r="DG86" s="130"/>
      <c r="DH86" s="130"/>
      <c r="DI86" s="130"/>
      <c r="DJ86" s="130"/>
      <c r="DK86" s="130"/>
      <c r="DL86" s="130"/>
      <c r="DM86" s="130"/>
      <c r="DN86" s="130"/>
      <c r="DO86" s="130"/>
      <c r="DP86" s="130"/>
      <c r="DQ86" s="130"/>
      <c r="DR86" s="130"/>
      <c r="DS86" s="130"/>
      <c r="DT86" s="130"/>
      <c r="DU86" s="130"/>
      <c r="DV86" s="130"/>
      <c r="DW86" s="130"/>
      <c r="DX86" s="130"/>
      <c r="DY86" s="130"/>
      <c r="DZ86" s="130"/>
      <c r="EA86" s="130"/>
      <c r="EB86" s="130"/>
      <c r="EC86" s="130"/>
      <c r="ED86" s="130"/>
      <c r="EE86" s="130"/>
      <c r="EF86" s="130"/>
      <c r="EG86" s="130"/>
      <c r="EH86" s="130"/>
      <c r="EI86" s="130"/>
      <c r="EJ86" s="130"/>
      <c r="EK86" s="130"/>
      <c r="EL86" s="130"/>
      <c r="EM86" s="130"/>
      <c r="EN86" s="130"/>
      <c r="EO86" s="130"/>
      <c r="EP86" s="130"/>
      <c r="EQ86" s="130"/>
      <c r="ER86" s="130"/>
      <c r="ES86" s="130"/>
      <c r="ET86" s="130"/>
      <c r="EU86" s="130"/>
      <c r="EV86" s="130"/>
      <c r="EW86" s="130"/>
      <c r="EX86" s="130"/>
      <c r="EY86" s="130"/>
      <c r="EZ86" s="130"/>
      <c r="FA86" s="130"/>
      <c r="FB86" s="130"/>
      <c r="FC86" s="130"/>
      <c r="FD86" s="130"/>
      <c r="FE86" s="130"/>
      <c r="FF86" s="130"/>
      <c r="FG86" s="130"/>
      <c r="FH86" s="130"/>
      <c r="FI86" s="130"/>
      <c r="FJ86" s="130"/>
      <c r="FK86" s="130"/>
      <c r="FL86" s="130"/>
      <c r="FM86" s="130"/>
      <c r="FN86" s="130"/>
      <c r="FO86" s="130"/>
      <c r="FP86" s="130"/>
      <c r="FQ86" s="130"/>
      <c r="FR86" s="130"/>
      <c r="FS86" s="130"/>
      <c r="FT86" s="130"/>
      <c r="FU86" s="130"/>
      <c r="FV86" s="130"/>
      <c r="FW86" s="130"/>
      <c r="FX86" s="130"/>
      <c r="FY86" s="130"/>
      <c r="FZ86" s="130"/>
      <c r="GA86" s="130"/>
      <c r="GB86" s="130"/>
      <c r="GC86" s="130"/>
      <c r="GD86" s="130"/>
      <c r="GE86" s="130"/>
      <c r="GF86" s="130"/>
      <c r="GG86" s="130"/>
      <c r="GH86" s="130"/>
      <c r="GI86" s="130"/>
      <c r="GJ86" s="130"/>
      <c r="GK86" s="130"/>
      <c r="GL86" s="130"/>
      <c r="GM86" s="130"/>
      <c r="GN86" s="130"/>
      <c r="GO86" s="130"/>
      <c r="GP86" s="130"/>
      <c r="GQ86" s="130"/>
      <c r="GR86" s="130"/>
      <c r="GS86" s="130"/>
      <c r="GT86" s="130"/>
      <c r="GU86" s="130"/>
      <c r="GV86" s="130"/>
      <c r="GW86" s="130"/>
      <c r="GX86" s="130"/>
      <c r="GY86" s="130"/>
      <c r="GZ86" s="130"/>
      <c r="HA86" s="130"/>
      <c r="HB86" s="130"/>
      <c r="HC86" s="130"/>
      <c r="HD86" s="130"/>
      <c r="HE86" s="130"/>
      <c r="HF86" s="130"/>
      <c r="HG86" s="130"/>
      <c r="HH86" s="130"/>
      <c r="HI86" s="130"/>
      <c r="HJ86" s="130"/>
      <c r="HK86" s="130"/>
      <c r="HL86" s="130"/>
      <c r="HM86" s="130"/>
      <c r="HN86" s="130"/>
      <c r="HO86" s="130"/>
      <c r="HP86" s="130"/>
      <c r="HQ86" s="130"/>
      <c r="HR86" s="130"/>
      <c r="HS86" s="130"/>
      <c r="HT86" s="130"/>
      <c r="HU86" s="130"/>
      <c r="HV86" s="130"/>
      <c r="HW86" s="130"/>
      <c r="HX86" s="130"/>
      <c r="HY86" s="130"/>
      <c r="HZ86" s="130"/>
      <c r="IA86" s="130"/>
      <c r="IB86" s="130"/>
    </row>
    <row r="87" spans="1:236" ht="14.15" customHeight="1">
      <c r="A87" s="130"/>
      <c r="B87" s="129"/>
      <c r="C87" s="129"/>
      <c r="D87" s="129"/>
      <c r="E87" s="129"/>
      <c r="F87" s="129"/>
      <c r="G87" s="129"/>
      <c r="H87" s="129"/>
      <c r="I87" s="129"/>
      <c r="J87" s="129"/>
      <c r="K87" s="129"/>
      <c r="L87" s="129"/>
      <c r="N87" s="1034"/>
      <c r="O87" s="1034"/>
      <c r="W87" s="548"/>
      <c r="X87" s="1428"/>
      <c r="Y87" s="548"/>
      <c r="Z87" s="548"/>
      <c r="AA87" s="548"/>
      <c r="AB87" s="548"/>
      <c r="AC87" s="548"/>
      <c r="AD87" s="548"/>
      <c r="AE87" s="548"/>
      <c r="AF87" s="548"/>
      <c r="AG87" s="548"/>
      <c r="AH87" s="548"/>
      <c r="AI87" s="548"/>
      <c r="AJ87" s="548"/>
      <c r="AK87" s="548"/>
      <c r="AL87" s="130"/>
      <c r="AM87" s="130"/>
      <c r="AN87" s="130"/>
      <c r="AO87" s="130"/>
      <c r="AP87" s="130"/>
      <c r="AQ87" s="130"/>
      <c r="AR87" s="130"/>
      <c r="AS87" s="130"/>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c r="BT87" s="130"/>
      <c r="BU87" s="130"/>
      <c r="BV87" s="130"/>
      <c r="BW87" s="130"/>
      <c r="BX87" s="130"/>
      <c r="BY87" s="130"/>
      <c r="BZ87" s="130"/>
      <c r="CA87" s="130"/>
      <c r="CB87" s="130"/>
      <c r="CC87" s="130"/>
      <c r="CD87" s="130"/>
      <c r="CE87" s="130"/>
      <c r="CF87" s="130"/>
      <c r="CG87" s="130"/>
      <c r="CH87" s="130"/>
      <c r="CI87" s="130"/>
      <c r="CJ87" s="130"/>
      <c r="CK87" s="130"/>
      <c r="CL87" s="130"/>
      <c r="CM87" s="130"/>
      <c r="CN87" s="130"/>
      <c r="CO87" s="130"/>
      <c r="CP87" s="130"/>
      <c r="CQ87" s="130"/>
      <c r="CR87" s="130"/>
      <c r="CS87" s="130"/>
      <c r="CT87" s="130"/>
      <c r="CU87" s="130"/>
      <c r="CV87" s="130"/>
      <c r="CW87" s="130"/>
      <c r="CX87" s="130"/>
      <c r="CY87" s="130"/>
      <c r="CZ87" s="130"/>
      <c r="DA87" s="130"/>
      <c r="DB87" s="130"/>
      <c r="DC87" s="130"/>
      <c r="DD87" s="130"/>
      <c r="DE87" s="130"/>
      <c r="DF87" s="130"/>
      <c r="DG87" s="130"/>
      <c r="DH87" s="130"/>
      <c r="DI87" s="130"/>
      <c r="DJ87" s="130"/>
      <c r="DK87" s="130"/>
      <c r="DL87" s="130"/>
      <c r="DM87" s="130"/>
      <c r="DN87" s="130"/>
      <c r="DO87" s="130"/>
      <c r="DP87" s="130"/>
      <c r="DQ87" s="130"/>
      <c r="DR87" s="130"/>
      <c r="DS87" s="130"/>
      <c r="DT87" s="130"/>
      <c r="DU87" s="130"/>
      <c r="DV87" s="130"/>
      <c r="DW87" s="130"/>
      <c r="DX87" s="130"/>
      <c r="DY87" s="130"/>
      <c r="DZ87" s="130"/>
      <c r="EA87" s="130"/>
      <c r="EB87" s="130"/>
      <c r="EC87" s="130"/>
      <c r="ED87" s="130"/>
      <c r="EE87" s="130"/>
      <c r="EF87" s="130"/>
      <c r="EG87" s="130"/>
      <c r="EH87" s="130"/>
      <c r="EI87" s="130"/>
      <c r="EJ87" s="130"/>
      <c r="EK87" s="130"/>
      <c r="EL87" s="130"/>
      <c r="EM87" s="130"/>
      <c r="EN87" s="130"/>
      <c r="EO87" s="130"/>
      <c r="EP87" s="130"/>
      <c r="EQ87" s="130"/>
      <c r="ER87" s="130"/>
      <c r="ES87" s="130"/>
      <c r="ET87" s="130"/>
      <c r="EU87" s="130"/>
      <c r="EV87" s="130"/>
      <c r="EW87" s="130"/>
      <c r="EX87" s="130"/>
      <c r="EY87" s="130"/>
      <c r="EZ87" s="130"/>
      <c r="FA87" s="130"/>
      <c r="FB87" s="130"/>
      <c r="FC87" s="130"/>
      <c r="FD87" s="130"/>
      <c r="FE87" s="130"/>
      <c r="FF87" s="130"/>
      <c r="FG87" s="130"/>
      <c r="FH87" s="130"/>
      <c r="FI87" s="130"/>
      <c r="FJ87" s="130"/>
      <c r="FK87" s="130"/>
      <c r="FL87" s="130"/>
      <c r="FM87" s="130"/>
      <c r="FN87" s="130"/>
      <c r="FO87" s="130"/>
      <c r="FP87" s="130"/>
      <c r="FQ87" s="130"/>
      <c r="FR87" s="130"/>
      <c r="FS87" s="130"/>
      <c r="FT87" s="130"/>
      <c r="FU87" s="130"/>
      <c r="FV87" s="130"/>
      <c r="FW87" s="130"/>
      <c r="FX87" s="130"/>
      <c r="FY87" s="130"/>
      <c r="FZ87" s="130"/>
      <c r="GA87" s="130"/>
      <c r="GB87" s="130"/>
      <c r="GC87" s="130"/>
      <c r="GD87" s="130"/>
      <c r="GE87" s="130"/>
      <c r="GF87" s="130"/>
      <c r="GG87" s="130"/>
      <c r="GH87" s="130"/>
      <c r="GI87" s="130"/>
      <c r="GJ87" s="130"/>
      <c r="GK87" s="130"/>
      <c r="GL87" s="130"/>
      <c r="GM87" s="130"/>
      <c r="GN87" s="130"/>
      <c r="GO87" s="130"/>
      <c r="GP87" s="130"/>
      <c r="GQ87" s="130"/>
      <c r="GR87" s="130"/>
      <c r="GS87" s="130"/>
      <c r="GT87" s="130"/>
      <c r="GU87" s="130"/>
      <c r="GV87" s="130"/>
      <c r="GW87" s="130"/>
      <c r="GX87" s="130"/>
      <c r="GY87" s="130"/>
      <c r="GZ87" s="130"/>
      <c r="HA87" s="130"/>
      <c r="HB87" s="130"/>
      <c r="HC87" s="130"/>
      <c r="HD87" s="130"/>
      <c r="HE87" s="130"/>
      <c r="HF87" s="130"/>
      <c r="HG87" s="130"/>
      <c r="HH87" s="130"/>
      <c r="HI87" s="130"/>
      <c r="HJ87" s="130"/>
      <c r="HK87" s="130"/>
      <c r="HL87" s="130"/>
      <c r="HM87" s="130"/>
      <c r="HN87" s="130"/>
      <c r="HO87" s="130"/>
      <c r="HP87" s="130"/>
      <c r="HQ87" s="130"/>
      <c r="HR87" s="130"/>
      <c r="HS87" s="130"/>
      <c r="HT87" s="130"/>
      <c r="HU87" s="130"/>
      <c r="HV87" s="130"/>
      <c r="HW87" s="130"/>
      <c r="HX87" s="130"/>
      <c r="HY87" s="130"/>
      <c r="HZ87" s="130"/>
      <c r="IA87" s="130"/>
      <c r="IB87" s="130"/>
    </row>
    <row r="88" spans="1:236" ht="14.15" customHeight="1">
      <c r="A88" s="130"/>
      <c r="B88" s="129"/>
      <c r="C88" s="129"/>
      <c r="D88" s="129"/>
      <c r="E88" s="129"/>
      <c r="F88" s="129"/>
      <c r="G88" s="129"/>
      <c r="H88" s="129"/>
      <c r="I88" s="129"/>
      <c r="J88" s="129"/>
      <c r="K88" s="129"/>
      <c r="L88" s="129"/>
      <c r="N88" s="1034"/>
      <c r="O88" s="1034"/>
      <c r="W88" s="548"/>
      <c r="X88" s="1428"/>
      <c r="Y88" s="548"/>
      <c r="Z88" s="548"/>
      <c r="AA88" s="548"/>
      <c r="AB88" s="548"/>
      <c r="AC88" s="548"/>
      <c r="AD88" s="548"/>
      <c r="AE88" s="548"/>
      <c r="AF88" s="548"/>
      <c r="AG88" s="548"/>
      <c r="AH88" s="548"/>
      <c r="AI88" s="548"/>
      <c r="AJ88" s="548"/>
      <c r="AK88" s="548"/>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c r="BT88" s="130"/>
      <c r="BU88" s="130"/>
      <c r="BV88" s="130"/>
      <c r="BW88" s="130"/>
      <c r="BX88" s="130"/>
      <c r="BY88" s="130"/>
      <c r="BZ88" s="130"/>
      <c r="CA88" s="130"/>
      <c r="CB88" s="130"/>
      <c r="CC88" s="130"/>
      <c r="CD88" s="130"/>
      <c r="CE88" s="130"/>
      <c r="CF88" s="130"/>
      <c r="CG88" s="130"/>
      <c r="CH88" s="130"/>
      <c r="CI88" s="130"/>
      <c r="CJ88" s="130"/>
      <c r="CK88" s="130"/>
      <c r="CL88" s="130"/>
      <c r="CM88" s="130"/>
      <c r="CN88" s="130"/>
      <c r="CO88" s="130"/>
      <c r="CP88" s="130"/>
      <c r="CQ88" s="130"/>
      <c r="CR88" s="130"/>
      <c r="CS88" s="130"/>
      <c r="CT88" s="130"/>
      <c r="CU88" s="130"/>
      <c r="CV88" s="130"/>
      <c r="CW88" s="130"/>
      <c r="CX88" s="130"/>
      <c r="CY88" s="130"/>
      <c r="CZ88" s="130"/>
      <c r="DA88" s="130"/>
      <c r="DB88" s="130"/>
      <c r="DC88" s="130"/>
      <c r="DD88" s="130"/>
      <c r="DE88" s="130"/>
      <c r="DF88" s="130"/>
      <c r="DG88" s="130"/>
      <c r="DH88" s="130"/>
      <c r="DI88" s="130"/>
      <c r="DJ88" s="130"/>
      <c r="DK88" s="130"/>
      <c r="DL88" s="130"/>
      <c r="DM88" s="130"/>
      <c r="DN88" s="130"/>
      <c r="DO88" s="130"/>
      <c r="DP88" s="130"/>
      <c r="DQ88" s="130"/>
      <c r="DR88" s="130"/>
      <c r="DS88" s="130"/>
      <c r="DT88" s="130"/>
      <c r="DU88" s="130"/>
      <c r="DV88" s="130"/>
      <c r="DW88" s="130"/>
      <c r="DX88" s="130"/>
      <c r="DY88" s="130"/>
      <c r="DZ88" s="130"/>
      <c r="EA88" s="130"/>
      <c r="EB88" s="130"/>
      <c r="EC88" s="130"/>
      <c r="ED88" s="130"/>
      <c r="EE88" s="130"/>
      <c r="EF88" s="130"/>
      <c r="EG88" s="130"/>
      <c r="EH88" s="130"/>
      <c r="EI88" s="130"/>
      <c r="EJ88" s="130"/>
      <c r="EK88" s="130"/>
      <c r="EL88" s="130"/>
      <c r="EM88" s="130"/>
      <c r="EN88" s="130"/>
      <c r="EO88" s="130"/>
      <c r="EP88" s="130"/>
      <c r="EQ88" s="130"/>
      <c r="ER88" s="130"/>
      <c r="ES88" s="130"/>
      <c r="ET88" s="130"/>
      <c r="EU88" s="130"/>
      <c r="EV88" s="130"/>
      <c r="EW88" s="130"/>
      <c r="EX88" s="130"/>
      <c r="EY88" s="130"/>
      <c r="EZ88" s="130"/>
      <c r="FA88" s="130"/>
      <c r="FB88" s="130"/>
      <c r="FC88" s="130"/>
      <c r="FD88" s="130"/>
      <c r="FE88" s="130"/>
      <c r="FF88" s="130"/>
      <c r="FG88" s="130"/>
      <c r="FH88" s="130"/>
      <c r="FI88" s="130"/>
      <c r="FJ88" s="130"/>
      <c r="FK88" s="130"/>
      <c r="FL88" s="130"/>
      <c r="FM88" s="130"/>
      <c r="FN88" s="130"/>
      <c r="FO88" s="130"/>
      <c r="FP88" s="130"/>
      <c r="FQ88" s="130"/>
      <c r="FR88" s="130"/>
      <c r="FS88" s="130"/>
      <c r="FT88" s="130"/>
      <c r="FU88" s="130"/>
      <c r="FV88" s="130"/>
      <c r="FW88" s="130"/>
      <c r="FX88" s="130"/>
      <c r="FY88" s="130"/>
      <c r="FZ88" s="130"/>
      <c r="GA88" s="130"/>
      <c r="GB88" s="130"/>
      <c r="GC88" s="130"/>
      <c r="GD88" s="130"/>
      <c r="GE88" s="130"/>
      <c r="GF88" s="130"/>
      <c r="GG88" s="130"/>
      <c r="GH88" s="130"/>
      <c r="GI88" s="130"/>
      <c r="GJ88" s="130"/>
      <c r="GK88" s="130"/>
      <c r="GL88" s="130"/>
      <c r="GM88" s="130"/>
      <c r="GN88" s="130"/>
      <c r="GO88" s="130"/>
      <c r="GP88" s="130"/>
      <c r="GQ88" s="130"/>
      <c r="GR88" s="130"/>
      <c r="GS88" s="130"/>
      <c r="GT88" s="130"/>
      <c r="GU88" s="130"/>
      <c r="GV88" s="130"/>
      <c r="GW88" s="130"/>
      <c r="GX88" s="130"/>
      <c r="GY88" s="130"/>
      <c r="GZ88" s="130"/>
      <c r="HA88" s="130"/>
      <c r="HB88" s="130"/>
      <c r="HC88" s="130"/>
      <c r="HD88" s="130"/>
      <c r="HE88" s="130"/>
      <c r="HF88" s="130"/>
      <c r="HG88" s="130"/>
      <c r="HH88" s="130"/>
      <c r="HI88" s="130"/>
      <c r="HJ88" s="130"/>
      <c r="HK88" s="130"/>
      <c r="HL88" s="130"/>
      <c r="HM88" s="130"/>
      <c r="HN88" s="130"/>
      <c r="HO88" s="130"/>
      <c r="HP88" s="130"/>
      <c r="HQ88" s="130"/>
      <c r="HR88" s="130"/>
      <c r="HS88" s="130"/>
      <c r="HT88" s="130"/>
      <c r="HU88" s="130"/>
      <c r="HV88" s="130"/>
      <c r="HW88" s="130"/>
      <c r="HX88" s="130"/>
      <c r="HY88" s="130"/>
      <c r="HZ88" s="130"/>
      <c r="IA88" s="130"/>
      <c r="IB88" s="130"/>
    </row>
    <row r="89" spans="1:236" ht="14.15" customHeight="1">
      <c r="A89" s="130"/>
      <c r="B89" s="129"/>
      <c r="C89" s="129"/>
      <c r="D89" s="129"/>
      <c r="E89" s="129"/>
      <c r="F89" s="129"/>
      <c r="G89" s="129"/>
      <c r="H89" s="129"/>
      <c r="I89" s="129"/>
      <c r="J89" s="129"/>
      <c r="K89" s="129"/>
      <c r="L89" s="129"/>
      <c r="N89" s="1034"/>
      <c r="O89" s="1034"/>
      <c r="W89" s="548"/>
      <c r="X89" s="1428"/>
      <c r="Y89" s="548"/>
      <c r="Z89" s="548"/>
      <c r="AA89" s="548"/>
      <c r="AB89" s="548"/>
      <c r="AC89" s="548"/>
      <c r="AD89" s="548"/>
      <c r="AE89" s="548"/>
      <c r="AF89" s="548"/>
      <c r="AG89" s="548"/>
      <c r="AH89" s="548"/>
      <c r="AI89" s="548"/>
      <c r="AJ89" s="548"/>
      <c r="AK89" s="548"/>
      <c r="AL89" s="130"/>
      <c r="AM89" s="130"/>
      <c r="AN89" s="130"/>
      <c r="AO89" s="130"/>
      <c r="AP89" s="130"/>
      <c r="AQ89" s="130"/>
      <c r="AR89" s="130"/>
      <c r="AS89" s="130"/>
      <c r="AT89" s="130"/>
      <c r="AU89" s="130"/>
      <c r="AV89" s="130"/>
      <c r="AW89" s="130"/>
      <c r="AX89" s="130"/>
      <c r="AY89" s="130"/>
      <c r="AZ89" s="130"/>
      <c r="BA89" s="130"/>
      <c r="BB89" s="130"/>
      <c r="BC89" s="130"/>
      <c r="BD89" s="130"/>
      <c r="BE89" s="130"/>
      <c r="BF89" s="130"/>
      <c r="BG89" s="130"/>
      <c r="BH89" s="130"/>
      <c r="BI89" s="130"/>
      <c r="BJ89" s="130"/>
      <c r="BK89" s="130"/>
      <c r="BL89" s="130"/>
      <c r="BM89" s="130"/>
      <c r="BN89" s="130"/>
      <c r="BO89" s="130"/>
      <c r="BP89" s="130"/>
      <c r="BQ89" s="130"/>
      <c r="BR89" s="130"/>
      <c r="BS89" s="130"/>
      <c r="BT89" s="130"/>
      <c r="BU89" s="130"/>
      <c r="BV89" s="130"/>
      <c r="BW89" s="130"/>
      <c r="BX89" s="130"/>
      <c r="BY89" s="130"/>
      <c r="BZ89" s="130"/>
      <c r="CA89" s="130"/>
      <c r="CB89" s="130"/>
      <c r="CC89" s="130"/>
      <c r="CD89" s="130"/>
      <c r="CE89" s="130"/>
      <c r="CF89" s="130"/>
      <c r="CG89" s="130"/>
      <c r="CH89" s="130"/>
      <c r="CI89" s="130"/>
      <c r="CJ89" s="130"/>
      <c r="CK89" s="130"/>
      <c r="CL89" s="130"/>
      <c r="CM89" s="130"/>
      <c r="CN89" s="130"/>
      <c r="CO89" s="130"/>
      <c r="CP89" s="130"/>
      <c r="CQ89" s="130"/>
      <c r="CR89" s="130"/>
      <c r="CS89" s="130"/>
      <c r="CT89" s="130"/>
      <c r="CU89" s="130"/>
      <c r="CV89" s="130"/>
      <c r="CW89" s="130"/>
      <c r="CX89" s="130"/>
      <c r="CY89" s="130"/>
      <c r="CZ89" s="130"/>
      <c r="DA89" s="130"/>
      <c r="DB89" s="130"/>
      <c r="DC89" s="130"/>
      <c r="DD89" s="130"/>
      <c r="DE89" s="130"/>
      <c r="DF89" s="130"/>
      <c r="DG89" s="130"/>
      <c r="DH89" s="130"/>
      <c r="DI89" s="130"/>
      <c r="DJ89" s="130"/>
      <c r="DK89" s="130"/>
      <c r="DL89" s="130"/>
      <c r="DM89" s="130"/>
      <c r="DN89" s="130"/>
      <c r="DO89" s="130"/>
      <c r="DP89" s="130"/>
      <c r="DQ89" s="130"/>
      <c r="DR89" s="130"/>
      <c r="DS89" s="130"/>
      <c r="DT89" s="130"/>
      <c r="DU89" s="130"/>
      <c r="DV89" s="130"/>
      <c r="DW89" s="130"/>
      <c r="DX89" s="130"/>
      <c r="DY89" s="130"/>
      <c r="DZ89" s="130"/>
      <c r="EA89" s="130"/>
      <c r="EB89" s="130"/>
      <c r="EC89" s="130"/>
      <c r="ED89" s="130"/>
      <c r="EE89" s="130"/>
      <c r="EF89" s="130"/>
      <c r="EG89" s="130"/>
      <c r="EH89" s="130"/>
      <c r="EI89" s="130"/>
      <c r="EJ89" s="130"/>
      <c r="EK89" s="130"/>
      <c r="EL89" s="130"/>
      <c r="EM89" s="130"/>
      <c r="EN89" s="130"/>
      <c r="EO89" s="130"/>
      <c r="EP89" s="130"/>
      <c r="EQ89" s="130"/>
      <c r="ER89" s="130"/>
      <c r="ES89" s="130"/>
      <c r="ET89" s="130"/>
      <c r="EU89" s="130"/>
      <c r="EV89" s="130"/>
      <c r="EW89" s="130"/>
      <c r="EX89" s="130"/>
      <c r="EY89" s="130"/>
      <c r="EZ89" s="130"/>
      <c r="FA89" s="130"/>
      <c r="FB89" s="130"/>
      <c r="FC89" s="130"/>
      <c r="FD89" s="130"/>
      <c r="FE89" s="130"/>
      <c r="FF89" s="130"/>
      <c r="FG89" s="130"/>
      <c r="FH89" s="130"/>
      <c r="FI89" s="130"/>
      <c r="FJ89" s="130"/>
      <c r="FK89" s="130"/>
      <c r="FL89" s="130"/>
      <c r="FM89" s="130"/>
      <c r="FN89" s="130"/>
      <c r="FO89" s="130"/>
      <c r="FP89" s="130"/>
      <c r="FQ89" s="130"/>
      <c r="FR89" s="130"/>
      <c r="FS89" s="130"/>
      <c r="FT89" s="130"/>
      <c r="FU89" s="130"/>
      <c r="FV89" s="130"/>
      <c r="FW89" s="130"/>
      <c r="FX89" s="130"/>
      <c r="FY89" s="130"/>
      <c r="FZ89" s="130"/>
      <c r="GA89" s="130"/>
      <c r="GB89" s="130"/>
      <c r="GC89" s="130"/>
      <c r="GD89" s="130"/>
      <c r="GE89" s="130"/>
      <c r="GF89" s="130"/>
      <c r="GG89" s="130"/>
      <c r="GH89" s="130"/>
      <c r="GI89" s="130"/>
      <c r="GJ89" s="130"/>
      <c r="GK89" s="130"/>
      <c r="GL89" s="130"/>
      <c r="GM89" s="130"/>
      <c r="GN89" s="130"/>
      <c r="GO89" s="130"/>
      <c r="GP89" s="130"/>
      <c r="GQ89" s="130"/>
      <c r="GR89" s="130"/>
      <c r="GS89" s="130"/>
      <c r="GT89" s="130"/>
      <c r="GU89" s="130"/>
      <c r="GV89" s="130"/>
      <c r="GW89" s="130"/>
      <c r="GX89" s="130"/>
      <c r="GY89" s="130"/>
      <c r="GZ89" s="130"/>
      <c r="HA89" s="130"/>
      <c r="HB89" s="130"/>
      <c r="HC89" s="130"/>
      <c r="HD89" s="130"/>
      <c r="HE89" s="130"/>
      <c r="HF89" s="130"/>
      <c r="HG89" s="130"/>
      <c r="HH89" s="130"/>
      <c r="HI89" s="130"/>
      <c r="HJ89" s="130"/>
      <c r="HK89" s="130"/>
      <c r="HL89" s="130"/>
      <c r="HM89" s="130"/>
      <c r="HN89" s="130"/>
      <c r="HO89" s="130"/>
      <c r="HP89" s="130"/>
      <c r="HQ89" s="130"/>
      <c r="HR89" s="130"/>
      <c r="HS89" s="130"/>
      <c r="HT89" s="130"/>
      <c r="HU89" s="130"/>
      <c r="HV89" s="130"/>
      <c r="HW89" s="130"/>
      <c r="HX89" s="130"/>
      <c r="HY89" s="130"/>
      <c r="HZ89" s="130"/>
      <c r="IA89" s="130"/>
      <c r="IB89" s="130"/>
    </row>
    <row r="90" spans="1:236" ht="14.15" customHeight="1">
      <c r="A90" s="130"/>
      <c r="B90" s="129"/>
      <c r="C90" s="129"/>
      <c r="D90" s="129"/>
      <c r="E90" s="129"/>
      <c r="F90" s="129"/>
      <c r="G90" s="129"/>
      <c r="H90" s="129"/>
      <c r="I90" s="129"/>
      <c r="J90" s="129"/>
      <c r="K90" s="129"/>
      <c r="L90" s="129"/>
      <c r="N90" s="1034"/>
      <c r="O90" s="1034"/>
      <c r="W90" s="548"/>
      <c r="X90" s="1428"/>
      <c r="Y90" s="548"/>
      <c r="Z90" s="548"/>
      <c r="AA90" s="548"/>
      <c r="AB90" s="548"/>
      <c r="AC90" s="548"/>
      <c r="AD90" s="548"/>
      <c r="AE90" s="548"/>
      <c r="AF90" s="548"/>
      <c r="AG90" s="548"/>
      <c r="AH90" s="548"/>
      <c r="AI90" s="548"/>
      <c r="AJ90" s="548"/>
      <c r="AK90" s="548"/>
      <c r="AL90" s="130"/>
      <c r="AM90" s="130"/>
      <c r="AN90" s="130"/>
      <c r="AO90" s="130"/>
      <c r="AP90" s="130"/>
      <c r="AQ90" s="130"/>
      <c r="AR90" s="130"/>
      <c r="AS90" s="130"/>
      <c r="AT90" s="130"/>
      <c r="AU90" s="130"/>
      <c r="AV90" s="130"/>
      <c r="AW90" s="130"/>
      <c r="AX90" s="130"/>
      <c r="AY90" s="130"/>
      <c r="AZ90" s="130"/>
      <c r="BA90" s="130"/>
      <c r="BB90" s="130"/>
      <c r="BC90" s="130"/>
      <c r="BD90" s="130"/>
      <c r="BE90" s="130"/>
      <c r="BF90" s="130"/>
      <c r="BG90" s="130"/>
      <c r="BH90" s="130"/>
      <c r="BI90" s="130"/>
      <c r="BJ90" s="130"/>
      <c r="BK90" s="130"/>
      <c r="BL90" s="130"/>
      <c r="BM90" s="130"/>
      <c r="BN90" s="130"/>
      <c r="BO90" s="130"/>
      <c r="BP90" s="130"/>
      <c r="BQ90" s="130"/>
      <c r="BR90" s="130"/>
      <c r="BS90" s="130"/>
      <c r="BT90" s="130"/>
      <c r="BU90" s="130"/>
      <c r="BV90" s="130"/>
      <c r="BW90" s="130"/>
      <c r="BX90" s="130"/>
      <c r="BY90" s="130"/>
      <c r="BZ90" s="130"/>
      <c r="CA90" s="130"/>
      <c r="CB90" s="130"/>
      <c r="CC90" s="130"/>
      <c r="CD90" s="130"/>
      <c r="CE90" s="130"/>
      <c r="CF90" s="130"/>
      <c r="CG90" s="130"/>
      <c r="CH90" s="130"/>
      <c r="CI90" s="130"/>
      <c r="CJ90" s="130"/>
      <c r="CK90" s="130"/>
      <c r="CL90" s="130"/>
      <c r="CM90" s="130"/>
      <c r="CN90" s="130"/>
      <c r="CO90" s="130"/>
      <c r="CP90" s="130"/>
      <c r="CQ90" s="130"/>
      <c r="CR90" s="130"/>
      <c r="CS90" s="130"/>
      <c r="CT90" s="130"/>
      <c r="CU90" s="130"/>
      <c r="CV90" s="130"/>
      <c r="CW90" s="130"/>
      <c r="CX90" s="130"/>
      <c r="CY90" s="130"/>
      <c r="CZ90" s="130"/>
      <c r="DA90" s="130"/>
      <c r="DB90" s="130"/>
      <c r="DC90" s="130"/>
      <c r="DD90" s="130"/>
      <c r="DE90" s="130"/>
      <c r="DF90" s="130"/>
      <c r="DG90" s="130"/>
      <c r="DH90" s="130"/>
      <c r="DI90" s="130"/>
      <c r="DJ90" s="130"/>
      <c r="DK90" s="130"/>
      <c r="DL90" s="130"/>
      <c r="DM90" s="130"/>
      <c r="DN90" s="130"/>
      <c r="DO90" s="130"/>
      <c r="DP90" s="130"/>
      <c r="DQ90" s="130"/>
      <c r="DR90" s="130"/>
      <c r="DS90" s="130"/>
      <c r="DT90" s="130"/>
      <c r="DU90" s="130"/>
      <c r="DV90" s="130"/>
      <c r="DW90" s="130"/>
      <c r="DX90" s="130"/>
      <c r="DY90" s="130"/>
      <c r="DZ90" s="130"/>
      <c r="EA90" s="130"/>
      <c r="EB90" s="130"/>
      <c r="EC90" s="130"/>
      <c r="ED90" s="130"/>
      <c r="EE90" s="130"/>
      <c r="EF90" s="130"/>
      <c r="EG90" s="130"/>
      <c r="EH90" s="130"/>
      <c r="EI90" s="130"/>
      <c r="EJ90" s="130"/>
      <c r="EK90" s="130"/>
      <c r="EL90" s="130"/>
      <c r="EM90" s="130"/>
      <c r="EN90" s="130"/>
      <c r="EO90" s="130"/>
      <c r="EP90" s="130"/>
      <c r="EQ90" s="130"/>
      <c r="ER90" s="130"/>
      <c r="ES90" s="130"/>
      <c r="ET90" s="130"/>
      <c r="EU90" s="130"/>
      <c r="EV90" s="130"/>
      <c r="EW90" s="130"/>
      <c r="EX90" s="130"/>
      <c r="EY90" s="130"/>
      <c r="EZ90" s="130"/>
      <c r="FA90" s="130"/>
      <c r="FB90" s="130"/>
      <c r="FC90" s="130"/>
      <c r="FD90" s="130"/>
      <c r="FE90" s="130"/>
      <c r="FF90" s="130"/>
      <c r="FG90" s="130"/>
      <c r="FH90" s="130"/>
      <c r="FI90" s="130"/>
      <c r="FJ90" s="130"/>
      <c r="FK90" s="130"/>
      <c r="FL90" s="130"/>
      <c r="FM90" s="130"/>
      <c r="FN90" s="130"/>
      <c r="FO90" s="130"/>
      <c r="FP90" s="130"/>
      <c r="FQ90" s="130"/>
      <c r="FR90" s="130"/>
      <c r="FS90" s="130"/>
      <c r="FT90" s="130"/>
      <c r="FU90" s="130"/>
      <c r="FV90" s="130"/>
      <c r="FW90" s="130"/>
      <c r="FX90" s="130"/>
      <c r="FY90" s="130"/>
      <c r="FZ90" s="130"/>
      <c r="GA90" s="130"/>
      <c r="GB90" s="130"/>
      <c r="GC90" s="130"/>
      <c r="GD90" s="130"/>
      <c r="GE90" s="130"/>
      <c r="GF90" s="130"/>
      <c r="GG90" s="130"/>
      <c r="GH90" s="130"/>
      <c r="GI90" s="130"/>
      <c r="GJ90" s="130"/>
      <c r="GK90" s="130"/>
      <c r="GL90" s="130"/>
      <c r="GM90" s="130"/>
      <c r="GN90" s="130"/>
      <c r="GO90" s="130"/>
      <c r="GP90" s="130"/>
      <c r="GQ90" s="130"/>
      <c r="GR90" s="130"/>
      <c r="GS90" s="130"/>
      <c r="GT90" s="130"/>
      <c r="GU90" s="130"/>
      <c r="GV90" s="130"/>
      <c r="GW90" s="130"/>
      <c r="GX90" s="130"/>
      <c r="GY90" s="130"/>
      <c r="GZ90" s="130"/>
      <c r="HA90" s="130"/>
      <c r="HB90" s="130"/>
      <c r="HC90" s="130"/>
      <c r="HD90" s="130"/>
      <c r="HE90" s="130"/>
      <c r="HF90" s="130"/>
      <c r="HG90" s="130"/>
      <c r="HH90" s="130"/>
      <c r="HI90" s="130"/>
      <c r="HJ90" s="130"/>
      <c r="HK90" s="130"/>
      <c r="HL90" s="130"/>
      <c r="HM90" s="130"/>
      <c r="HN90" s="130"/>
      <c r="HO90" s="130"/>
      <c r="HP90" s="130"/>
      <c r="HQ90" s="130"/>
      <c r="HR90" s="130"/>
      <c r="HS90" s="130"/>
      <c r="HT90" s="130"/>
      <c r="HU90" s="130"/>
      <c r="HV90" s="130"/>
      <c r="HW90" s="130"/>
      <c r="HX90" s="130"/>
      <c r="HY90" s="130"/>
      <c r="HZ90" s="130"/>
      <c r="IA90" s="130"/>
      <c r="IB90" s="130"/>
    </row>
    <row r="91" spans="1:236" ht="14.15" customHeight="1">
      <c r="A91" s="130"/>
      <c r="B91" s="129"/>
      <c r="C91" s="129"/>
      <c r="D91" s="129"/>
      <c r="E91" s="129"/>
      <c r="F91" s="129"/>
      <c r="G91" s="129"/>
      <c r="H91" s="129"/>
      <c r="I91" s="129"/>
      <c r="J91" s="129"/>
      <c r="K91" s="129"/>
      <c r="L91" s="129"/>
      <c r="N91" s="1034"/>
      <c r="O91" s="1034"/>
      <c r="W91" s="548"/>
      <c r="X91" s="1428"/>
      <c r="Y91" s="548"/>
      <c r="Z91" s="548"/>
      <c r="AA91" s="548"/>
      <c r="AB91" s="548"/>
      <c r="AC91" s="548"/>
      <c r="AD91" s="548"/>
      <c r="AE91" s="548"/>
      <c r="AF91" s="548"/>
      <c r="AG91" s="548"/>
      <c r="AH91" s="548"/>
      <c r="AI91" s="548"/>
      <c r="AJ91" s="548"/>
      <c r="AK91" s="548"/>
      <c r="AL91" s="130"/>
      <c r="AM91" s="130"/>
      <c r="AN91" s="130"/>
      <c r="AO91" s="130"/>
      <c r="AP91" s="130"/>
      <c r="AQ91" s="130"/>
      <c r="AR91" s="130"/>
      <c r="AS91" s="130"/>
      <c r="AT91" s="130"/>
      <c r="AU91" s="130"/>
      <c r="AV91" s="130"/>
      <c r="AW91" s="130"/>
      <c r="AX91" s="130"/>
      <c r="AY91" s="130"/>
      <c r="AZ91" s="130"/>
      <c r="BA91" s="130"/>
      <c r="BB91" s="130"/>
      <c r="BC91" s="130"/>
      <c r="BD91" s="130"/>
      <c r="BE91" s="130"/>
      <c r="BF91" s="130"/>
      <c r="BG91" s="130"/>
      <c r="BH91" s="130"/>
      <c r="BI91" s="130"/>
      <c r="BJ91" s="130"/>
      <c r="BK91" s="130"/>
      <c r="BL91" s="130"/>
      <c r="BM91" s="130"/>
      <c r="BN91" s="130"/>
      <c r="BO91" s="130"/>
      <c r="BP91" s="130"/>
      <c r="BQ91" s="130"/>
      <c r="BR91" s="130"/>
      <c r="BS91" s="130"/>
      <c r="BT91" s="130"/>
      <c r="BU91" s="130"/>
      <c r="BV91" s="130"/>
      <c r="BW91" s="130"/>
      <c r="BX91" s="130"/>
      <c r="BY91" s="130"/>
      <c r="BZ91" s="130"/>
      <c r="CA91" s="130"/>
      <c r="CB91" s="130"/>
      <c r="CC91" s="130"/>
      <c r="CD91" s="130"/>
      <c r="CE91" s="130"/>
      <c r="CF91" s="130"/>
      <c r="CG91" s="130"/>
      <c r="CH91" s="130"/>
      <c r="CI91" s="130"/>
      <c r="CJ91" s="130"/>
      <c r="CK91" s="130"/>
      <c r="CL91" s="130"/>
      <c r="CM91" s="130"/>
      <c r="CN91" s="130"/>
      <c r="CO91" s="130"/>
      <c r="CP91" s="130"/>
      <c r="CQ91" s="130"/>
      <c r="CR91" s="130"/>
      <c r="CS91" s="130"/>
      <c r="CT91" s="130"/>
      <c r="CU91" s="130"/>
      <c r="CV91" s="130"/>
      <c r="CW91" s="130"/>
      <c r="CX91" s="130"/>
      <c r="CY91" s="130"/>
      <c r="CZ91" s="130"/>
      <c r="DA91" s="130"/>
      <c r="DB91" s="130"/>
      <c r="DC91" s="130"/>
      <c r="DD91" s="130"/>
      <c r="DE91" s="130"/>
      <c r="DF91" s="130"/>
      <c r="DG91" s="130"/>
      <c r="DH91" s="130"/>
      <c r="DI91" s="130"/>
      <c r="DJ91" s="130"/>
      <c r="DK91" s="130"/>
      <c r="DL91" s="130"/>
      <c r="DM91" s="130"/>
      <c r="DN91" s="130"/>
      <c r="DO91" s="130"/>
      <c r="DP91" s="130"/>
      <c r="DQ91" s="130"/>
      <c r="DR91" s="130"/>
      <c r="DS91" s="130"/>
      <c r="DT91" s="130"/>
      <c r="DU91" s="130"/>
      <c r="DV91" s="130"/>
      <c r="DW91" s="130"/>
      <c r="DX91" s="130"/>
      <c r="DY91" s="130"/>
      <c r="DZ91" s="130"/>
      <c r="EA91" s="130"/>
      <c r="EB91" s="130"/>
      <c r="EC91" s="130"/>
      <c r="ED91" s="130"/>
      <c r="EE91" s="130"/>
      <c r="EF91" s="130"/>
      <c r="EG91" s="130"/>
      <c r="EH91" s="130"/>
      <c r="EI91" s="130"/>
      <c r="EJ91" s="130"/>
      <c r="EK91" s="130"/>
      <c r="EL91" s="130"/>
      <c r="EM91" s="130"/>
      <c r="EN91" s="130"/>
      <c r="EO91" s="130"/>
      <c r="EP91" s="130"/>
      <c r="EQ91" s="130"/>
      <c r="ER91" s="130"/>
      <c r="ES91" s="130"/>
      <c r="ET91" s="130"/>
      <c r="EU91" s="130"/>
      <c r="EV91" s="130"/>
      <c r="EW91" s="130"/>
      <c r="EX91" s="130"/>
      <c r="EY91" s="130"/>
      <c r="EZ91" s="130"/>
      <c r="FA91" s="130"/>
      <c r="FB91" s="130"/>
      <c r="FC91" s="130"/>
      <c r="FD91" s="130"/>
      <c r="FE91" s="130"/>
      <c r="FF91" s="130"/>
      <c r="FG91" s="130"/>
      <c r="FH91" s="130"/>
      <c r="FI91" s="130"/>
      <c r="FJ91" s="130"/>
      <c r="FK91" s="130"/>
      <c r="FL91" s="130"/>
      <c r="FM91" s="130"/>
      <c r="FN91" s="130"/>
      <c r="FO91" s="130"/>
      <c r="FP91" s="130"/>
      <c r="FQ91" s="130"/>
      <c r="FR91" s="130"/>
      <c r="FS91" s="130"/>
      <c r="FT91" s="130"/>
      <c r="FU91" s="130"/>
      <c r="FV91" s="130"/>
      <c r="FW91" s="130"/>
      <c r="FX91" s="130"/>
      <c r="FY91" s="130"/>
      <c r="FZ91" s="130"/>
      <c r="GA91" s="130"/>
      <c r="GB91" s="130"/>
      <c r="GC91" s="130"/>
      <c r="GD91" s="130"/>
      <c r="GE91" s="130"/>
      <c r="GF91" s="130"/>
      <c r="GG91" s="130"/>
      <c r="GH91" s="130"/>
      <c r="GI91" s="130"/>
      <c r="GJ91" s="130"/>
      <c r="GK91" s="130"/>
      <c r="GL91" s="130"/>
      <c r="GM91" s="130"/>
      <c r="GN91" s="130"/>
      <c r="GO91" s="130"/>
      <c r="GP91" s="130"/>
      <c r="GQ91" s="130"/>
      <c r="GR91" s="130"/>
      <c r="GS91" s="130"/>
      <c r="GT91" s="130"/>
      <c r="GU91" s="130"/>
      <c r="GV91" s="130"/>
      <c r="GW91" s="130"/>
      <c r="GX91" s="130"/>
      <c r="GY91" s="130"/>
      <c r="GZ91" s="130"/>
      <c r="HA91" s="130"/>
      <c r="HB91" s="130"/>
      <c r="HC91" s="130"/>
      <c r="HD91" s="130"/>
      <c r="HE91" s="130"/>
      <c r="HF91" s="130"/>
      <c r="HG91" s="130"/>
      <c r="HH91" s="130"/>
      <c r="HI91" s="130"/>
      <c r="HJ91" s="130"/>
      <c r="HK91" s="130"/>
      <c r="HL91" s="130"/>
      <c r="HM91" s="130"/>
      <c r="HN91" s="130"/>
      <c r="HO91" s="130"/>
      <c r="HP91" s="130"/>
      <c r="HQ91" s="130"/>
      <c r="HR91" s="130"/>
      <c r="HS91" s="130"/>
      <c r="HT91" s="130"/>
      <c r="HU91" s="130"/>
      <c r="HV91" s="130"/>
      <c r="HW91" s="130"/>
      <c r="HX91" s="130"/>
      <c r="HY91" s="130"/>
      <c r="HZ91" s="130"/>
      <c r="IA91" s="130"/>
      <c r="IB91" s="130"/>
    </row>
    <row r="92" spans="1:236" ht="14.15" customHeight="1">
      <c r="A92" s="130"/>
      <c r="B92" s="129"/>
      <c r="C92" s="129"/>
      <c r="D92" s="129"/>
      <c r="E92" s="129"/>
      <c r="F92" s="129"/>
      <c r="G92" s="129"/>
      <c r="H92" s="129"/>
      <c r="I92" s="129"/>
      <c r="J92" s="129"/>
      <c r="K92" s="129"/>
      <c r="L92" s="129"/>
      <c r="N92" s="1034"/>
      <c r="O92" s="1034"/>
      <c r="W92" s="548"/>
      <c r="X92" s="1428"/>
      <c r="Y92" s="548"/>
      <c r="Z92" s="548"/>
      <c r="AA92" s="548"/>
      <c r="AB92" s="548"/>
      <c r="AC92" s="548"/>
      <c r="AD92" s="548"/>
      <c r="AE92" s="548"/>
      <c r="AF92" s="548"/>
      <c r="AG92" s="548"/>
      <c r="AH92" s="548"/>
      <c r="AI92" s="548"/>
      <c r="AJ92" s="548"/>
      <c r="AK92" s="548"/>
      <c r="AL92" s="130"/>
      <c r="AM92" s="130"/>
      <c r="AN92" s="130"/>
      <c r="AO92" s="130"/>
      <c r="AP92" s="130"/>
      <c r="AQ92" s="130"/>
      <c r="AR92" s="130"/>
      <c r="AS92" s="130"/>
      <c r="AT92" s="130"/>
      <c r="AU92" s="130"/>
      <c r="AV92" s="130"/>
      <c r="AW92" s="130"/>
      <c r="AX92" s="130"/>
      <c r="AY92" s="130"/>
      <c r="AZ92" s="130"/>
      <c r="BA92" s="130"/>
      <c r="BB92" s="130"/>
      <c r="BC92" s="130"/>
      <c r="BD92" s="130"/>
      <c r="BE92" s="130"/>
      <c r="BF92" s="130"/>
      <c r="BG92" s="130"/>
      <c r="BH92" s="130"/>
      <c r="BI92" s="130"/>
      <c r="BJ92" s="130"/>
      <c r="BK92" s="130"/>
      <c r="BL92" s="130"/>
      <c r="BM92" s="130"/>
      <c r="BN92" s="130"/>
      <c r="BO92" s="130"/>
      <c r="BP92" s="130"/>
      <c r="BQ92" s="130"/>
      <c r="BR92" s="130"/>
      <c r="BS92" s="130"/>
      <c r="BT92" s="130"/>
      <c r="BU92" s="130"/>
      <c r="BV92" s="130"/>
      <c r="BW92" s="130"/>
      <c r="BX92" s="130"/>
      <c r="BY92" s="130"/>
      <c r="BZ92" s="130"/>
      <c r="CA92" s="130"/>
      <c r="CB92" s="130"/>
      <c r="CC92" s="130"/>
      <c r="CD92" s="130"/>
      <c r="CE92" s="130"/>
      <c r="CF92" s="130"/>
      <c r="CG92" s="130"/>
      <c r="CH92" s="130"/>
      <c r="CI92" s="130"/>
      <c r="CJ92" s="130"/>
      <c r="CK92" s="130"/>
      <c r="CL92" s="130"/>
      <c r="CM92" s="130"/>
      <c r="CN92" s="130"/>
      <c r="CO92" s="130"/>
      <c r="CP92" s="130"/>
      <c r="CQ92" s="130"/>
      <c r="CR92" s="130"/>
      <c r="CS92" s="130"/>
      <c r="CT92" s="130"/>
      <c r="CU92" s="130"/>
      <c r="CV92" s="130"/>
      <c r="CW92" s="130"/>
      <c r="CX92" s="130"/>
      <c r="CY92" s="130"/>
      <c r="CZ92" s="130"/>
      <c r="DA92" s="130"/>
      <c r="DB92" s="130"/>
      <c r="DC92" s="130"/>
      <c r="DD92" s="130"/>
      <c r="DE92" s="130"/>
      <c r="DF92" s="130"/>
      <c r="DG92" s="130"/>
      <c r="DH92" s="130"/>
      <c r="DI92" s="130"/>
      <c r="DJ92" s="130"/>
      <c r="DK92" s="130"/>
      <c r="DL92" s="130"/>
      <c r="DM92" s="130"/>
      <c r="DN92" s="130"/>
      <c r="DO92" s="130"/>
      <c r="DP92" s="130"/>
      <c r="DQ92" s="130"/>
      <c r="DR92" s="130"/>
      <c r="DS92" s="130"/>
      <c r="DT92" s="130"/>
      <c r="DU92" s="130"/>
      <c r="DV92" s="130"/>
      <c r="DW92" s="130"/>
      <c r="DX92" s="130"/>
      <c r="DY92" s="130"/>
      <c r="DZ92" s="130"/>
      <c r="EA92" s="130"/>
      <c r="EB92" s="130"/>
      <c r="EC92" s="130"/>
      <c r="ED92" s="130"/>
      <c r="EE92" s="130"/>
      <c r="EF92" s="130"/>
      <c r="EG92" s="130"/>
      <c r="EH92" s="130"/>
      <c r="EI92" s="130"/>
      <c r="EJ92" s="130"/>
      <c r="EK92" s="130"/>
      <c r="EL92" s="130"/>
      <c r="EM92" s="130"/>
      <c r="EN92" s="130"/>
      <c r="EO92" s="130"/>
      <c r="EP92" s="130"/>
      <c r="EQ92" s="130"/>
      <c r="ER92" s="130"/>
      <c r="ES92" s="130"/>
      <c r="ET92" s="130"/>
      <c r="EU92" s="130"/>
      <c r="EV92" s="130"/>
      <c r="EW92" s="130"/>
      <c r="EX92" s="130"/>
      <c r="EY92" s="130"/>
      <c r="EZ92" s="130"/>
      <c r="FA92" s="130"/>
      <c r="FB92" s="130"/>
      <c r="FC92" s="130"/>
      <c r="FD92" s="130"/>
      <c r="FE92" s="130"/>
      <c r="FF92" s="130"/>
      <c r="FG92" s="130"/>
      <c r="FH92" s="130"/>
      <c r="FI92" s="130"/>
      <c r="FJ92" s="130"/>
      <c r="FK92" s="130"/>
      <c r="FL92" s="130"/>
      <c r="FM92" s="130"/>
      <c r="FN92" s="130"/>
      <c r="FO92" s="130"/>
      <c r="FP92" s="130"/>
      <c r="FQ92" s="130"/>
      <c r="FR92" s="130"/>
      <c r="FS92" s="130"/>
      <c r="FT92" s="130"/>
      <c r="FU92" s="130"/>
      <c r="FV92" s="130"/>
      <c r="FW92" s="130"/>
      <c r="FX92" s="130"/>
      <c r="FY92" s="130"/>
      <c r="FZ92" s="130"/>
      <c r="GA92" s="130"/>
      <c r="GB92" s="130"/>
      <c r="GC92" s="130"/>
      <c r="GD92" s="130"/>
      <c r="GE92" s="130"/>
      <c r="GF92" s="130"/>
      <c r="GG92" s="130"/>
      <c r="GH92" s="130"/>
      <c r="GI92" s="130"/>
      <c r="GJ92" s="130"/>
      <c r="GK92" s="130"/>
      <c r="GL92" s="130"/>
      <c r="GM92" s="130"/>
      <c r="GN92" s="130"/>
      <c r="GO92" s="130"/>
      <c r="GP92" s="130"/>
      <c r="GQ92" s="130"/>
      <c r="GR92" s="130"/>
      <c r="GS92" s="130"/>
      <c r="GT92" s="130"/>
      <c r="GU92" s="130"/>
      <c r="GV92" s="130"/>
      <c r="GW92" s="130"/>
      <c r="GX92" s="130"/>
      <c r="GY92" s="130"/>
      <c r="GZ92" s="130"/>
      <c r="HA92" s="130"/>
      <c r="HB92" s="130"/>
      <c r="HC92" s="130"/>
      <c r="HD92" s="130"/>
      <c r="HE92" s="130"/>
      <c r="HF92" s="130"/>
      <c r="HG92" s="130"/>
      <c r="HH92" s="130"/>
      <c r="HI92" s="130"/>
      <c r="HJ92" s="130"/>
      <c r="HK92" s="130"/>
      <c r="HL92" s="130"/>
      <c r="HM92" s="130"/>
      <c r="HN92" s="130"/>
      <c r="HO92" s="130"/>
      <c r="HP92" s="130"/>
      <c r="HQ92" s="130"/>
      <c r="HR92" s="130"/>
      <c r="HS92" s="130"/>
      <c r="HT92" s="130"/>
      <c r="HU92" s="130"/>
      <c r="HV92" s="130"/>
      <c r="HW92" s="130"/>
      <c r="HX92" s="130"/>
      <c r="HY92" s="130"/>
      <c r="HZ92" s="130"/>
      <c r="IA92" s="130"/>
      <c r="IB92" s="130"/>
    </row>
    <row r="93" spans="1:236" ht="14.15" customHeight="1">
      <c r="A93" s="130"/>
      <c r="B93" s="129"/>
      <c r="C93" s="129"/>
      <c r="D93" s="129"/>
      <c r="E93" s="129"/>
      <c r="F93" s="129"/>
      <c r="G93" s="129"/>
      <c r="H93" s="129"/>
      <c r="I93" s="129"/>
      <c r="J93" s="129"/>
      <c r="K93" s="129"/>
      <c r="L93" s="129"/>
      <c r="N93" s="1034"/>
      <c r="O93" s="1034"/>
      <c r="W93" s="548"/>
      <c r="X93" s="1428"/>
      <c r="Y93" s="548"/>
      <c r="Z93" s="548"/>
      <c r="AA93" s="548"/>
      <c r="AB93" s="548"/>
      <c r="AC93" s="548"/>
      <c r="AD93" s="548"/>
      <c r="AE93" s="548"/>
      <c r="AF93" s="548"/>
      <c r="AG93" s="548"/>
      <c r="AH93" s="548"/>
      <c r="AI93" s="548"/>
      <c r="AJ93" s="548"/>
      <c r="AK93" s="548"/>
      <c r="AL93" s="130"/>
      <c r="AM93" s="130"/>
      <c r="AN93" s="130"/>
      <c r="AO93" s="130"/>
      <c r="AP93" s="130"/>
      <c r="AQ93" s="130"/>
      <c r="AR93" s="130"/>
      <c r="AS93" s="130"/>
      <c r="AT93" s="130"/>
      <c r="AU93" s="130"/>
      <c r="AV93" s="130"/>
      <c r="AW93" s="130"/>
      <c r="AX93" s="130"/>
      <c r="AY93" s="130"/>
      <c r="AZ93" s="130"/>
      <c r="BA93" s="130"/>
      <c r="BB93" s="130"/>
      <c r="BC93" s="130"/>
      <c r="BD93" s="130"/>
      <c r="BE93" s="130"/>
      <c r="BF93" s="130"/>
      <c r="BG93" s="130"/>
      <c r="BH93" s="130"/>
      <c r="BI93" s="130"/>
      <c r="BJ93" s="130"/>
      <c r="BK93" s="130"/>
      <c r="BL93" s="130"/>
      <c r="BM93" s="130"/>
      <c r="BN93" s="130"/>
      <c r="BO93" s="130"/>
      <c r="BP93" s="130"/>
      <c r="BQ93" s="130"/>
      <c r="BR93" s="130"/>
      <c r="BS93" s="130"/>
      <c r="BT93" s="130"/>
      <c r="BU93" s="130"/>
      <c r="BV93" s="130"/>
      <c r="BW93" s="130"/>
      <c r="BX93" s="130"/>
      <c r="BY93" s="130"/>
      <c r="BZ93" s="130"/>
      <c r="CA93" s="130"/>
      <c r="CB93" s="130"/>
      <c r="CC93" s="130"/>
      <c r="CD93" s="130"/>
      <c r="CE93" s="130"/>
      <c r="CF93" s="130"/>
      <c r="CG93" s="130"/>
      <c r="CH93" s="130"/>
      <c r="CI93" s="130"/>
      <c r="CJ93" s="130"/>
      <c r="CK93" s="130"/>
      <c r="CL93" s="130"/>
      <c r="CM93" s="130"/>
      <c r="CN93" s="130"/>
      <c r="CO93" s="130"/>
      <c r="CP93" s="130"/>
      <c r="CQ93" s="130"/>
      <c r="CR93" s="130"/>
      <c r="CS93" s="130"/>
      <c r="CT93" s="130"/>
      <c r="CU93" s="130"/>
      <c r="CV93" s="130"/>
      <c r="CW93" s="130"/>
      <c r="CX93" s="130"/>
      <c r="CY93" s="130"/>
      <c r="CZ93" s="130"/>
      <c r="DA93" s="130"/>
      <c r="DB93" s="130"/>
      <c r="DC93" s="130"/>
      <c r="DD93" s="130"/>
      <c r="DE93" s="130"/>
      <c r="DF93" s="130"/>
      <c r="DG93" s="130"/>
      <c r="DH93" s="130"/>
      <c r="DI93" s="130"/>
      <c r="DJ93" s="130"/>
      <c r="DK93" s="130"/>
      <c r="DL93" s="130"/>
      <c r="DM93" s="130"/>
      <c r="DN93" s="130"/>
      <c r="DO93" s="130"/>
      <c r="DP93" s="130"/>
      <c r="DQ93" s="130"/>
      <c r="DR93" s="130"/>
      <c r="DS93" s="130"/>
      <c r="DT93" s="130"/>
      <c r="DU93" s="130"/>
      <c r="DV93" s="130"/>
      <c r="DW93" s="130"/>
      <c r="DX93" s="130"/>
      <c r="DY93" s="130"/>
      <c r="DZ93" s="130"/>
      <c r="EA93" s="130"/>
      <c r="EB93" s="130"/>
      <c r="EC93" s="130"/>
      <c r="ED93" s="130"/>
      <c r="EE93" s="130"/>
      <c r="EF93" s="130"/>
      <c r="EG93" s="130"/>
      <c r="EH93" s="130"/>
      <c r="EI93" s="130"/>
      <c r="EJ93" s="130"/>
      <c r="EK93" s="130"/>
      <c r="EL93" s="130"/>
      <c r="EM93" s="130"/>
      <c r="EN93" s="130"/>
      <c r="EO93" s="130"/>
      <c r="EP93" s="130"/>
      <c r="EQ93" s="130"/>
      <c r="ER93" s="130"/>
      <c r="ES93" s="130"/>
      <c r="ET93" s="130"/>
      <c r="EU93" s="130"/>
      <c r="EV93" s="130"/>
      <c r="EW93" s="130"/>
      <c r="EX93" s="130"/>
      <c r="EY93" s="130"/>
      <c r="EZ93" s="130"/>
      <c r="FA93" s="130"/>
      <c r="FB93" s="130"/>
      <c r="FC93" s="130"/>
      <c r="FD93" s="130"/>
      <c r="FE93" s="130"/>
      <c r="FF93" s="130"/>
      <c r="FG93" s="130"/>
      <c r="FH93" s="130"/>
      <c r="FI93" s="130"/>
      <c r="FJ93" s="130"/>
      <c r="FK93" s="130"/>
      <c r="FL93" s="130"/>
      <c r="FM93" s="130"/>
      <c r="FN93" s="130"/>
      <c r="FO93" s="130"/>
      <c r="FP93" s="130"/>
      <c r="FQ93" s="130"/>
      <c r="FR93" s="130"/>
      <c r="FS93" s="130"/>
      <c r="FT93" s="130"/>
      <c r="FU93" s="130"/>
      <c r="FV93" s="130"/>
      <c r="FW93" s="130"/>
      <c r="FX93" s="130"/>
      <c r="FY93" s="130"/>
      <c r="FZ93" s="130"/>
      <c r="GA93" s="130"/>
      <c r="GB93" s="130"/>
      <c r="GC93" s="130"/>
      <c r="GD93" s="130"/>
      <c r="GE93" s="130"/>
      <c r="GF93" s="130"/>
      <c r="GG93" s="130"/>
      <c r="GH93" s="130"/>
      <c r="GI93" s="130"/>
      <c r="GJ93" s="130"/>
      <c r="GK93" s="130"/>
      <c r="GL93" s="130"/>
      <c r="GM93" s="130"/>
      <c r="GN93" s="130"/>
      <c r="GO93" s="130"/>
      <c r="GP93" s="130"/>
      <c r="GQ93" s="130"/>
      <c r="GR93" s="130"/>
      <c r="GS93" s="130"/>
      <c r="GT93" s="130"/>
      <c r="GU93" s="130"/>
      <c r="GV93" s="130"/>
      <c r="GW93" s="130"/>
      <c r="GX93" s="130"/>
      <c r="GY93" s="130"/>
      <c r="GZ93" s="130"/>
      <c r="HA93" s="130"/>
      <c r="HB93" s="130"/>
      <c r="HC93" s="130"/>
      <c r="HD93" s="130"/>
      <c r="HE93" s="130"/>
      <c r="HF93" s="130"/>
      <c r="HG93" s="130"/>
      <c r="HH93" s="130"/>
      <c r="HI93" s="130"/>
      <c r="HJ93" s="130"/>
      <c r="HK93" s="130"/>
      <c r="HL93" s="130"/>
      <c r="HM93" s="130"/>
      <c r="HN93" s="130"/>
      <c r="HO93" s="130"/>
      <c r="HP93" s="130"/>
      <c r="HQ93" s="130"/>
      <c r="HR93" s="130"/>
      <c r="HS93" s="130"/>
      <c r="HT93" s="130"/>
      <c r="HU93" s="130"/>
      <c r="HV93" s="130"/>
      <c r="HW93" s="130"/>
      <c r="HX93" s="130"/>
      <c r="HY93" s="130"/>
      <c r="HZ93" s="130"/>
      <c r="IA93" s="130"/>
      <c r="IB93" s="130"/>
    </row>
    <row r="94" spans="1:236" ht="14.15" customHeight="1">
      <c r="A94" s="130"/>
      <c r="B94" s="129"/>
      <c r="C94" s="129"/>
      <c r="D94" s="129"/>
      <c r="E94" s="129"/>
      <c r="F94" s="129"/>
      <c r="G94" s="129"/>
      <c r="H94" s="129"/>
      <c r="I94" s="129"/>
      <c r="J94" s="129"/>
      <c r="K94" s="129"/>
      <c r="L94" s="129"/>
      <c r="N94" s="1034"/>
      <c r="O94" s="1034"/>
      <c r="P94" s="548"/>
      <c r="Q94" s="548"/>
      <c r="R94" s="548"/>
      <c r="S94" s="548"/>
      <c r="U94" s="549"/>
      <c r="V94" s="548"/>
      <c r="W94" s="548"/>
      <c r="X94" s="1428"/>
      <c r="Y94" s="548"/>
      <c r="Z94" s="548"/>
      <c r="AA94" s="548"/>
      <c r="AB94" s="548"/>
      <c r="AC94" s="548"/>
      <c r="AD94" s="548"/>
      <c r="AE94" s="548"/>
      <c r="AF94" s="548"/>
      <c r="AG94" s="548"/>
      <c r="AH94" s="548"/>
      <c r="AI94" s="548"/>
      <c r="AJ94" s="548"/>
      <c r="AK94" s="548"/>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L94" s="130"/>
      <c r="BM94" s="130"/>
      <c r="BN94" s="130"/>
      <c r="BO94" s="130"/>
      <c r="BP94" s="130"/>
      <c r="BQ94" s="130"/>
      <c r="BR94" s="130"/>
      <c r="BS94" s="130"/>
      <c r="BT94" s="130"/>
      <c r="BU94" s="130"/>
      <c r="BV94" s="130"/>
      <c r="BW94" s="130"/>
      <c r="BX94" s="130"/>
      <c r="BY94" s="130"/>
      <c r="BZ94" s="130"/>
      <c r="CA94" s="130"/>
      <c r="CB94" s="130"/>
      <c r="CC94" s="130"/>
      <c r="CD94" s="130"/>
      <c r="CE94" s="130"/>
      <c r="CF94" s="130"/>
      <c r="CG94" s="130"/>
      <c r="CH94" s="130"/>
      <c r="CI94" s="130"/>
      <c r="CJ94" s="130"/>
      <c r="CK94" s="130"/>
      <c r="CL94" s="130"/>
      <c r="CM94" s="130"/>
      <c r="CN94" s="130"/>
      <c r="CO94" s="130"/>
      <c r="CP94" s="130"/>
      <c r="CQ94" s="130"/>
      <c r="CR94" s="130"/>
      <c r="CS94" s="130"/>
      <c r="CT94" s="130"/>
      <c r="CU94" s="130"/>
      <c r="CV94" s="130"/>
      <c r="CW94" s="130"/>
      <c r="CX94" s="130"/>
      <c r="CY94" s="130"/>
      <c r="CZ94" s="130"/>
      <c r="DA94" s="130"/>
      <c r="DB94" s="130"/>
      <c r="DC94" s="130"/>
      <c r="DD94" s="130"/>
      <c r="DE94" s="130"/>
      <c r="DF94" s="130"/>
      <c r="DG94" s="130"/>
      <c r="DH94" s="130"/>
      <c r="DI94" s="130"/>
      <c r="DJ94" s="130"/>
      <c r="DK94" s="130"/>
      <c r="DL94" s="130"/>
      <c r="DM94" s="130"/>
      <c r="DN94" s="130"/>
      <c r="DO94" s="130"/>
      <c r="DP94" s="130"/>
      <c r="DQ94" s="130"/>
      <c r="DR94" s="130"/>
      <c r="DS94" s="130"/>
      <c r="DT94" s="130"/>
      <c r="DU94" s="130"/>
      <c r="DV94" s="130"/>
      <c r="DW94" s="130"/>
      <c r="DX94" s="130"/>
      <c r="DY94" s="130"/>
      <c r="DZ94" s="130"/>
      <c r="EA94" s="130"/>
      <c r="EB94" s="130"/>
      <c r="EC94" s="130"/>
      <c r="ED94" s="130"/>
      <c r="EE94" s="130"/>
      <c r="EF94" s="130"/>
      <c r="EG94" s="130"/>
      <c r="EH94" s="130"/>
      <c r="EI94" s="130"/>
      <c r="EJ94" s="130"/>
      <c r="EK94" s="130"/>
      <c r="EL94" s="130"/>
      <c r="EM94" s="130"/>
      <c r="EN94" s="130"/>
      <c r="EO94" s="130"/>
      <c r="EP94" s="130"/>
      <c r="EQ94" s="130"/>
      <c r="ER94" s="130"/>
      <c r="ES94" s="130"/>
      <c r="ET94" s="130"/>
      <c r="EU94" s="130"/>
      <c r="EV94" s="130"/>
      <c r="EW94" s="130"/>
      <c r="EX94" s="130"/>
      <c r="EY94" s="130"/>
      <c r="EZ94" s="130"/>
      <c r="FA94" s="130"/>
      <c r="FB94" s="130"/>
      <c r="FC94" s="130"/>
      <c r="FD94" s="130"/>
      <c r="FE94" s="130"/>
      <c r="FF94" s="130"/>
      <c r="FG94" s="130"/>
      <c r="FH94" s="130"/>
      <c r="FI94" s="130"/>
      <c r="FJ94" s="130"/>
      <c r="FK94" s="130"/>
      <c r="FL94" s="130"/>
      <c r="FM94" s="130"/>
      <c r="FN94" s="130"/>
      <c r="FO94" s="130"/>
      <c r="FP94" s="130"/>
      <c r="FQ94" s="130"/>
      <c r="FR94" s="130"/>
      <c r="FS94" s="130"/>
      <c r="FT94" s="130"/>
      <c r="FU94" s="130"/>
      <c r="FV94" s="130"/>
      <c r="FW94" s="130"/>
      <c r="FX94" s="130"/>
      <c r="FY94" s="130"/>
      <c r="FZ94" s="130"/>
      <c r="GA94" s="130"/>
      <c r="GB94" s="130"/>
      <c r="GC94" s="130"/>
      <c r="GD94" s="130"/>
      <c r="GE94" s="130"/>
      <c r="GF94" s="130"/>
      <c r="GG94" s="130"/>
      <c r="GH94" s="130"/>
      <c r="GI94" s="130"/>
      <c r="GJ94" s="130"/>
      <c r="GK94" s="130"/>
      <c r="GL94" s="130"/>
      <c r="GM94" s="130"/>
      <c r="GN94" s="130"/>
      <c r="GO94" s="130"/>
      <c r="GP94" s="130"/>
      <c r="GQ94" s="130"/>
      <c r="GR94" s="130"/>
      <c r="GS94" s="130"/>
      <c r="GT94" s="130"/>
      <c r="GU94" s="130"/>
      <c r="GV94" s="130"/>
      <c r="GW94" s="130"/>
      <c r="GX94" s="130"/>
      <c r="GY94" s="130"/>
      <c r="GZ94" s="130"/>
      <c r="HA94" s="130"/>
      <c r="HB94" s="130"/>
      <c r="HC94" s="130"/>
      <c r="HD94" s="130"/>
      <c r="HE94" s="130"/>
      <c r="HF94" s="130"/>
      <c r="HG94" s="130"/>
      <c r="HH94" s="130"/>
      <c r="HI94" s="130"/>
      <c r="HJ94" s="130"/>
      <c r="HK94" s="130"/>
      <c r="HL94" s="130"/>
      <c r="HM94" s="130"/>
      <c r="HN94" s="130"/>
      <c r="HO94" s="130"/>
      <c r="HP94" s="130"/>
      <c r="HQ94" s="130"/>
      <c r="HR94" s="130"/>
      <c r="HS94" s="130"/>
      <c r="HT94" s="130"/>
      <c r="HU94" s="130"/>
      <c r="HV94" s="130"/>
      <c r="HW94" s="130"/>
      <c r="HX94" s="130"/>
      <c r="HY94" s="130"/>
      <c r="HZ94" s="130"/>
      <c r="IA94" s="130"/>
      <c r="IB94" s="130"/>
    </row>
    <row r="95" spans="1:236" ht="14.15" customHeight="1">
      <c r="A95" s="130"/>
      <c r="B95" s="129"/>
      <c r="C95" s="129"/>
      <c r="D95" s="129"/>
      <c r="E95" s="129"/>
      <c r="F95" s="129"/>
      <c r="G95" s="129"/>
      <c r="H95" s="129"/>
      <c r="I95" s="129"/>
      <c r="J95" s="129"/>
      <c r="K95" s="129"/>
      <c r="L95" s="129"/>
      <c r="N95" s="1034"/>
      <c r="O95" s="1034"/>
      <c r="P95" s="548"/>
      <c r="Q95" s="548"/>
      <c r="R95" s="548"/>
      <c r="S95" s="548"/>
      <c r="U95" s="549"/>
      <c r="V95" s="548"/>
      <c r="W95" s="548"/>
      <c r="X95" s="548"/>
      <c r="Y95" s="548"/>
      <c r="Z95" s="548"/>
      <c r="AA95" s="548"/>
      <c r="AB95" s="548"/>
      <c r="AC95" s="548"/>
      <c r="AD95" s="548"/>
      <c r="AE95" s="548"/>
      <c r="AF95" s="548"/>
      <c r="AG95" s="548"/>
      <c r="AH95" s="548"/>
      <c r="AI95" s="548"/>
      <c r="AJ95" s="548"/>
      <c r="AK95" s="548"/>
      <c r="AL95" s="130"/>
      <c r="AM95" s="130"/>
      <c r="AN95" s="130"/>
      <c r="AO95" s="130"/>
      <c r="AP95" s="130"/>
      <c r="AQ95" s="130"/>
      <c r="AR95" s="130"/>
      <c r="AS95" s="130"/>
      <c r="AT95" s="130"/>
      <c r="AU95" s="130"/>
      <c r="AV95" s="130"/>
      <c r="AW95" s="130"/>
      <c r="AX95" s="130"/>
      <c r="AY95" s="130"/>
      <c r="AZ95" s="130"/>
      <c r="BA95" s="130"/>
      <c r="BB95" s="130"/>
      <c r="BC95" s="130"/>
      <c r="BD95" s="130"/>
      <c r="BE95" s="130"/>
      <c r="BF95" s="130"/>
      <c r="BG95" s="130"/>
      <c r="BH95" s="130"/>
      <c r="BI95" s="130"/>
      <c r="BJ95" s="130"/>
      <c r="BK95" s="130"/>
      <c r="BL95" s="130"/>
      <c r="BM95" s="130"/>
      <c r="BN95" s="130"/>
      <c r="BO95" s="130"/>
      <c r="BP95" s="130"/>
      <c r="BQ95" s="130"/>
      <c r="BR95" s="130"/>
      <c r="BS95" s="130"/>
      <c r="BT95" s="130"/>
      <c r="BU95" s="130"/>
      <c r="BV95" s="130"/>
      <c r="BW95" s="130"/>
      <c r="BX95" s="130"/>
      <c r="BY95" s="130"/>
      <c r="BZ95" s="130"/>
      <c r="CA95" s="130"/>
      <c r="CB95" s="130"/>
      <c r="CC95" s="130"/>
      <c r="CD95" s="130"/>
      <c r="CE95" s="130"/>
      <c r="CF95" s="130"/>
      <c r="CG95" s="130"/>
      <c r="CH95" s="130"/>
      <c r="CI95" s="130"/>
      <c r="CJ95" s="130"/>
      <c r="CK95" s="130"/>
      <c r="CL95" s="130"/>
      <c r="CM95" s="130"/>
      <c r="CN95" s="130"/>
      <c r="CO95" s="130"/>
      <c r="CP95" s="130"/>
      <c r="CQ95" s="130"/>
      <c r="CR95" s="130"/>
      <c r="CS95" s="130"/>
      <c r="CT95" s="130"/>
      <c r="CU95" s="130"/>
      <c r="CV95" s="130"/>
      <c r="CW95" s="130"/>
      <c r="CX95" s="130"/>
      <c r="CY95" s="130"/>
      <c r="CZ95" s="130"/>
      <c r="DA95" s="130"/>
      <c r="DB95" s="130"/>
      <c r="DC95" s="130"/>
      <c r="DD95" s="130"/>
      <c r="DE95" s="130"/>
      <c r="DF95" s="130"/>
      <c r="DG95" s="130"/>
      <c r="DH95" s="130"/>
      <c r="DI95" s="130"/>
      <c r="DJ95" s="130"/>
      <c r="DK95" s="130"/>
      <c r="DL95" s="130"/>
      <c r="DM95" s="130"/>
      <c r="DN95" s="130"/>
      <c r="DO95" s="130"/>
      <c r="DP95" s="130"/>
      <c r="DQ95" s="130"/>
      <c r="DR95" s="130"/>
      <c r="DS95" s="130"/>
      <c r="DT95" s="130"/>
      <c r="DU95" s="130"/>
      <c r="DV95" s="130"/>
      <c r="DW95" s="130"/>
      <c r="DX95" s="130"/>
      <c r="DY95" s="130"/>
      <c r="DZ95" s="130"/>
      <c r="EA95" s="130"/>
      <c r="EB95" s="130"/>
      <c r="EC95" s="130"/>
      <c r="ED95" s="130"/>
      <c r="EE95" s="130"/>
      <c r="EF95" s="130"/>
      <c r="EG95" s="130"/>
      <c r="EH95" s="130"/>
      <c r="EI95" s="130"/>
      <c r="EJ95" s="130"/>
      <c r="EK95" s="130"/>
      <c r="EL95" s="130"/>
      <c r="EM95" s="130"/>
      <c r="EN95" s="130"/>
      <c r="EO95" s="130"/>
      <c r="EP95" s="130"/>
      <c r="EQ95" s="130"/>
      <c r="ER95" s="130"/>
      <c r="ES95" s="130"/>
      <c r="ET95" s="130"/>
      <c r="EU95" s="130"/>
      <c r="EV95" s="130"/>
      <c r="EW95" s="130"/>
      <c r="EX95" s="130"/>
      <c r="EY95" s="130"/>
      <c r="EZ95" s="130"/>
      <c r="FA95" s="130"/>
      <c r="FB95" s="130"/>
      <c r="FC95" s="130"/>
      <c r="FD95" s="130"/>
      <c r="FE95" s="130"/>
      <c r="FF95" s="130"/>
      <c r="FG95" s="130"/>
      <c r="FH95" s="130"/>
      <c r="FI95" s="130"/>
      <c r="FJ95" s="130"/>
      <c r="FK95" s="130"/>
      <c r="FL95" s="130"/>
      <c r="FM95" s="130"/>
      <c r="FN95" s="130"/>
      <c r="FO95" s="130"/>
      <c r="FP95" s="130"/>
      <c r="FQ95" s="130"/>
      <c r="FR95" s="130"/>
      <c r="FS95" s="130"/>
      <c r="FT95" s="130"/>
      <c r="FU95" s="130"/>
      <c r="FV95" s="130"/>
      <c r="FW95" s="130"/>
      <c r="FX95" s="130"/>
      <c r="FY95" s="130"/>
      <c r="FZ95" s="130"/>
      <c r="GA95" s="130"/>
      <c r="GB95" s="130"/>
      <c r="GC95" s="130"/>
      <c r="GD95" s="130"/>
      <c r="GE95" s="130"/>
      <c r="GF95" s="130"/>
      <c r="GG95" s="130"/>
      <c r="GH95" s="130"/>
      <c r="GI95" s="130"/>
      <c r="GJ95" s="130"/>
      <c r="GK95" s="130"/>
      <c r="GL95" s="130"/>
      <c r="GM95" s="130"/>
      <c r="GN95" s="130"/>
      <c r="GO95" s="130"/>
      <c r="GP95" s="130"/>
      <c r="GQ95" s="130"/>
      <c r="GR95" s="130"/>
      <c r="GS95" s="130"/>
      <c r="GT95" s="130"/>
      <c r="GU95" s="130"/>
      <c r="GV95" s="130"/>
      <c r="GW95" s="130"/>
      <c r="GX95" s="130"/>
      <c r="GY95" s="130"/>
      <c r="GZ95" s="130"/>
      <c r="HA95" s="130"/>
      <c r="HB95" s="130"/>
      <c r="HC95" s="130"/>
      <c r="HD95" s="130"/>
      <c r="HE95" s="130"/>
      <c r="HF95" s="130"/>
      <c r="HG95" s="130"/>
      <c r="HH95" s="130"/>
      <c r="HI95" s="130"/>
      <c r="HJ95" s="130"/>
      <c r="HK95" s="130"/>
      <c r="HL95" s="130"/>
      <c r="HM95" s="130"/>
      <c r="HN95" s="130"/>
      <c r="HO95" s="130"/>
      <c r="HP95" s="130"/>
      <c r="HQ95" s="130"/>
      <c r="HR95" s="130"/>
      <c r="HS95" s="130"/>
      <c r="HT95" s="130"/>
      <c r="HU95" s="130"/>
      <c r="HV95" s="130"/>
      <c r="HW95" s="130"/>
      <c r="HX95" s="130"/>
      <c r="HY95" s="130"/>
      <c r="HZ95" s="130"/>
      <c r="IA95" s="130"/>
      <c r="IB95" s="130"/>
    </row>
    <row r="96" spans="1:236" ht="14.15" customHeight="1">
      <c r="A96" s="130"/>
      <c r="B96" s="129"/>
      <c r="C96" s="129"/>
      <c r="D96" s="129"/>
      <c r="E96" s="129"/>
      <c r="F96" s="129"/>
      <c r="G96" s="129"/>
      <c r="H96" s="129"/>
      <c r="I96" s="129"/>
      <c r="J96" s="129"/>
      <c r="K96" s="129"/>
      <c r="L96" s="129"/>
      <c r="N96" s="1034"/>
      <c r="O96" s="1034"/>
      <c r="P96" s="548"/>
      <c r="Q96" s="548"/>
      <c r="R96" s="548"/>
      <c r="S96" s="548"/>
      <c r="U96" s="549"/>
      <c r="V96" s="548"/>
      <c r="W96" s="548"/>
      <c r="X96" s="548"/>
      <c r="Y96" s="548"/>
      <c r="Z96" s="548"/>
      <c r="AA96" s="548"/>
      <c r="AB96" s="548"/>
      <c r="AC96" s="548"/>
      <c r="AD96" s="548"/>
      <c r="AE96" s="548"/>
      <c r="AF96" s="548"/>
      <c r="AG96" s="548"/>
      <c r="AH96" s="548"/>
      <c r="AI96" s="548"/>
      <c r="AJ96" s="548"/>
      <c r="AK96" s="548"/>
      <c r="AL96" s="130"/>
      <c r="AM96" s="130"/>
      <c r="AN96" s="130"/>
      <c r="AO96" s="130"/>
      <c r="AP96" s="130"/>
      <c r="AQ96" s="130"/>
      <c r="AR96" s="130"/>
      <c r="AS96" s="130"/>
      <c r="AT96" s="130"/>
      <c r="AU96" s="130"/>
      <c r="AV96" s="130"/>
      <c r="AW96" s="130"/>
      <c r="AX96" s="130"/>
      <c r="AY96" s="130"/>
      <c r="AZ96" s="130"/>
      <c r="BA96" s="130"/>
      <c r="BB96" s="130"/>
      <c r="BC96" s="130"/>
      <c r="BD96" s="130"/>
      <c r="BE96" s="130"/>
      <c r="BF96" s="130"/>
      <c r="BG96" s="130"/>
      <c r="BH96" s="130"/>
      <c r="BI96" s="130"/>
      <c r="BJ96" s="130"/>
      <c r="BK96" s="130"/>
      <c r="BL96" s="130"/>
      <c r="BM96" s="130"/>
      <c r="BN96" s="130"/>
      <c r="BO96" s="130"/>
      <c r="BP96" s="130"/>
      <c r="BQ96" s="130"/>
      <c r="BR96" s="130"/>
      <c r="BS96" s="130"/>
      <c r="BT96" s="130"/>
      <c r="BU96" s="130"/>
      <c r="BV96" s="130"/>
      <c r="BW96" s="130"/>
      <c r="BX96" s="130"/>
      <c r="BY96" s="130"/>
      <c r="BZ96" s="130"/>
      <c r="CA96" s="130"/>
      <c r="CB96" s="130"/>
      <c r="CC96" s="130"/>
      <c r="CD96" s="130"/>
      <c r="CE96" s="130"/>
      <c r="CF96" s="130"/>
      <c r="CG96" s="130"/>
      <c r="CH96" s="130"/>
      <c r="CI96" s="130"/>
      <c r="CJ96" s="130"/>
      <c r="CK96" s="130"/>
      <c r="CL96" s="130"/>
      <c r="CM96" s="130"/>
      <c r="CN96" s="130"/>
      <c r="CO96" s="130"/>
      <c r="CP96" s="130"/>
      <c r="CQ96" s="130"/>
      <c r="CR96" s="130"/>
      <c r="CS96" s="130"/>
      <c r="CT96" s="130"/>
      <c r="CU96" s="130"/>
      <c r="CV96" s="130"/>
      <c r="CW96" s="130"/>
      <c r="CX96" s="130"/>
      <c r="CY96" s="130"/>
      <c r="CZ96" s="130"/>
      <c r="DA96" s="130"/>
      <c r="DB96" s="130"/>
      <c r="DC96" s="130"/>
      <c r="DD96" s="130"/>
      <c r="DE96" s="130"/>
      <c r="DF96" s="130"/>
      <c r="DG96" s="130"/>
      <c r="DH96" s="130"/>
      <c r="DI96" s="130"/>
      <c r="DJ96" s="130"/>
      <c r="DK96" s="130"/>
      <c r="DL96" s="130"/>
      <c r="DM96" s="130"/>
      <c r="DN96" s="130"/>
      <c r="DO96" s="130"/>
      <c r="DP96" s="130"/>
      <c r="DQ96" s="130"/>
      <c r="DR96" s="130"/>
      <c r="DS96" s="130"/>
      <c r="DT96" s="130"/>
      <c r="DU96" s="130"/>
      <c r="DV96" s="130"/>
      <c r="DW96" s="130"/>
      <c r="DX96" s="130"/>
      <c r="DY96" s="130"/>
      <c r="DZ96" s="130"/>
      <c r="EA96" s="130"/>
      <c r="EB96" s="130"/>
      <c r="EC96" s="130"/>
      <c r="ED96" s="130"/>
      <c r="EE96" s="130"/>
      <c r="EF96" s="130"/>
      <c r="EG96" s="130"/>
      <c r="EH96" s="130"/>
      <c r="EI96" s="130"/>
      <c r="EJ96" s="130"/>
      <c r="EK96" s="130"/>
      <c r="EL96" s="130"/>
      <c r="EM96" s="130"/>
      <c r="EN96" s="130"/>
      <c r="EO96" s="130"/>
      <c r="EP96" s="130"/>
      <c r="EQ96" s="130"/>
      <c r="ER96" s="130"/>
      <c r="ES96" s="130"/>
      <c r="ET96" s="130"/>
      <c r="EU96" s="130"/>
      <c r="EV96" s="130"/>
      <c r="EW96" s="130"/>
      <c r="EX96" s="130"/>
      <c r="EY96" s="130"/>
      <c r="EZ96" s="130"/>
      <c r="FA96" s="130"/>
      <c r="FB96" s="130"/>
      <c r="FC96" s="130"/>
      <c r="FD96" s="130"/>
      <c r="FE96" s="130"/>
      <c r="FF96" s="130"/>
      <c r="FG96" s="130"/>
      <c r="FH96" s="130"/>
      <c r="FI96" s="130"/>
      <c r="FJ96" s="130"/>
      <c r="FK96" s="130"/>
      <c r="FL96" s="130"/>
      <c r="FM96" s="130"/>
      <c r="FN96" s="130"/>
      <c r="FO96" s="130"/>
      <c r="FP96" s="130"/>
      <c r="FQ96" s="130"/>
      <c r="FR96" s="130"/>
      <c r="FS96" s="130"/>
      <c r="FT96" s="130"/>
      <c r="FU96" s="130"/>
      <c r="FV96" s="130"/>
      <c r="FW96" s="130"/>
      <c r="FX96" s="130"/>
      <c r="FY96" s="130"/>
      <c r="FZ96" s="130"/>
      <c r="GA96" s="130"/>
      <c r="GB96" s="130"/>
      <c r="GC96" s="130"/>
      <c r="GD96" s="130"/>
      <c r="GE96" s="130"/>
      <c r="GF96" s="130"/>
      <c r="GG96" s="130"/>
      <c r="GH96" s="130"/>
      <c r="GI96" s="130"/>
      <c r="GJ96" s="130"/>
      <c r="GK96" s="130"/>
      <c r="GL96" s="130"/>
      <c r="GM96" s="130"/>
      <c r="GN96" s="130"/>
      <c r="GO96" s="130"/>
      <c r="GP96" s="130"/>
      <c r="GQ96" s="130"/>
      <c r="GR96" s="130"/>
      <c r="GS96" s="130"/>
      <c r="GT96" s="130"/>
      <c r="GU96" s="130"/>
      <c r="GV96" s="130"/>
      <c r="GW96" s="130"/>
      <c r="GX96" s="130"/>
      <c r="GY96" s="130"/>
      <c r="GZ96" s="130"/>
      <c r="HA96" s="130"/>
      <c r="HB96" s="130"/>
      <c r="HC96" s="130"/>
      <c r="HD96" s="130"/>
      <c r="HE96" s="130"/>
      <c r="HF96" s="130"/>
      <c r="HG96" s="130"/>
      <c r="HH96" s="130"/>
      <c r="HI96" s="130"/>
      <c r="HJ96" s="130"/>
      <c r="HK96" s="130"/>
      <c r="HL96" s="130"/>
      <c r="HM96" s="130"/>
      <c r="HN96" s="130"/>
      <c r="HO96" s="130"/>
      <c r="HP96" s="130"/>
      <c r="HQ96" s="130"/>
      <c r="HR96" s="130"/>
      <c r="HS96" s="130"/>
      <c r="HT96" s="130"/>
      <c r="HU96" s="130"/>
      <c r="HV96" s="130"/>
      <c r="HW96" s="130"/>
      <c r="HX96" s="130"/>
      <c r="HY96" s="130"/>
      <c r="HZ96" s="130"/>
      <c r="IA96" s="130"/>
      <c r="IB96" s="130"/>
    </row>
    <row r="97" spans="1:236" ht="14.15" customHeight="1">
      <c r="A97" s="130"/>
      <c r="B97" s="129"/>
      <c r="C97" s="129"/>
      <c r="D97" s="129"/>
      <c r="E97" s="129"/>
      <c r="F97" s="129"/>
      <c r="G97" s="129"/>
      <c r="H97" s="129"/>
      <c r="I97" s="129"/>
      <c r="J97" s="129"/>
      <c r="K97" s="129"/>
      <c r="L97" s="129"/>
      <c r="N97" s="1034"/>
      <c r="O97" s="1034"/>
      <c r="P97" s="548"/>
      <c r="Q97" s="548"/>
      <c r="R97" s="548"/>
      <c r="S97" s="548"/>
      <c r="U97" s="549"/>
      <c r="V97" s="548"/>
      <c r="W97" s="548"/>
      <c r="X97" s="548"/>
      <c r="Y97" s="548"/>
      <c r="Z97" s="548"/>
      <c r="AA97" s="548"/>
      <c r="AB97" s="548"/>
      <c r="AC97" s="548"/>
      <c r="AD97" s="548"/>
      <c r="AE97" s="548"/>
      <c r="AF97" s="548"/>
      <c r="AG97" s="548"/>
      <c r="AH97" s="548"/>
      <c r="AI97" s="548"/>
      <c r="AJ97" s="548"/>
      <c r="AK97" s="548"/>
      <c r="AL97" s="130"/>
      <c r="AM97" s="130"/>
      <c r="AN97" s="130"/>
      <c r="AO97" s="130"/>
      <c r="AP97" s="130"/>
      <c r="AQ97" s="130"/>
      <c r="AR97" s="130"/>
      <c r="AS97" s="130"/>
      <c r="AT97" s="130"/>
      <c r="AU97" s="130"/>
      <c r="AV97" s="130"/>
      <c r="AW97" s="130"/>
      <c r="AX97" s="130"/>
      <c r="AY97" s="130"/>
      <c r="AZ97" s="130"/>
      <c r="BA97" s="130"/>
      <c r="BB97" s="130"/>
      <c r="BC97" s="130"/>
      <c r="BD97" s="130"/>
      <c r="BE97" s="130"/>
      <c r="BF97" s="130"/>
      <c r="BG97" s="130"/>
      <c r="BH97" s="130"/>
      <c r="BI97" s="130"/>
      <c r="BJ97" s="130"/>
      <c r="BK97" s="130"/>
      <c r="BL97" s="130"/>
      <c r="BM97" s="130"/>
      <c r="BN97" s="130"/>
      <c r="BO97" s="130"/>
      <c r="BP97" s="130"/>
      <c r="BQ97" s="130"/>
      <c r="BR97" s="130"/>
      <c r="BS97" s="130"/>
      <c r="BT97" s="130"/>
      <c r="BU97" s="130"/>
      <c r="BV97" s="130"/>
      <c r="BW97" s="130"/>
      <c r="BX97" s="130"/>
      <c r="BY97" s="130"/>
      <c r="BZ97" s="130"/>
      <c r="CA97" s="130"/>
      <c r="CB97" s="130"/>
      <c r="CC97" s="130"/>
      <c r="CD97" s="130"/>
      <c r="CE97" s="130"/>
      <c r="CF97" s="130"/>
      <c r="CG97" s="130"/>
      <c r="CH97" s="130"/>
      <c r="CI97" s="130"/>
      <c r="CJ97" s="130"/>
      <c r="CK97" s="130"/>
      <c r="CL97" s="130"/>
      <c r="CM97" s="130"/>
      <c r="CN97" s="130"/>
      <c r="CO97" s="130"/>
      <c r="CP97" s="130"/>
      <c r="CQ97" s="130"/>
      <c r="CR97" s="130"/>
      <c r="CS97" s="130"/>
      <c r="CT97" s="130"/>
      <c r="CU97" s="130"/>
      <c r="CV97" s="130"/>
      <c r="CW97" s="130"/>
      <c r="CX97" s="130"/>
      <c r="CY97" s="130"/>
      <c r="CZ97" s="130"/>
      <c r="DA97" s="130"/>
      <c r="DB97" s="130"/>
      <c r="DC97" s="130"/>
      <c r="DD97" s="130"/>
      <c r="DE97" s="130"/>
      <c r="DF97" s="130"/>
      <c r="DG97" s="130"/>
      <c r="DH97" s="130"/>
      <c r="DI97" s="130"/>
      <c r="DJ97" s="130"/>
      <c r="DK97" s="130"/>
      <c r="DL97" s="130"/>
      <c r="DM97" s="130"/>
      <c r="DN97" s="130"/>
      <c r="DO97" s="130"/>
      <c r="DP97" s="130"/>
      <c r="DQ97" s="130"/>
      <c r="DR97" s="130"/>
      <c r="DS97" s="130"/>
      <c r="DT97" s="130"/>
      <c r="DU97" s="130"/>
      <c r="DV97" s="130"/>
      <c r="DW97" s="130"/>
      <c r="DX97" s="130"/>
      <c r="DY97" s="130"/>
      <c r="DZ97" s="130"/>
      <c r="EA97" s="130"/>
      <c r="EB97" s="130"/>
      <c r="EC97" s="130"/>
      <c r="ED97" s="130"/>
      <c r="EE97" s="130"/>
      <c r="EF97" s="130"/>
      <c r="EG97" s="130"/>
      <c r="EH97" s="130"/>
      <c r="EI97" s="130"/>
      <c r="EJ97" s="130"/>
      <c r="EK97" s="130"/>
      <c r="EL97" s="130"/>
      <c r="EM97" s="130"/>
      <c r="EN97" s="130"/>
      <c r="EO97" s="130"/>
      <c r="EP97" s="130"/>
      <c r="EQ97" s="130"/>
      <c r="ER97" s="130"/>
      <c r="ES97" s="130"/>
      <c r="ET97" s="130"/>
      <c r="EU97" s="130"/>
      <c r="EV97" s="130"/>
      <c r="EW97" s="130"/>
      <c r="EX97" s="130"/>
      <c r="EY97" s="130"/>
      <c r="EZ97" s="130"/>
      <c r="FA97" s="130"/>
      <c r="FB97" s="130"/>
      <c r="FC97" s="130"/>
      <c r="FD97" s="130"/>
      <c r="FE97" s="130"/>
      <c r="FF97" s="130"/>
      <c r="FG97" s="130"/>
      <c r="FH97" s="130"/>
      <c r="FI97" s="130"/>
      <c r="FJ97" s="130"/>
      <c r="FK97" s="130"/>
      <c r="FL97" s="130"/>
      <c r="FM97" s="130"/>
      <c r="FN97" s="130"/>
      <c r="FO97" s="130"/>
      <c r="FP97" s="130"/>
      <c r="FQ97" s="130"/>
      <c r="FR97" s="130"/>
      <c r="FS97" s="130"/>
      <c r="FT97" s="130"/>
      <c r="FU97" s="130"/>
      <c r="FV97" s="130"/>
      <c r="FW97" s="130"/>
      <c r="FX97" s="130"/>
      <c r="FY97" s="130"/>
      <c r="FZ97" s="130"/>
      <c r="GA97" s="130"/>
      <c r="GB97" s="130"/>
      <c r="GC97" s="130"/>
      <c r="GD97" s="130"/>
      <c r="GE97" s="130"/>
      <c r="GF97" s="130"/>
      <c r="GG97" s="130"/>
      <c r="GH97" s="130"/>
      <c r="GI97" s="130"/>
      <c r="GJ97" s="130"/>
      <c r="GK97" s="130"/>
      <c r="GL97" s="130"/>
      <c r="GM97" s="130"/>
      <c r="GN97" s="130"/>
      <c r="GO97" s="130"/>
      <c r="GP97" s="130"/>
      <c r="GQ97" s="130"/>
      <c r="GR97" s="130"/>
      <c r="GS97" s="130"/>
      <c r="GT97" s="130"/>
      <c r="GU97" s="130"/>
      <c r="GV97" s="130"/>
      <c r="GW97" s="130"/>
      <c r="GX97" s="130"/>
      <c r="GY97" s="130"/>
      <c r="GZ97" s="130"/>
      <c r="HA97" s="130"/>
      <c r="HB97" s="130"/>
      <c r="HC97" s="130"/>
      <c r="HD97" s="130"/>
      <c r="HE97" s="130"/>
      <c r="HF97" s="130"/>
      <c r="HG97" s="130"/>
      <c r="HH97" s="130"/>
      <c r="HI97" s="130"/>
      <c r="HJ97" s="130"/>
      <c r="HK97" s="130"/>
      <c r="HL97" s="130"/>
      <c r="HM97" s="130"/>
      <c r="HN97" s="130"/>
      <c r="HO97" s="130"/>
      <c r="HP97" s="130"/>
      <c r="HQ97" s="130"/>
      <c r="HR97" s="130"/>
      <c r="HS97" s="130"/>
      <c r="HT97" s="130"/>
      <c r="HU97" s="130"/>
      <c r="HV97" s="130"/>
      <c r="HW97" s="130"/>
      <c r="HX97" s="130"/>
      <c r="HY97" s="130"/>
      <c r="HZ97" s="130"/>
      <c r="IA97" s="130"/>
      <c r="IB97" s="130"/>
    </row>
    <row r="98" spans="1:236" ht="14.15" customHeight="1">
      <c r="A98" s="130"/>
      <c r="B98" s="129"/>
      <c r="C98" s="129"/>
      <c r="D98" s="129"/>
      <c r="E98" s="129"/>
      <c r="F98" s="129"/>
      <c r="G98" s="129"/>
      <c r="H98" s="129"/>
      <c r="I98" s="129"/>
      <c r="J98" s="129"/>
      <c r="K98" s="129"/>
      <c r="L98" s="129"/>
      <c r="N98" s="1034"/>
      <c r="O98" s="1034"/>
      <c r="P98" s="548"/>
      <c r="Q98" s="548"/>
      <c r="R98" s="548"/>
      <c r="S98" s="548"/>
      <c r="U98" s="549"/>
      <c r="V98" s="548"/>
      <c r="W98" s="548"/>
      <c r="X98" s="548"/>
      <c r="Y98" s="548"/>
      <c r="Z98" s="548"/>
      <c r="AA98" s="548"/>
      <c r="AB98" s="548"/>
      <c r="AC98" s="548"/>
      <c r="AD98" s="548"/>
      <c r="AE98" s="548"/>
      <c r="AF98" s="548"/>
      <c r="AG98" s="548"/>
      <c r="AH98" s="548"/>
      <c r="AI98" s="548"/>
      <c r="AJ98" s="548"/>
      <c r="AK98" s="548"/>
      <c r="AL98" s="130"/>
      <c r="AM98" s="130"/>
      <c r="AN98" s="130"/>
      <c r="AO98" s="130"/>
      <c r="AP98" s="130"/>
      <c r="AQ98" s="130"/>
      <c r="AR98" s="130"/>
      <c r="AS98" s="130"/>
      <c r="AT98" s="130"/>
      <c r="AU98" s="130"/>
      <c r="AV98" s="130"/>
      <c r="AW98" s="130"/>
      <c r="AX98" s="130"/>
      <c r="AY98" s="130"/>
      <c r="AZ98" s="130"/>
      <c r="BA98" s="130"/>
      <c r="BB98" s="130"/>
      <c r="BC98" s="130"/>
      <c r="BD98" s="130"/>
      <c r="BE98" s="130"/>
      <c r="BF98" s="130"/>
      <c r="BG98" s="130"/>
      <c r="BH98" s="130"/>
      <c r="BI98" s="130"/>
      <c r="BJ98" s="130"/>
      <c r="BK98" s="130"/>
      <c r="BL98" s="130"/>
      <c r="BM98" s="130"/>
      <c r="BN98" s="130"/>
      <c r="BO98" s="130"/>
      <c r="BP98" s="130"/>
      <c r="BQ98" s="130"/>
      <c r="BR98" s="130"/>
      <c r="BS98" s="130"/>
      <c r="BT98" s="130"/>
      <c r="BU98" s="130"/>
      <c r="BV98" s="130"/>
      <c r="BW98" s="130"/>
      <c r="BX98" s="130"/>
      <c r="BY98" s="130"/>
      <c r="BZ98" s="130"/>
      <c r="CA98" s="130"/>
      <c r="CB98" s="130"/>
      <c r="CC98" s="130"/>
      <c r="CD98" s="130"/>
      <c r="CE98" s="130"/>
      <c r="CF98" s="130"/>
      <c r="CG98" s="130"/>
      <c r="CH98" s="130"/>
      <c r="CI98" s="130"/>
      <c r="CJ98" s="130"/>
      <c r="CK98" s="130"/>
      <c r="CL98" s="130"/>
      <c r="CM98" s="130"/>
      <c r="CN98" s="130"/>
      <c r="CO98" s="130"/>
      <c r="CP98" s="130"/>
      <c r="CQ98" s="130"/>
      <c r="CR98" s="130"/>
      <c r="CS98" s="130"/>
      <c r="CT98" s="130"/>
      <c r="CU98" s="130"/>
      <c r="CV98" s="130"/>
      <c r="CW98" s="130"/>
      <c r="CX98" s="130"/>
      <c r="CY98" s="130"/>
      <c r="CZ98" s="130"/>
      <c r="DA98" s="130"/>
      <c r="DB98" s="130"/>
      <c r="DC98" s="130"/>
      <c r="DD98" s="130"/>
      <c r="DE98" s="130"/>
      <c r="DF98" s="130"/>
      <c r="DG98" s="130"/>
      <c r="DH98" s="130"/>
      <c r="DI98" s="130"/>
      <c r="DJ98" s="130"/>
      <c r="DK98" s="130"/>
      <c r="DL98" s="130"/>
      <c r="DM98" s="130"/>
      <c r="DN98" s="130"/>
      <c r="DO98" s="130"/>
      <c r="DP98" s="130"/>
      <c r="DQ98" s="130"/>
      <c r="DR98" s="130"/>
      <c r="DS98" s="130"/>
      <c r="DT98" s="130"/>
      <c r="DU98" s="130"/>
      <c r="DV98" s="130"/>
      <c r="DW98" s="130"/>
      <c r="DX98" s="130"/>
      <c r="DY98" s="130"/>
      <c r="DZ98" s="130"/>
      <c r="EA98" s="130"/>
      <c r="EB98" s="130"/>
      <c r="EC98" s="130"/>
      <c r="ED98" s="130"/>
      <c r="EE98" s="130"/>
      <c r="EF98" s="130"/>
      <c r="EG98" s="130"/>
      <c r="EH98" s="130"/>
      <c r="EI98" s="130"/>
      <c r="EJ98" s="130"/>
      <c r="EK98" s="130"/>
      <c r="EL98" s="130"/>
      <c r="EM98" s="130"/>
      <c r="EN98" s="130"/>
      <c r="EO98" s="130"/>
      <c r="EP98" s="130"/>
      <c r="EQ98" s="130"/>
      <c r="ER98" s="130"/>
      <c r="ES98" s="130"/>
      <c r="ET98" s="130"/>
      <c r="EU98" s="130"/>
      <c r="EV98" s="130"/>
      <c r="EW98" s="130"/>
      <c r="EX98" s="130"/>
      <c r="EY98" s="130"/>
      <c r="EZ98" s="130"/>
      <c r="FA98" s="130"/>
      <c r="FB98" s="130"/>
      <c r="FC98" s="130"/>
      <c r="FD98" s="130"/>
      <c r="FE98" s="130"/>
      <c r="FF98" s="130"/>
      <c r="FG98" s="130"/>
      <c r="FH98" s="130"/>
      <c r="FI98" s="130"/>
      <c r="FJ98" s="130"/>
      <c r="FK98" s="130"/>
      <c r="FL98" s="130"/>
      <c r="FM98" s="130"/>
      <c r="FN98" s="130"/>
      <c r="FO98" s="130"/>
      <c r="FP98" s="130"/>
      <c r="FQ98" s="130"/>
      <c r="FR98" s="130"/>
      <c r="FS98" s="130"/>
      <c r="FT98" s="130"/>
      <c r="FU98" s="130"/>
      <c r="FV98" s="130"/>
      <c r="FW98" s="130"/>
      <c r="FX98" s="130"/>
      <c r="FY98" s="130"/>
      <c r="FZ98" s="130"/>
      <c r="GA98" s="130"/>
      <c r="GB98" s="130"/>
      <c r="GC98" s="130"/>
      <c r="GD98" s="130"/>
      <c r="GE98" s="130"/>
      <c r="GF98" s="130"/>
      <c r="GG98" s="130"/>
      <c r="GH98" s="130"/>
      <c r="GI98" s="130"/>
      <c r="GJ98" s="130"/>
      <c r="GK98" s="130"/>
      <c r="GL98" s="130"/>
      <c r="GM98" s="130"/>
      <c r="GN98" s="130"/>
      <c r="GO98" s="130"/>
      <c r="GP98" s="130"/>
      <c r="GQ98" s="130"/>
      <c r="GR98" s="130"/>
      <c r="GS98" s="130"/>
      <c r="GT98" s="130"/>
      <c r="GU98" s="130"/>
      <c r="GV98" s="130"/>
      <c r="GW98" s="130"/>
      <c r="GX98" s="130"/>
      <c r="GY98" s="130"/>
      <c r="GZ98" s="130"/>
      <c r="HA98" s="130"/>
      <c r="HB98" s="130"/>
      <c r="HC98" s="130"/>
      <c r="HD98" s="130"/>
      <c r="HE98" s="130"/>
      <c r="HF98" s="130"/>
      <c r="HG98" s="130"/>
      <c r="HH98" s="130"/>
      <c r="HI98" s="130"/>
      <c r="HJ98" s="130"/>
      <c r="HK98" s="130"/>
      <c r="HL98" s="130"/>
      <c r="HM98" s="130"/>
      <c r="HN98" s="130"/>
      <c r="HO98" s="130"/>
      <c r="HP98" s="130"/>
      <c r="HQ98" s="130"/>
      <c r="HR98" s="130"/>
      <c r="HS98" s="130"/>
      <c r="HT98" s="130"/>
      <c r="HU98" s="130"/>
      <c r="HV98" s="130"/>
      <c r="HW98" s="130"/>
      <c r="HX98" s="130"/>
      <c r="HY98" s="130"/>
      <c r="HZ98" s="130"/>
      <c r="IA98" s="130"/>
      <c r="IB98" s="130"/>
    </row>
    <row r="99" spans="1:236" ht="14.15" customHeight="1">
      <c r="A99" s="130"/>
      <c r="B99" s="129"/>
      <c r="C99" s="129"/>
      <c r="D99" s="129"/>
      <c r="E99" s="129"/>
      <c r="F99" s="129"/>
      <c r="G99" s="129"/>
      <c r="H99" s="129"/>
      <c r="I99" s="129"/>
      <c r="J99" s="129"/>
      <c r="K99" s="129"/>
      <c r="L99" s="129"/>
      <c r="N99" s="1034"/>
      <c r="O99" s="1034"/>
      <c r="P99" s="548"/>
      <c r="Q99" s="548"/>
      <c r="R99" s="548"/>
      <c r="S99" s="548"/>
      <c r="U99" s="549"/>
      <c r="V99" s="548"/>
      <c r="W99" s="548"/>
      <c r="X99" s="548"/>
      <c r="Y99" s="548"/>
      <c r="Z99" s="548"/>
      <c r="AA99" s="548"/>
      <c r="AB99" s="548"/>
      <c r="AC99" s="548"/>
      <c r="AD99" s="548"/>
      <c r="AE99" s="548"/>
      <c r="AF99" s="548"/>
      <c r="AG99" s="548"/>
      <c r="AH99" s="548"/>
      <c r="AI99" s="548"/>
      <c r="AJ99" s="548"/>
      <c r="AK99" s="548"/>
      <c r="AL99" s="130"/>
      <c r="AM99" s="130"/>
      <c r="AN99" s="130"/>
      <c r="AO99" s="130"/>
      <c r="AP99" s="130"/>
      <c r="AQ99" s="130"/>
      <c r="AR99" s="130"/>
      <c r="AS99" s="130"/>
      <c r="AT99" s="130"/>
      <c r="AU99" s="130"/>
      <c r="AV99" s="130"/>
      <c r="AW99" s="130"/>
      <c r="AX99" s="130"/>
      <c r="AY99" s="130"/>
      <c r="AZ99" s="130"/>
      <c r="BA99" s="130"/>
      <c r="BB99" s="130"/>
      <c r="BC99" s="130"/>
      <c r="BD99" s="130"/>
      <c r="BE99" s="130"/>
      <c r="BF99" s="130"/>
      <c r="BG99" s="130"/>
      <c r="BH99" s="130"/>
      <c r="BI99" s="130"/>
      <c r="BJ99" s="130"/>
      <c r="BK99" s="130"/>
      <c r="BL99" s="130"/>
      <c r="BM99" s="130"/>
      <c r="BN99" s="130"/>
      <c r="BO99" s="130"/>
      <c r="BP99" s="130"/>
      <c r="BQ99" s="130"/>
      <c r="BR99" s="130"/>
      <c r="BS99" s="130"/>
      <c r="BT99" s="130"/>
      <c r="BU99" s="130"/>
      <c r="BV99" s="130"/>
      <c r="BW99" s="130"/>
      <c r="BX99" s="130"/>
      <c r="BY99" s="130"/>
      <c r="BZ99" s="130"/>
      <c r="CA99" s="130"/>
      <c r="CB99" s="130"/>
      <c r="CC99" s="130"/>
      <c r="CD99" s="130"/>
      <c r="CE99" s="130"/>
      <c r="CF99" s="130"/>
      <c r="CG99" s="130"/>
      <c r="CH99" s="130"/>
      <c r="CI99" s="130"/>
      <c r="CJ99" s="130"/>
      <c r="CK99" s="130"/>
      <c r="CL99" s="130"/>
      <c r="CM99" s="130"/>
      <c r="CN99" s="130"/>
      <c r="CO99" s="130"/>
      <c r="CP99" s="130"/>
      <c r="CQ99" s="130"/>
      <c r="CR99" s="130"/>
      <c r="CS99" s="130"/>
      <c r="CT99" s="130"/>
      <c r="CU99" s="130"/>
      <c r="CV99" s="130"/>
      <c r="CW99" s="130"/>
      <c r="CX99" s="130"/>
      <c r="CY99" s="130"/>
      <c r="CZ99" s="130"/>
      <c r="DA99" s="130"/>
      <c r="DB99" s="130"/>
      <c r="DC99" s="130"/>
      <c r="DD99" s="130"/>
      <c r="DE99" s="130"/>
      <c r="DF99" s="130"/>
      <c r="DG99" s="130"/>
      <c r="DH99" s="130"/>
      <c r="DI99" s="130"/>
      <c r="DJ99" s="130"/>
      <c r="DK99" s="130"/>
      <c r="DL99" s="130"/>
      <c r="DM99" s="130"/>
      <c r="DN99" s="130"/>
      <c r="DO99" s="130"/>
      <c r="DP99" s="130"/>
      <c r="DQ99" s="130"/>
      <c r="DR99" s="130"/>
      <c r="DS99" s="130"/>
      <c r="DT99" s="130"/>
      <c r="DU99" s="130"/>
      <c r="DV99" s="130"/>
      <c r="DW99" s="130"/>
      <c r="DX99" s="130"/>
      <c r="DY99" s="130"/>
      <c r="DZ99" s="130"/>
      <c r="EA99" s="130"/>
      <c r="EB99" s="130"/>
      <c r="EC99" s="130"/>
      <c r="ED99" s="130"/>
      <c r="EE99" s="130"/>
      <c r="EF99" s="130"/>
      <c r="EG99" s="130"/>
      <c r="EH99" s="130"/>
      <c r="EI99" s="130"/>
      <c r="EJ99" s="130"/>
      <c r="EK99" s="130"/>
      <c r="EL99" s="130"/>
      <c r="EM99" s="130"/>
      <c r="EN99" s="130"/>
      <c r="EO99" s="130"/>
      <c r="EP99" s="130"/>
      <c r="EQ99" s="130"/>
      <c r="ER99" s="130"/>
      <c r="ES99" s="130"/>
      <c r="ET99" s="130"/>
      <c r="EU99" s="130"/>
      <c r="EV99" s="130"/>
      <c r="EW99" s="130"/>
      <c r="EX99" s="130"/>
      <c r="EY99" s="130"/>
      <c r="EZ99" s="130"/>
      <c r="FA99" s="130"/>
      <c r="FB99" s="130"/>
      <c r="FC99" s="130"/>
      <c r="FD99" s="130"/>
      <c r="FE99" s="130"/>
      <c r="FF99" s="130"/>
      <c r="FG99" s="130"/>
      <c r="FH99" s="130"/>
      <c r="FI99" s="130"/>
      <c r="FJ99" s="130"/>
      <c r="FK99" s="130"/>
      <c r="FL99" s="130"/>
      <c r="FM99" s="130"/>
      <c r="FN99" s="130"/>
      <c r="FO99" s="130"/>
      <c r="FP99" s="130"/>
      <c r="FQ99" s="130"/>
      <c r="FR99" s="130"/>
      <c r="FS99" s="130"/>
      <c r="FT99" s="130"/>
      <c r="FU99" s="130"/>
      <c r="FV99" s="130"/>
      <c r="FW99" s="130"/>
      <c r="FX99" s="130"/>
      <c r="FY99" s="130"/>
      <c r="FZ99" s="130"/>
      <c r="GA99" s="130"/>
      <c r="GB99" s="130"/>
      <c r="GC99" s="130"/>
      <c r="GD99" s="130"/>
      <c r="GE99" s="130"/>
      <c r="GF99" s="130"/>
      <c r="GG99" s="130"/>
      <c r="GH99" s="130"/>
      <c r="GI99" s="130"/>
      <c r="GJ99" s="130"/>
      <c r="GK99" s="130"/>
      <c r="GL99" s="130"/>
      <c r="GM99" s="130"/>
      <c r="GN99" s="130"/>
      <c r="GO99" s="130"/>
      <c r="GP99" s="130"/>
      <c r="GQ99" s="130"/>
      <c r="GR99" s="130"/>
      <c r="GS99" s="130"/>
      <c r="GT99" s="130"/>
      <c r="GU99" s="130"/>
      <c r="GV99" s="130"/>
      <c r="GW99" s="130"/>
      <c r="GX99" s="130"/>
      <c r="GY99" s="130"/>
      <c r="GZ99" s="130"/>
      <c r="HA99" s="130"/>
      <c r="HB99" s="130"/>
      <c r="HC99" s="130"/>
      <c r="HD99" s="130"/>
      <c r="HE99" s="130"/>
      <c r="HF99" s="130"/>
      <c r="HG99" s="130"/>
      <c r="HH99" s="130"/>
      <c r="HI99" s="130"/>
      <c r="HJ99" s="130"/>
      <c r="HK99" s="130"/>
      <c r="HL99" s="130"/>
      <c r="HM99" s="130"/>
      <c r="HN99" s="130"/>
      <c r="HO99" s="130"/>
      <c r="HP99" s="130"/>
      <c r="HQ99" s="130"/>
      <c r="HR99" s="130"/>
      <c r="HS99" s="130"/>
      <c r="HT99" s="130"/>
      <c r="HU99" s="130"/>
      <c r="HV99" s="130"/>
      <c r="HW99" s="130"/>
      <c r="HX99" s="130"/>
      <c r="HY99" s="130"/>
      <c r="HZ99" s="130"/>
      <c r="IA99" s="130"/>
      <c r="IB99" s="130"/>
    </row>
    <row r="100" spans="1:236" ht="14.15" customHeight="1">
      <c r="A100" s="130"/>
      <c r="B100" s="129"/>
      <c r="C100" s="129"/>
      <c r="D100" s="129"/>
      <c r="E100" s="129"/>
      <c r="F100" s="129"/>
      <c r="G100" s="129"/>
      <c r="H100" s="129"/>
      <c r="I100" s="129"/>
      <c r="J100" s="129"/>
      <c r="K100" s="129"/>
      <c r="L100" s="129"/>
      <c r="N100" s="1034"/>
      <c r="O100" s="1034"/>
      <c r="P100" s="548"/>
      <c r="Q100" s="548"/>
      <c r="R100" s="548"/>
      <c r="S100" s="548"/>
      <c r="U100" s="549"/>
      <c r="V100" s="548"/>
      <c r="W100" s="548"/>
      <c r="X100" s="548"/>
      <c r="Y100" s="548"/>
      <c r="Z100" s="548"/>
      <c r="AA100" s="548"/>
      <c r="AB100" s="548"/>
      <c r="AC100" s="548"/>
      <c r="AD100" s="548"/>
      <c r="AE100" s="548"/>
      <c r="AF100" s="548"/>
      <c r="AG100" s="548"/>
      <c r="AH100" s="548"/>
      <c r="AI100" s="548"/>
      <c r="AJ100" s="548"/>
      <c r="AK100" s="548"/>
      <c r="AL100" s="130"/>
      <c r="AM100" s="130"/>
      <c r="AN100" s="130"/>
      <c r="AO100" s="130"/>
      <c r="AP100" s="130"/>
      <c r="AQ100" s="130"/>
      <c r="AR100" s="130"/>
      <c r="AS100" s="130"/>
      <c r="AT100" s="130"/>
      <c r="AU100" s="130"/>
      <c r="AV100" s="130"/>
      <c r="AW100" s="130"/>
      <c r="AX100" s="130"/>
      <c r="AY100" s="130"/>
      <c r="AZ100" s="130"/>
      <c r="BA100" s="130"/>
      <c r="BB100" s="130"/>
      <c r="BC100" s="130"/>
      <c r="BD100" s="130"/>
      <c r="BE100" s="130"/>
      <c r="BF100" s="130"/>
      <c r="BG100" s="130"/>
      <c r="BH100" s="130"/>
      <c r="BI100" s="130"/>
      <c r="BJ100" s="130"/>
      <c r="BK100" s="130"/>
      <c r="BL100" s="130"/>
      <c r="BM100" s="130"/>
      <c r="BN100" s="130"/>
      <c r="BO100" s="130"/>
      <c r="BP100" s="130"/>
      <c r="BQ100" s="130"/>
      <c r="BR100" s="130"/>
      <c r="BS100" s="130"/>
      <c r="BT100" s="130"/>
      <c r="BU100" s="130"/>
      <c r="BV100" s="130"/>
      <c r="BW100" s="130"/>
      <c r="BX100" s="130"/>
      <c r="BY100" s="130"/>
      <c r="BZ100" s="130"/>
      <c r="CA100" s="130"/>
      <c r="CB100" s="130"/>
      <c r="CC100" s="130"/>
      <c r="CD100" s="130"/>
      <c r="CE100" s="130"/>
      <c r="CF100" s="130"/>
      <c r="CG100" s="130"/>
      <c r="CH100" s="130"/>
      <c r="CI100" s="130"/>
      <c r="CJ100" s="130"/>
      <c r="CK100" s="130"/>
      <c r="CL100" s="130"/>
      <c r="CM100" s="130"/>
      <c r="CN100" s="130"/>
      <c r="CO100" s="130"/>
      <c r="CP100" s="130"/>
      <c r="CQ100" s="130"/>
      <c r="CR100" s="130"/>
      <c r="CS100" s="130"/>
      <c r="CT100" s="130"/>
      <c r="CU100" s="130"/>
      <c r="CV100" s="130"/>
      <c r="CW100" s="130"/>
      <c r="CX100" s="130"/>
      <c r="CY100" s="130"/>
      <c r="CZ100" s="130"/>
      <c r="DA100" s="130"/>
      <c r="DB100" s="130"/>
      <c r="DC100" s="130"/>
      <c r="DD100" s="130"/>
      <c r="DE100" s="130"/>
      <c r="DF100" s="130"/>
      <c r="DG100" s="130"/>
      <c r="DH100" s="130"/>
      <c r="DI100" s="130"/>
      <c r="DJ100" s="130"/>
      <c r="DK100" s="130"/>
      <c r="DL100" s="130"/>
      <c r="DM100" s="130"/>
      <c r="DN100" s="130"/>
      <c r="DO100" s="130"/>
      <c r="DP100" s="130"/>
      <c r="DQ100" s="130"/>
      <c r="DR100" s="130"/>
      <c r="DS100" s="130"/>
      <c r="DT100" s="130"/>
      <c r="DU100" s="130"/>
      <c r="DV100" s="130"/>
      <c r="DW100" s="130"/>
      <c r="DX100" s="130"/>
      <c r="DY100" s="130"/>
      <c r="DZ100" s="130"/>
      <c r="EA100" s="130"/>
      <c r="EB100" s="130"/>
      <c r="EC100" s="130"/>
      <c r="ED100" s="130"/>
      <c r="EE100" s="130"/>
      <c r="EF100" s="130"/>
      <c r="EG100" s="130"/>
      <c r="EH100" s="130"/>
      <c r="EI100" s="130"/>
      <c r="EJ100" s="130"/>
      <c r="EK100" s="130"/>
      <c r="EL100" s="130"/>
      <c r="EM100" s="130"/>
      <c r="EN100" s="130"/>
      <c r="EO100" s="130"/>
      <c r="EP100" s="130"/>
      <c r="EQ100" s="130"/>
      <c r="ER100" s="130"/>
      <c r="ES100" s="130"/>
      <c r="ET100" s="130"/>
      <c r="EU100" s="130"/>
      <c r="EV100" s="130"/>
      <c r="EW100" s="130"/>
      <c r="EX100" s="130"/>
      <c r="EY100" s="130"/>
      <c r="EZ100" s="130"/>
      <c r="FA100" s="130"/>
      <c r="FB100" s="130"/>
      <c r="FC100" s="130"/>
      <c r="FD100" s="130"/>
      <c r="FE100" s="130"/>
      <c r="FF100" s="130"/>
      <c r="FG100" s="130"/>
      <c r="FH100" s="130"/>
      <c r="FI100" s="130"/>
      <c r="FJ100" s="130"/>
      <c r="FK100" s="130"/>
      <c r="FL100" s="130"/>
      <c r="FM100" s="130"/>
      <c r="FN100" s="130"/>
      <c r="FO100" s="130"/>
      <c r="FP100" s="130"/>
      <c r="FQ100" s="130"/>
      <c r="FR100" s="130"/>
      <c r="FS100" s="130"/>
      <c r="FT100" s="130"/>
      <c r="FU100" s="130"/>
      <c r="FV100" s="130"/>
      <c r="FW100" s="130"/>
      <c r="FX100" s="130"/>
      <c r="FY100" s="130"/>
      <c r="FZ100" s="130"/>
      <c r="GA100" s="130"/>
      <c r="GB100" s="130"/>
      <c r="GC100" s="130"/>
      <c r="GD100" s="130"/>
      <c r="GE100" s="130"/>
      <c r="GF100" s="130"/>
      <c r="GG100" s="130"/>
      <c r="GH100" s="130"/>
      <c r="GI100" s="130"/>
      <c r="GJ100" s="130"/>
      <c r="GK100" s="130"/>
      <c r="GL100" s="130"/>
      <c r="GM100" s="130"/>
      <c r="GN100" s="130"/>
      <c r="GO100" s="130"/>
      <c r="GP100" s="130"/>
      <c r="GQ100" s="130"/>
      <c r="GR100" s="130"/>
      <c r="GS100" s="130"/>
      <c r="GT100" s="130"/>
      <c r="GU100" s="130"/>
      <c r="GV100" s="130"/>
      <c r="GW100" s="130"/>
      <c r="GX100" s="130"/>
      <c r="GY100" s="130"/>
      <c r="GZ100" s="130"/>
      <c r="HA100" s="130"/>
      <c r="HB100" s="130"/>
      <c r="HC100" s="130"/>
      <c r="HD100" s="130"/>
      <c r="HE100" s="130"/>
      <c r="HF100" s="130"/>
      <c r="HG100" s="130"/>
      <c r="HH100" s="130"/>
      <c r="HI100" s="130"/>
      <c r="HJ100" s="130"/>
      <c r="HK100" s="130"/>
      <c r="HL100" s="130"/>
      <c r="HM100" s="130"/>
      <c r="HN100" s="130"/>
      <c r="HO100" s="130"/>
      <c r="HP100" s="130"/>
      <c r="HQ100" s="130"/>
      <c r="HR100" s="130"/>
      <c r="HS100" s="130"/>
      <c r="HT100" s="130"/>
      <c r="HU100" s="130"/>
      <c r="HV100" s="130"/>
      <c r="HW100" s="130"/>
      <c r="HX100" s="130"/>
      <c r="HY100" s="130"/>
      <c r="HZ100" s="130"/>
      <c r="IA100" s="130"/>
      <c r="IB100" s="130"/>
    </row>
    <row r="101" spans="1:236" ht="14.15" customHeight="1">
      <c r="A101" s="130"/>
      <c r="B101" s="129"/>
      <c r="C101" s="129"/>
      <c r="D101" s="129"/>
      <c r="E101" s="129"/>
      <c r="F101" s="129"/>
      <c r="G101" s="129"/>
      <c r="H101" s="129"/>
      <c r="I101" s="129"/>
      <c r="J101" s="129"/>
      <c r="K101" s="129"/>
      <c r="L101" s="129"/>
      <c r="N101" s="1034"/>
      <c r="O101" s="1034"/>
      <c r="P101" s="548"/>
      <c r="Q101" s="548"/>
      <c r="R101" s="548"/>
      <c r="S101" s="548"/>
      <c r="U101" s="549"/>
      <c r="V101" s="548"/>
      <c r="W101" s="548"/>
      <c r="X101" s="548"/>
      <c r="Y101" s="548"/>
      <c r="Z101" s="548"/>
      <c r="AA101" s="548"/>
      <c r="AB101" s="548"/>
      <c r="AC101" s="548"/>
      <c r="AD101" s="548"/>
      <c r="AE101" s="548"/>
      <c r="AF101" s="548"/>
      <c r="AG101" s="548"/>
      <c r="AH101" s="548"/>
      <c r="AI101" s="548"/>
      <c r="AJ101" s="548"/>
      <c r="AK101" s="548"/>
      <c r="AL101" s="130"/>
      <c r="AM101" s="130"/>
      <c r="AN101" s="130"/>
      <c r="AO101" s="130"/>
      <c r="AP101" s="130"/>
      <c r="AQ101" s="130"/>
      <c r="AR101" s="130"/>
      <c r="AS101" s="130"/>
      <c r="AT101" s="130"/>
      <c r="AU101" s="130"/>
      <c r="AV101" s="130"/>
      <c r="AW101" s="130"/>
      <c r="AX101" s="130"/>
      <c r="AY101" s="130"/>
      <c r="AZ101" s="130"/>
      <c r="BA101" s="130"/>
      <c r="BB101" s="130"/>
      <c r="BC101" s="130"/>
      <c r="BD101" s="130"/>
      <c r="BE101" s="130"/>
      <c r="BF101" s="130"/>
      <c r="BG101" s="130"/>
      <c r="BH101" s="130"/>
      <c r="BI101" s="130"/>
      <c r="BJ101" s="130"/>
      <c r="BK101" s="130"/>
      <c r="BL101" s="130"/>
      <c r="BM101" s="130"/>
      <c r="BN101" s="130"/>
      <c r="BO101" s="130"/>
      <c r="BP101" s="130"/>
      <c r="BQ101" s="130"/>
      <c r="BR101" s="130"/>
      <c r="BS101" s="130"/>
      <c r="BT101" s="130"/>
      <c r="BU101" s="130"/>
      <c r="BV101" s="130"/>
      <c r="BW101" s="130"/>
      <c r="BX101" s="130"/>
      <c r="BY101" s="130"/>
      <c r="BZ101" s="130"/>
      <c r="CA101" s="130"/>
      <c r="CB101" s="130"/>
      <c r="CC101" s="130"/>
      <c r="CD101" s="130"/>
      <c r="CE101" s="130"/>
      <c r="CF101" s="130"/>
      <c r="CG101" s="130"/>
      <c r="CH101" s="130"/>
      <c r="CI101" s="130"/>
      <c r="CJ101" s="130"/>
      <c r="CK101" s="130"/>
      <c r="CL101" s="130"/>
      <c r="CM101" s="130"/>
      <c r="CN101" s="130"/>
      <c r="CO101" s="130"/>
      <c r="CP101" s="130"/>
      <c r="CQ101" s="130"/>
      <c r="CR101" s="130"/>
      <c r="CS101" s="130"/>
      <c r="CT101" s="130"/>
      <c r="CU101" s="130"/>
      <c r="CV101" s="130"/>
      <c r="CW101" s="130"/>
      <c r="CX101" s="130"/>
      <c r="CY101" s="130"/>
      <c r="CZ101" s="130"/>
      <c r="DA101" s="130"/>
      <c r="DB101" s="130"/>
      <c r="DC101" s="130"/>
      <c r="DD101" s="130"/>
      <c r="DE101" s="130"/>
      <c r="DF101" s="130"/>
      <c r="DG101" s="130"/>
      <c r="DH101" s="130"/>
      <c r="DI101" s="130"/>
      <c r="DJ101" s="130"/>
      <c r="DK101" s="130"/>
      <c r="DL101" s="130"/>
      <c r="DM101" s="130"/>
      <c r="DN101" s="130"/>
      <c r="DO101" s="130"/>
      <c r="DP101" s="130"/>
      <c r="DQ101" s="130"/>
      <c r="DR101" s="130"/>
      <c r="DS101" s="130"/>
      <c r="DT101" s="130"/>
      <c r="DU101" s="130"/>
      <c r="DV101" s="130"/>
      <c r="DW101" s="130"/>
      <c r="DX101" s="130"/>
      <c r="DY101" s="130"/>
      <c r="DZ101" s="130"/>
      <c r="EA101" s="130"/>
      <c r="EB101" s="130"/>
      <c r="EC101" s="130"/>
      <c r="ED101" s="130"/>
      <c r="EE101" s="130"/>
      <c r="EF101" s="130"/>
      <c r="EG101" s="130"/>
      <c r="EH101" s="130"/>
      <c r="EI101" s="130"/>
      <c r="EJ101" s="130"/>
      <c r="EK101" s="130"/>
      <c r="EL101" s="130"/>
      <c r="EM101" s="130"/>
      <c r="EN101" s="130"/>
      <c r="EO101" s="130"/>
      <c r="EP101" s="130"/>
      <c r="EQ101" s="130"/>
      <c r="ER101" s="130"/>
      <c r="ES101" s="130"/>
      <c r="ET101" s="130"/>
      <c r="EU101" s="130"/>
      <c r="EV101" s="130"/>
      <c r="EW101" s="130"/>
      <c r="EX101" s="130"/>
      <c r="EY101" s="130"/>
      <c r="EZ101" s="130"/>
      <c r="FA101" s="130"/>
      <c r="FB101" s="130"/>
      <c r="FC101" s="130"/>
      <c r="FD101" s="130"/>
      <c r="FE101" s="130"/>
      <c r="FF101" s="130"/>
      <c r="FG101" s="130"/>
      <c r="FH101" s="130"/>
      <c r="FI101" s="130"/>
      <c r="FJ101" s="130"/>
      <c r="FK101" s="130"/>
      <c r="FL101" s="130"/>
      <c r="FM101" s="130"/>
      <c r="FN101" s="130"/>
      <c r="FO101" s="130"/>
      <c r="FP101" s="130"/>
      <c r="FQ101" s="130"/>
      <c r="FR101" s="130"/>
      <c r="FS101" s="130"/>
      <c r="FT101" s="130"/>
      <c r="FU101" s="130"/>
      <c r="FV101" s="130"/>
      <c r="FW101" s="130"/>
      <c r="FX101" s="130"/>
      <c r="FY101" s="130"/>
      <c r="FZ101" s="130"/>
      <c r="GA101" s="130"/>
      <c r="GB101" s="130"/>
      <c r="GC101" s="130"/>
      <c r="GD101" s="130"/>
      <c r="GE101" s="130"/>
      <c r="GF101" s="130"/>
      <c r="GG101" s="130"/>
      <c r="GH101" s="130"/>
      <c r="GI101" s="130"/>
      <c r="GJ101" s="130"/>
      <c r="GK101" s="130"/>
      <c r="GL101" s="130"/>
      <c r="GM101" s="130"/>
      <c r="GN101" s="130"/>
      <c r="GO101" s="130"/>
      <c r="GP101" s="130"/>
      <c r="GQ101" s="130"/>
      <c r="GR101" s="130"/>
      <c r="GS101" s="130"/>
      <c r="GT101" s="130"/>
      <c r="GU101" s="130"/>
      <c r="GV101" s="130"/>
      <c r="GW101" s="130"/>
      <c r="GX101" s="130"/>
      <c r="GY101" s="130"/>
      <c r="GZ101" s="130"/>
      <c r="HA101" s="130"/>
      <c r="HB101" s="130"/>
      <c r="HC101" s="130"/>
      <c r="HD101" s="130"/>
      <c r="HE101" s="130"/>
      <c r="HF101" s="130"/>
      <c r="HG101" s="130"/>
      <c r="HH101" s="130"/>
      <c r="HI101" s="130"/>
      <c r="HJ101" s="130"/>
      <c r="HK101" s="130"/>
      <c r="HL101" s="130"/>
      <c r="HM101" s="130"/>
      <c r="HN101" s="130"/>
      <c r="HO101" s="130"/>
      <c r="HP101" s="130"/>
      <c r="HQ101" s="130"/>
      <c r="HR101" s="130"/>
      <c r="HS101" s="130"/>
      <c r="HT101" s="130"/>
      <c r="HU101" s="130"/>
      <c r="HV101" s="130"/>
      <c r="HW101" s="130"/>
      <c r="HX101" s="130"/>
      <c r="HY101" s="130"/>
      <c r="HZ101" s="130"/>
      <c r="IA101" s="130"/>
      <c r="IB101" s="130"/>
    </row>
    <row r="102" spans="1:236" ht="14.15" customHeight="1">
      <c r="A102" s="130"/>
      <c r="B102" s="129"/>
      <c r="C102" s="129"/>
      <c r="D102" s="129"/>
      <c r="E102" s="129"/>
      <c r="F102" s="129"/>
      <c r="G102" s="129"/>
      <c r="H102" s="129"/>
      <c r="I102" s="129"/>
      <c r="J102" s="129"/>
      <c r="K102" s="129"/>
      <c r="L102" s="129"/>
      <c r="N102" s="1034"/>
      <c r="O102" s="1034"/>
      <c r="P102" s="548"/>
      <c r="Q102" s="548"/>
      <c r="R102" s="548"/>
      <c r="S102" s="548"/>
      <c r="U102" s="549"/>
      <c r="V102" s="548"/>
      <c r="W102" s="548"/>
      <c r="X102" s="548"/>
      <c r="Y102" s="548"/>
      <c r="Z102" s="548"/>
      <c r="AA102" s="548"/>
      <c r="AB102" s="548"/>
      <c r="AC102" s="548"/>
      <c r="AD102" s="548"/>
      <c r="AE102" s="548"/>
      <c r="AF102" s="548"/>
      <c r="AG102" s="548"/>
      <c r="AH102" s="548"/>
      <c r="AI102" s="548"/>
      <c r="AJ102" s="548"/>
      <c r="AK102" s="548"/>
      <c r="AL102" s="130"/>
      <c r="AM102" s="130"/>
      <c r="AN102" s="130"/>
      <c r="AO102" s="130"/>
      <c r="AP102" s="130"/>
      <c r="AQ102" s="130"/>
      <c r="AR102" s="130"/>
      <c r="AS102" s="130"/>
      <c r="AT102" s="130"/>
      <c r="AU102" s="130"/>
      <c r="AV102" s="130"/>
      <c r="AW102" s="130"/>
      <c r="AX102" s="130"/>
      <c r="AY102" s="130"/>
      <c r="AZ102" s="130"/>
      <c r="BA102" s="130"/>
      <c r="BB102" s="130"/>
      <c r="BC102" s="130"/>
      <c r="BD102" s="130"/>
      <c r="BE102" s="130"/>
      <c r="BF102" s="130"/>
      <c r="BG102" s="130"/>
      <c r="BH102" s="130"/>
      <c r="BI102" s="130"/>
      <c r="BJ102" s="130"/>
      <c r="BK102" s="130"/>
      <c r="BL102" s="130"/>
      <c r="BM102" s="130"/>
      <c r="BN102" s="130"/>
      <c r="BO102" s="130"/>
      <c r="BP102" s="130"/>
      <c r="BQ102" s="130"/>
      <c r="BR102" s="130"/>
      <c r="BS102" s="130"/>
      <c r="BT102" s="130"/>
      <c r="BU102" s="130"/>
      <c r="BV102" s="130"/>
      <c r="BW102" s="130"/>
      <c r="BX102" s="130"/>
      <c r="BY102" s="130"/>
      <c r="BZ102" s="130"/>
      <c r="CA102" s="130"/>
      <c r="CB102" s="130"/>
      <c r="CC102" s="130"/>
      <c r="CD102" s="130"/>
      <c r="CE102" s="130"/>
      <c r="CF102" s="130"/>
      <c r="CG102" s="130"/>
      <c r="CH102" s="130"/>
      <c r="CI102" s="130"/>
      <c r="CJ102" s="130"/>
      <c r="CK102" s="130"/>
      <c r="CL102" s="130"/>
      <c r="CM102" s="130"/>
      <c r="CN102" s="130"/>
      <c r="CO102" s="130"/>
      <c r="CP102" s="130"/>
      <c r="CQ102" s="130"/>
      <c r="CR102" s="130"/>
      <c r="CS102" s="130"/>
      <c r="CT102" s="130"/>
      <c r="CU102" s="130"/>
      <c r="CV102" s="130"/>
      <c r="CW102" s="130"/>
      <c r="CX102" s="130"/>
      <c r="CY102" s="130"/>
      <c r="CZ102" s="130"/>
      <c r="DA102" s="130"/>
      <c r="DB102" s="130"/>
      <c r="DC102" s="130"/>
      <c r="DD102" s="130"/>
      <c r="DE102" s="130"/>
      <c r="DF102" s="130"/>
      <c r="DG102" s="130"/>
      <c r="DH102" s="130"/>
      <c r="DI102" s="130"/>
      <c r="DJ102" s="130"/>
      <c r="DK102" s="130"/>
      <c r="DL102" s="130"/>
      <c r="DM102" s="130"/>
      <c r="DN102" s="130"/>
      <c r="DO102" s="130"/>
      <c r="DP102" s="130"/>
      <c r="DQ102" s="130"/>
      <c r="DR102" s="130"/>
      <c r="DS102" s="130"/>
      <c r="DT102" s="130"/>
      <c r="DU102" s="130"/>
      <c r="DV102" s="130"/>
      <c r="DW102" s="130"/>
      <c r="DX102" s="130"/>
      <c r="DY102" s="130"/>
      <c r="DZ102" s="130"/>
      <c r="EA102" s="130"/>
      <c r="EB102" s="130"/>
      <c r="EC102" s="130"/>
      <c r="ED102" s="130"/>
      <c r="EE102" s="130"/>
      <c r="EF102" s="130"/>
      <c r="EG102" s="130"/>
      <c r="EH102" s="130"/>
      <c r="EI102" s="130"/>
      <c r="EJ102" s="130"/>
      <c r="EK102" s="130"/>
      <c r="EL102" s="130"/>
      <c r="EM102" s="130"/>
      <c r="EN102" s="130"/>
      <c r="EO102" s="130"/>
      <c r="EP102" s="130"/>
      <c r="EQ102" s="130"/>
      <c r="ER102" s="130"/>
      <c r="ES102" s="130"/>
      <c r="ET102" s="130"/>
      <c r="EU102" s="130"/>
      <c r="EV102" s="130"/>
      <c r="EW102" s="130"/>
      <c r="EX102" s="130"/>
      <c r="EY102" s="130"/>
      <c r="EZ102" s="130"/>
      <c r="FA102" s="130"/>
      <c r="FB102" s="130"/>
      <c r="FC102" s="130"/>
      <c r="FD102" s="130"/>
      <c r="FE102" s="130"/>
      <c r="FF102" s="130"/>
      <c r="FG102" s="130"/>
      <c r="FH102" s="130"/>
      <c r="FI102" s="130"/>
      <c r="FJ102" s="130"/>
      <c r="FK102" s="130"/>
      <c r="FL102" s="130"/>
      <c r="FM102" s="130"/>
      <c r="FN102" s="130"/>
      <c r="FO102" s="130"/>
      <c r="FP102" s="130"/>
      <c r="FQ102" s="130"/>
      <c r="FR102" s="130"/>
      <c r="FS102" s="130"/>
      <c r="FT102" s="130"/>
      <c r="FU102" s="130"/>
      <c r="FV102" s="130"/>
      <c r="FW102" s="130"/>
      <c r="FX102" s="130"/>
      <c r="FY102" s="130"/>
      <c r="FZ102" s="130"/>
      <c r="GA102" s="130"/>
      <c r="GB102" s="130"/>
      <c r="GC102" s="130"/>
      <c r="GD102" s="130"/>
      <c r="GE102" s="130"/>
      <c r="GF102" s="130"/>
      <c r="GG102" s="130"/>
      <c r="GH102" s="130"/>
      <c r="GI102" s="130"/>
      <c r="GJ102" s="130"/>
      <c r="GK102" s="130"/>
      <c r="GL102" s="130"/>
      <c r="GM102" s="130"/>
      <c r="GN102" s="130"/>
      <c r="GO102" s="130"/>
      <c r="GP102" s="130"/>
      <c r="GQ102" s="130"/>
      <c r="GR102" s="130"/>
      <c r="GS102" s="130"/>
      <c r="GT102" s="130"/>
      <c r="GU102" s="130"/>
      <c r="GV102" s="130"/>
      <c r="GW102" s="130"/>
      <c r="GX102" s="130"/>
      <c r="GY102" s="130"/>
      <c r="GZ102" s="130"/>
      <c r="HA102" s="130"/>
      <c r="HB102" s="130"/>
      <c r="HC102" s="130"/>
      <c r="HD102" s="130"/>
      <c r="HE102" s="130"/>
      <c r="HF102" s="130"/>
      <c r="HG102" s="130"/>
      <c r="HH102" s="130"/>
      <c r="HI102" s="130"/>
      <c r="HJ102" s="130"/>
      <c r="HK102" s="130"/>
      <c r="HL102" s="130"/>
      <c r="HM102" s="130"/>
      <c r="HN102" s="130"/>
      <c r="HO102" s="130"/>
      <c r="HP102" s="130"/>
      <c r="HQ102" s="130"/>
      <c r="HR102" s="130"/>
      <c r="HS102" s="130"/>
      <c r="HT102" s="130"/>
      <c r="HU102" s="130"/>
      <c r="HV102" s="130"/>
      <c r="HW102" s="130"/>
      <c r="HX102" s="130"/>
      <c r="HY102" s="130"/>
      <c r="HZ102" s="130"/>
      <c r="IA102" s="130"/>
      <c r="IB102" s="130"/>
    </row>
    <row r="103" spans="1:236" ht="14.15" customHeight="1">
      <c r="A103" s="130"/>
      <c r="B103" s="129"/>
      <c r="C103" s="129"/>
      <c r="D103" s="129"/>
      <c r="E103" s="129"/>
      <c r="F103" s="129"/>
      <c r="G103" s="129"/>
      <c r="H103" s="129"/>
      <c r="I103" s="129"/>
      <c r="J103" s="129"/>
      <c r="K103" s="129"/>
      <c r="L103" s="129"/>
      <c r="N103" s="1034"/>
      <c r="O103" s="1034"/>
      <c r="P103" s="548"/>
      <c r="Q103" s="548"/>
      <c r="R103" s="548"/>
      <c r="S103" s="548"/>
      <c r="U103" s="549"/>
      <c r="V103" s="548"/>
      <c r="W103" s="548"/>
      <c r="X103" s="548"/>
      <c r="Y103" s="548"/>
      <c r="Z103" s="548"/>
      <c r="AA103" s="548"/>
      <c r="AB103" s="548"/>
      <c r="AC103" s="548"/>
      <c r="AD103" s="548"/>
      <c r="AE103" s="548"/>
      <c r="AF103" s="548"/>
      <c r="AG103" s="548"/>
      <c r="AH103" s="548"/>
      <c r="AI103" s="548"/>
      <c r="AJ103" s="548"/>
      <c r="AK103" s="548"/>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30"/>
      <c r="BL103" s="130"/>
      <c r="BM103" s="130"/>
      <c r="BN103" s="130"/>
      <c r="BO103" s="130"/>
      <c r="BP103" s="130"/>
      <c r="BQ103" s="130"/>
      <c r="BR103" s="130"/>
      <c r="BS103" s="130"/>
      <c r="BT103" s="130"/>
      <c r="BU103" s="130"/>
      <c r="BV103" s="130"/>
      <c r="BW103" s="130"/>
      <c r="BX103" s="130"/>
      <c r="BY103" s="130"/>
      <c r="BZ103" s="130"/>
      <c r="CA103" s="130"/>
      <c r="CB103" s="130"/>
      <c r="CC103" s="130"/>
      <c r="CD103" s="130"/>
      <c r="CE103" s="130"/>
      <c r="CF103" s="130"/>
      <c r="CG103" s="130"/>
      <c r="CH103" s="130"/>
      <c r="CI103" s="130"/>
      <c r="CJ103" s="130"/>
      <c r="CK103" s="130"/>
      <c r="CL103" s="130"/>
      <c r="CM103" s="130"/>
      <c r="CN103" s="130"/>
      <c r="CO103" s="130"/>
      <c r="CP103" s="130"/>
      <c r="CQ103" s="130"/>
      <c r="CR103" s="130"/>
      <c r="CS103" s="130"/>
      <c r="CT103" s="130"/>
      <c r="CU103" s="130"/>
      <c r="CV103" s="130"/>
      <c r="CW103" s="130"/>
      <c r="CX103" s="130"/>
      <c r="CY103" s="130"/>
      <c r="CZ103" s="130"/>
      <c r="DA103" s="130"/>
      <c r="DB103" s="130"/>
      <c r="DC103" s="130"/>
      <c r="DD103" s="130"/>
      <c r="DE103" s="130"/>
      <c r="DF103" s="130"/>
      <c r="DG103" s="130"/>
      <c r="DH103" s="130"/>
      <c r="DI103" s="130"/>
      <c r="DJ103" s="130"/>
      <c r="DK103" s="130"/>
      <c r="DL103" s="130"/>
      <c r="DM103" s="130"/>
      <c r="DN103" s="130"/>
      <c r="DO103" s="130"/>
      <c r="DP103" s="130"/>
      <c r="DQ103" s="130"/>
      <c r="DR103" s="130"/>
      <c r="DS103" s="130"/>
      <c r="DT103" s="130"/>
      <c r="DU103" s="130"/>
      <c r="DV103" s="130"/>
      <c r="DW103" s="130"/>
      <c r="DX103" s="130"/>
      <c r="DY103" s="130"/>
      <c r="DZ103" s="130"/>
      <c r="EA103" s="130"/>
      <c r="EB103" s="130"/>
      <c r="EC103" s="130"/>
      <c r="ED103" s="130"/>
      <c r="EE103" s="130"/>
      <c r="EF103" s="130"/>
      <c r="EG103" s="130"/>
      <c r="EH103" s="130"/>
      <c r="EI103" s="130"/>
      <c r="EJ103" s="130"/>
      <c r="EK103" s="130"/>
      <c r="EL103" s="130"/>
      <c r="EM103" s="130"/>
      <c r="EN103" s="130"/>
      <c r="EO103" s="130"/>
      <c r="EP103" s="130"/>
      <c r="EQ103" s="130"/>
      <c r="ER103" s="130"/>
      <c r="ES103" s="130"/>
      <c r="ET103" s="130"/>
      <c r="EU103" s="130"/>
      <c r="EV103" s="130"/>
      <c r="EW103" s="130"/>
      <c r="EX103" s="130"/>
      <c r="EY103" s="130"/>
      <c r="EZ103" s="130"/>
      <c r="FA103" s="130"/>
      <c r="FB103" s="130"/>
      <c r="FC103" s="130"/>
      <c r="FD103" s="130"/>
      <c r="FE103" s="130"/>
      <c r="FF103" s="130"/>
      <c r="FG103" s="130"/>
      <c r="FH103" s="130"/>
      <c r="FI103" s="130"/>
      <c r="FJ103" s="130"/>
      <c r="FK103" s="130"/>
      <c r="FL103" s="130"/>
      <c r="FM103" s="130"/>
      <c r="FN103" s="130"/>
      <c r="FO103" s="130"/>
      <c r="FP103" s="130"/>
      <c r="FQ103" s="130"/>
      <c r="FR103" s="130"/>
      <c r="FS103" s="130"/>
      <c r="FT103" s="130"/>
      <c r="FU103" s="130"/>
      <c r="FV103" s="130"/>
      <c r="FW103" s="130"/>
      <c r="FX103" s="130"/>
      <c r="FY103" s="130"/>
      <c r="FZ103" s="130"/>
      <c r="GA103" s="130"/>
      <c r="GB103" s="130"/>
      <c r="GC103" s="130"/>
      <c r="GD103" s="130"/>
      <c r="GE103" s="130"/>
      <c r="GF103" s="130"/>
      <c r="GG103" s="130"/>
      <c r="GH103" s="130"/>
      <c r="GI103" s="130"/>
      <c r="GJ103" s="130"/>
      <c r="GK103" s="130"/>
      <c r="GL103" s="130"/>
      <c r="GM103" s="130"/>
      <c r="GN103" s="130"/>
      <c r="GO103" s="130"/>
      <c r="GP103" s="130"/>
      <c r="GQ103" s="130"/>
      <c r="GR103" s="130"/>
      <c r="GS103" s="130"/>
      <c r="GT103" s="130"/>
      <c r="GU103" s="130"/>
      <c r="GV103" s="130"/>
      <c r="GW103" s="130"/>
      <c r="GX103" s="130"/>
      <c r="GY103" s="130"/>
      <c r="GZ103" s="130"/>
      <c r="HA103" s="130"/>
      <c r="HB103" s="130"/>
      <c r="HC103" s="130"/>
      <c r="HD103" s="130"/>
      <c r="HE103" s="130"/>
      <c r="HF103" s="130"/>
      <c r="HG103" s="130"/>
      <c r="HH103" s="130"/>
      <c r="HI103" s="130"/>
      <c r="HJ103" s="130"/>
      <c r="HK103" s="130"/>
      <c r="HL103" s="130"/>
      <c r="HM103" s="130"/>
      <c r="HN103" s="130"/>
      <c r="HO103" s="130"/>
      <c r="HP103" s="130"/>
      <c r="HQ103" s="130"/>
      <c r="HR103" s="130"/>
      <c r="HS103" s="130"/>
      <c r="HT103" s="130"/>
      <c r="HU103" s="130"/>
      <c r="HV103" s="130"/>
      <c r="HW103" s="130"/>
      <c r="HX103" s="130"/>
      <c r="HY103" s="130"/>
      <c r="HZ103" s="130"/>
      <c r="IA103" s="130"/>
      <c r="IB103" s="130"/>
    </row>
    <row r="104" spans="1:236" ht="14.15" customHeight="1">
      <c r="A104" s="130"/>
      <c r="B104" s="129"/>
      <c r="C104" s="129"/>
      <c r="D104" s="129"/>
      <c r="E104" s="129"/>
      <c r="F104" s="129"/>
      <c r="G104" s="129"/>
      <c r="H104" s="129"/>
      <c r="I104" s="129"/>
      <c r="J104" s="129"/>
      <c r="K104" s="129"/>
      <c r="L104" s="129"/>
      <c r="N104" s="1034"/>
      <c r="O104" s="1034"/>
      <c r="P104" s="548"/>
      <c r="Q104" s="548"/>
      <c r="R104" s="548"/>
      <c r="S104" s="548"/>
      <c r="U104" s="549"/>
      <c r="V104" s="548"/>
      <c r="W104" s="548"/>
      <c r="X104" s="548"/>
      <c r="Y104" s="548"/>
      <c r="Z104" s="548"/>
      <c r="AA104" s="548"/>
      <c r="AB104" s="548"/>
      <c r="AC104" s="548"/>
      <c r="AD104" s="548"/>
      <c r="AE104" s="548"/>
      <c r="AF104" s="548"/>
      <c r="AG104" s="548"/>
      <c r="AH104" s="548"/>
      <c r="AI104" s="548"/>
      <c r="AJ104" s="548"/>
      <c r="AK104" s="548"/>
      <c r="AL104" s="130"/>
      <c r="AM104" s="130"/>
      <c r="AN104" s="130"/>
      <c r="AO104" s="130"/>
      <c r="AP104" s="130"/>
      <c r="AQ104" s="130"/>
      <c r="AR104" s="130"/>
      <c r="AS104" s="130"/>
      <c r="AT104" s="130"/>
      <c r="AU104" s="130"/>
      <c r="AV104" s="130"/>
      <c r="AW104" s="130"/>
      <c r="AX104" s="130"/>
      <c r="AY104" s="130"/>
      <c r="AZ104" s="130"/>
      <c r="BA104" s="130"/>
      <c r="BB104" s="130"/>
      <c r="BC104" s="130"/>
      <c r="BD104" s="130"/>
      <c r="BE104" s="130"/>
      <c r="BF104" s="130"/>
      <c r="BG104" s="130"/>
      <c r="BH104" s="130"/>
      <c r="BI104" s="130"/>
      <c r="BJ104" s="130"/>
      <c r="BK104" s="130"/>
      <c r="BL104" s="130"/>
      <c r="BM104" s="130"/>
      <c r="BN104" s="130"/>
      <c r="BO104" s="130"/>
      <c r="BP104" s="130"/>
      <c r="BQ104" s="130"/>
      <c r="BR104" s="130"/>
      <c r="BS104" s="130"/>
      <c r="BT104" s="130"/>
      <c r="BU104" s="130"/>
      <c r="BV104" s="130"/>
      <c r="BW104" s="130"/>
      <c r="BX104" s="130"/>
      <c r="BY104" s="130"/>
      <c r="BZ104" s="130"/>
      <c r="CA104" s="130"/>
      <c r="CB104" s="130"/>
      <c r="CC104" s="130"/>
      <c r="CD104" s="130"/>
      <c r="CE104" s="130"/>
      <c r="CF104" s="130"/>
      <c r="CG104" s="130"/>
      <c r="CH104" s="130"/>
      <c r="CI104" s="130"/>
      <c r="CJ104" s="130"/>
      <c r="CK104" s="130"/>
      <c r="CL104" s="130"/>
      <c r="CM104" s="130"/>
      <c r="CN104" s="130"/>
      <c r="CO104" s="130"/>
      <c r="CP104" s="130"/>
      <c r="CQ104" s="130"/>
      <c r="CR104" s="130"/>
      <c r="CS104" s="130"/>
      <c r="CT104" s="130"/>
      <c r="CU104" s="130"/>
      <c r="CV104" s="130"/>
      <c r="CW104" s="130"/>
      <c r="CX104" s="130"/>
      <c r="CY104" s="130"/>
      <c r="CZ104" s="130"/>
      <c r="DA104" s="130"/>
      <c r="DB104" s="130"/>
      <c r="DC104" s="130"/>
      <c r="DD104" s="130"/>
      <c r="DE104" s="130"/>
      <c r="DF104" s="130"/>
      <c r="DG104" s="130"/>
      <c r="DH104" s="130"/>
      <c r="DI104" s="130"/>
      <c r="DJ104" s="130"/>
      <c r="DK104" s="130"/>
      <c r="DL104" s="130"/>
      <c r="DM104" s="130"/>
      <c r="DN104" s="130"/>
      <c r="DO104" s="130"/>
      <c r="DP104" s="130"/>
      <c r="DQ104" s="130"/>
      <c r="DR104" s="130"/>
      <c r="DS104" s="130"/>
      <c r="DT104" s="130"/>
      <c r="DU104" s="130"/>
      <c r="DV104" s="130"/>
      <c r="DW104" s="130"/>
      <c r="DX104" s="130"/>
      <c r="DY104" s="130"/>
      <c r="DZ104" s="130"/>
      <c r="EA104" s="130"/>
      <c r="EB104" s="130"/>
      <c r="EC104" s="130"/>
      <c r="ED104" s="130"/>
      <c r="EE104" s="130"/>
      <c r="EF104" s="130"/>
      <c r="EG104" s="130"/>
      <c r="EH104" s="130"/>
      <c r="EI104" s="130"/>
      <c r="EJ104" s="130"/>
      <c r="EK104" s="130"/>
      <c r="EL104" s="130"/>
      <c r="EM104" s="130"/>
      <c r="EN104" s="130"/>
      <c r="EO104" s="130"/>
      <c r="EP104" s="130"/>
      <c r="EQ104" s="130"/>
      <c r="ER104" s="130"/>
      <c r="ES104" s="130"/>
      <c r="ET104" s="130"/>
      <c r="EU104" s="130"/>
      <c r="EV104" s="130"/>
      <c r="EW104" s="130"/>
      <c r="EX104" s="130"/>
      <c r="EY104" s="130"/>
      <c r="EZ104" s="130"/>
      <c r="FA104" s="130"/>
      <c r="FB104" s="130"/>
      <c r="FC104" s="130"/>
      <c r="FD104" s="130"/>
      <c r="FE104" s="130"/>
      <c r="FF104" s="130"/>
      <c r="FG104" s="130"/>
      <c r="FH104" s="130"/>
      <c r="FI104" s="130"/>
      <c r="FJ104" s="130"/>
      <c r="FK104" s="130"/>
      <c r="FL104" s="130"/>
      <c r="FM104" s="130"/>
      <c r="FN104" s="130"/>
      <c r="FO104" s="130"/>
      <c r="FP104" s="130"/>
      <c r="FQ104" s="130"/>
      <c r="FR104" s="130"/>
      <c r="FS104" s="130"/>
      <c r="FT104" s="130"/>
      <c r="FU104" s="130"/>
      <c r="FV104" s="130"/>
      <c r="FW104" s="130"/>
      <c r="FX104" s="130"/>
      <c r="FY104" s="130"/>
      <c r="FZ104" s="130"/>
      <c r="GA104" s="130"/>
      <c r="GB104" s="130"/>
      <c r="GC104" s="130"/>
      <c r="GD104" s="130"/>
      <c r="GE104" s="130"/>
      <c r="GF104" s="130"/>
      <c r="GG104" s="130"/>
      <c r="GH104" s="130"/>
      <c r="GI104" s="130"/>
      <c r="GJ104" s="130"/>
      <c r="GK104" s="130"/>
      <c r="GL104" s="130"/>
      <c r="GM104" s="130"/>
      <c r="GN104" s="130"/>
      <c r="GO104" s="130"/>
      <c r="GP104" s="130"/>
      <c r="GQ104" s="130"/>
      <c r="GR104" s="130"/>
      <c r="GS104" s="130"/>
      <c r="GT104" s="130"/>
      <c r="GU104" s="130"/>
      <c r="GV104" s="130"/>
      <c r="GW104" s="130"/>
      <c r="GX104" s="130"/>
      <c r="GY104" s="130"/>
      <c r="GZ104" s="130"/>
      <c r="HA104" s="130"/>
      <c r="HB104" s="130"/>
      <c r="HC104" s="130"/>
      <c r="HD104" s="130"/>
      <c r="HE104" s="130"/>
      <c r="HF104" s="130"/>
      <c r="HG104" s="130"/>
      <c r="HH104" s="130"/>
      <c r="HI104" s="130"/>
      <c r="HJ104" s="130"/>
      <c r="HK104" s="130"/>
      <c r="HL104" s="130"/>
      <c r="HM104" s="130"/>
      <c r="HN104" s="130"/>
      <c r="HO104" s="130"/>
      <c r="HP104" s="130"/>
      <c r="HQ104" s="130"/>
      <c r="HR104" s="130"/>
      <c r="HS104" s="130"/>
      <c r="HT104" s="130"/>
      <c r="HU104" s="130"/>
      <c r="HV104" s="130"/>
      <c r="HW104" s="130"/>
      <c r="HX104" s="130"/>
      <c r="HY104" s="130"/>
      <c r="HZ104" s="130"/>
      <c r="IA104" s="130"/>
      <c r="IB104" s="130"/>
    </row>
    <row r="105" spans="1:236" ht="14.15" customHeight="1">
      <c r="A105" s="130"/>
      <c r="B105" s="129"/>
      <c r="C105" s="129"/>
      <c r="D105" s="129"/>
      <c r="E105" s="129"/>
      <c r="F105" s="129"/>
      <c r="G105" s="129"/>
      <c r="H105" s="129"/>
      <c r="I105" s="129"/>
      <c r="J105" s="129"/>
      <c r="K105" s="129"/>
      <c r="L105" s="129"/>
      <c r="N105" s="1034"/>
      <c r="O105" s="1034"/>
      <c r="P105" s="548"/>
      <c r="Q105" s="548"/>
      <c r="R105" s="548"/>
      <c r="S105" s="548"/>
      <c r="U105" s="549"/>
      <c r="V105" s="548"/>
      <c r="W105" s="548"/>
      <c r="X105" s="548"/>
      <c r="Y105" s="548"/>
      <c r="Z105" s="548"/>
      <c r="AA105" s="548"/>
      <c r="AB105" s="548"/>
      <c r="AC105" s="548"/>
      <c r="AD105" s="548"/>
      <c r="AE105" s="548"/>
      <c r="AF105" s="548"/>
      <c r="AG105" s="548"/>
      <c r="AH105" s="548"/>
      <c r="AI105" s="548"/>
      <c r="AJ105" s="548"/>
      <c r="AK105" s="548"/>
      <c r="AL105" s="130"/>
      <c r="AM105" s="130"/>
      <c r="AN105" s="130"/>
      <c r="AO105" s="130"/>
      <c r="AP105" s="130"/>
      <c r="AQ105" s="130"/>
      <c r="AR105" s="130"/>
      <c r="AS105" s="130"/>
      <c r="AT105" s="130"/>
      <c r="AU105" s="130"/>
      <c r="AV105" s="130"/>
      <c r="AW105" s="130"/>
      <c r="AX105" s="130"/>
      <c r="AY105" s="130"/>
      <c r="AZ105" s="130"/>
      <c r="BA105" s="130"/>
      <c r="BB105" s="130"/>
      <c r="BC105" s="130"/>
      <c r="BD105" s="130"/>
      <c r="BE105" s="130"/>
      <c r="BF105" s="130"/>
      <c r="BG105" s="130"/>
      <c r="BH105" s="130"/>
      <c r="BI105" s="130"/>
      <c r="BJ105" s="130"/>
      <c r="BK105" s="130"/>
      <c r="BL105" s="130"/>
      <c r="BM105" s="130"/>
      <c r="BN105" s="130"/>
      <c r="BO105" s="130"/>
      <c r="BP105" s="130"/>
      <c r="BQ105" s="130"/>
      <c r="BR105" s="130"/>
      <c r="BS105" s="130"/>
      <c r="BT105" s="130"/>
      <c r="BU105" s="130"/>
      <c r="BV105" s="130"/>
      <c r="BW105" s="130"/>
      <c r="BX105" s="130"/>
      <c r="BY105" s="130"/>
      <c r="BZ105" s="130"/>
      <c r="CA105" s="130"/>
      <c r="CB105" s="130"/>
      <c r="CC105" s="130"/>
      <c r="CD105" s="130"/>
      <c r="CE105" s="130"/>
      <c r="CF105" s="130"/>
      <c r="CG105" s="130"/>
      <c r="CH105" s="130"/>
      <c r="CI105" s="130"/>
      <c r="CJ105" s="130"/>
      <c r="CK105" s="130"/>
      <c r="CL105" s="130"/>
      <c r="CM105" s="130"/>
      <c r="CN105" s="130"/>
      <c r="CO105" s="130"/>
      <c r="CP105" s="130"/>
      <c r="CQ105" s="130"/>
      <c r="CR105" s="130"/>
      <c r="CS105" s="130"/>
      <c r="CT105" s="130"/>
      <c r="CU105" s="130"/>
      <c r="CV105" s="130"/>
      <c r="CW105" s="130"/>
      <c r="CX105" s="130"/>
      <c r="CY105" s="130"/>
      <c r="CZ105" s="130"/>
      <c r="DA105" s="130"/>
      <c r="DB105" s="130"/>
      <c r="DC105" s="130"/>
      <c r="DD105" s="130"/>
      <c r="DE105" s="130"/>
      <c r="DF105" s="130"/>
      <c r="DG105" s="130"/>
      <c r="DH105" s="130"/>
      <c r="DI105" s="130"/>
      <c r="DJ105" s="130"/>
      <c r="DK105" s="130"/>
      <c r="DL105" s="130"/>
      <c r="DM105" s="130"/>
      <c r="DN105" s="130"/>
      <c r="DO105" s="130"/>
      <c r="DP105" s="130"/>
      <c r="DQ105" s="130"/>
      <c r="DR105" s="130"/>
      <c r="DS105" s="130"/>
      <c r="DT105" s="130"/>
      <c r="DU105" s="130"/>
      <c r="DV105" s="130"/>
      <c r="DW105" s="130"/>
      <c r="DX105" s="130"/>
      <c r="DY105" s="130"/>
      <c r="DZ105" s="130"/>
      <c r="EA105" s="130"/>
      <c r="EB105" s="130"/>
      <c r="EC105" s="130"/>
      <c r="ED105" s="130"/>
      <c r="EE105" s="130"/>
      <c r="EF105" s="130"/>
      <c r="EG105" s="130"/>
      <c r="EH105" s="130"/>
      <c r="EI105" s="130"/>
      <c r="EJ105" s="130"/>
      <c r="EK105" s="130"/>
      <c r="EL105" s="130"/>
      <c r="EM105" s="130"/>
      <c r="EN105" s="130"/>
      <c r="EO105" s="130"/>
      <c r="EP105" s="130"/>
      <c r="EQ105" s="130"/>
      <c r="ER105" s="130"/>
      <c r="ES105" s="130"/>
      <c r="ET105" s="130"/>
      <c r="EU105" s="130"/>
      <c r="EV105" s="130"/>
      <c r="EW105" s="130"/>
      <c r="EX105" s="130"/>
      <c r="EY105" s="130"/>
      <c r="EZ105" s="130"/>
      <c r="FA105" s="130"/>
      <c r="FB105" s="130"/>
      <c r="FC105" s="130"/>
      <c r="FD105" s="130"/>
      <c r="FE105" s="130"/>
      <c r="FF105" s="130"/>
      <c r="FG105" s="130"/>
      <c r="FH105" s="130"/>
      <c r="FI105" s="130"/>
      <c r="FJ105" s="130"/>
      <c r="FK105" s="130"/>
      <c r="FL105" s="130"/>
      <c r="FM105" s="130"/>
      <c r="FN105" s="130"/>
      <c r="FO105" s="130"/>
      <c r="FP105" s="130"/>
      <c r="FQ105" s="130"/>
      <c r="FR105" s="130"/>
      <c r="FS105" s="130"/>
      <c r="FT105" s="130"/>
      <c r="FU105" s="130"/>
      <c r="FV105" s="130"/>
      <c r="FW105" s="130"/>
      <c r="FX105" s="130"/>
      <c r="FY105" s="130"/>
      <c r="FZ105" s="130"/>
      <c r="GA105" s="130"/>
      <c r="GB105" s="130"/>
      <c r="GC105" s="130"/>
      <c r="GD105" s="130"/>
      <c r="GE105" s="130"/>
      <c r="GF105" s="130"/>
      <c r="GG105" s="130"/>
      <c r="GH105" s="130"/>
      <c r="GI105" s="130"/>
      <c r="GJ105" s="130"/>
      <c r="GK105" s="130"/>
      <c r="GL105" s="130"/>
      <c r="GM105" s="130"/>
      <c r="GN105" s="130"/>
      <c r="GO105" s="130"/>
      <c r="GP105" s="130"/>
      <c r="GQ105" s="130"/>
      <c r="GR105" s="130"/>
      <c r="GS105" s="130"/>
      <c r="GT105" s="130"/>
      <c r="GU105" s="130"/>
      <c r="GV105" s="130"/>
      <c r="GW105" s="130"/>
      <c r="GX105" s="130"/>
      <c r="GY105" s="130"/>
      <c r="GZ105" s="130"/>
      <c r="HA105" s="130"/>
      <c r="HB105" s="130"/>
      <c r="HC105" s="130"/>
      <c r="HD105" s="130"/>
      <c r="HE105" s="130"/>
      <c r="HF105" s="130"/>
      <c r="HG105" s="130"/>
      <c r="HH105" s="130"/>
      <c r="HI105" s="130"/>
      <c r="HJ105" s="130"/>
      <c r="HK105" s="130"/>
      <c r="HL105" s="130"/>
      <c r="HM105" s="130"/>
      <c r="HN105" s="130"/>
      <c r="HO105" s="130"/>
      <c r="HP105" s="130"/>
      <c r="HQ105" s="130"/>
      <c r="HR105" s="130"/>
      <c r="HS105" s="130"/>
      <c r="HT105" s="130"/>
      <c r="HU105" s="130"/>
      <c r="HV105" s="130"/>
      <c r="HW105" s="130"/>
      <c r="HX105" s="130"/>
      <c r="HY105" s="130"/>
      <c r="HZ105" s="130"/>
      <c r="IA105" s="130"/>
      <c r="IB105" s="130"/>
    </row>
    <row r="106" spans="1:236" ht="14.15" customHeight="1">
      <c r="A106" s="130"/>
      <c r="B106" s="129"/>
      <c r="C106" s="129"/>
      <c r="D106" s="129"/>
      <c r="E106" s="129"/>
      <c r="F106" s="129"/>
      <c r="G106" s="129"/>
      <c r="H106" s="129"/>
      <c r="I106" s="129"/>
      <c r="J106" s="129"/>
      <c r="K106" s="129"/>
      <c r="L106" s="129"/>
      <c r="N106" s="1034"/>
      <c r="O106" s="1034"/>
      <c r="P106" s="548"/>
      <c r="Q106" s="548"/>
      <c r="R106" s="548"/>
      <c r="S106" s="548"/>
      <c r="U106" s="549"/>
      <c r="V106" s="548"/>
      <c r="W106" s="548"/>
      <c r="X106" s="548"/>
      <c r="Y106" s="548"/>
      <c r="Z106" s="548"/>
      <c r="AA106" s="548"/>
      <c r="AB106" s="548"/>
      <c r="AC106" s="548"/>
      <c r="AD106" s="548"/>
      <c r="AE106" s="548"/>
      <c r="AF106" s="548"/>
      <c r="AG106" s="548"/>
      <c r="AH106" s="548"/>
      <c r="AI106" s="548"/>
      <c r="AJ106" s="548"/>
      <c r="AK106" s="548"/>
      <c r="AL106" s="130"/>
      <c r="AM106" s="130"/>
      <c r="AN106" s="130"/>
      <c r="AO106" s="130"/>
      <c r="AP106" s="130"/>
      <c r="AQ106" s="130"/>
      <c r="AR106" s="130"/>
      <c r="AS106" s="130"/>
      <c r="AT106" s="130"/>
      <c r="AU106" s="130"/>
      <c r="AV106" s="130"/>
      <c r="AW106" s="130"/>
      <c r="AX106" s="130"/>
      <c r="AY106" s="130"/>
      <c r="AZ106" s="130"/>
      <c r="BA106" s="130"/>
      <c r="BB106" s="130"/>
      <c r="BC106" s="130"/>
      <c r="BD106" s="130"/>
      <c r="BE106" s="130"/>
      <c r="BF106" s="130"/>
      <c r="BG106" s="130"/>
      <c r="BH106" s="130"/>
      <c r="BI106" s="130"/>
      <c r="BJ106" s="130"/>
      <c r="BK106" s="130"/>
      <c r="BL106" s="130"/>
      <c r="BM106" s="130"/>
      <c r="BN106" s="130"/>
      <c r="BO106" s="130"/>
      <c r="BP106" s="130"/>
      <c r="BQ106" s="130"/>
      <c r="BR106" s="130"/>
      <c r="BS106" s="130"/>
      <c r="BT106" s="130"/>
      <c r="BU106" s="130"/>
      <c r="BV106" s="130"/>
      <c r="BW106" s="130"/>
      <c r="BX106" s="130"/>
      <c r="BY106" s="130"/>
      <c r="BZ106" s="130"/>
      <c r="CA106" s="130"/>
      <c r="CB106" s="130"/>
      <c r="CC106" s="130"/>
      <c r="CD106" s="130"/>
      <c r="CE106" s="130"/>
      <c r="CF106" s="130"/>
      <c r="CG106" s="130"/>
      <c r="CH106" s="130"/>
      <c r="CI106" s="130"/>
      <c r="CJ106" s="130"/>
      <c r="CK106" s="130"/>
      <c r="CL106" s="130"/>
      <c r="CM106" s="130"/>
      <c r="CN106" s="130"/>
      <c r="CO106" s="130"/>
      <c r="CP106" s="130"/>
      <c r="CQ106" s="130"/>
      <c r="CR106" s="130"/>
      <c r="CS106" s="130"/>
      <c r="CT106" s="130"/>
      <c r="CU106" s="130"/>
      <c r="CV106" s="130"/>
      <c r="CW106" s="130"/>
      <c r="CX106" s="130"/>
      <c r="CY106" s="130"/>
      <c r="CZ106" s="130"/>
      <c r="DA106" s="130"/>
      <c r="DB106" s="130"/>
      <c r="DC106" s="130"/>
      <c r="DD106" s="130"/>
      <c r="DE106" s="130"/>
      <c r="DF106" s="130"/>
      <c r="DG106" s="130"/>
      <c r="DH106" s="130"/>
      <c r="DI106" s="130"/>
      <c r="DJ106" s="130"/>
      <c r="DK106" s="130"/>
      <c r="DL106" s="130"/>
      <c r="DM106" s="130"/>
      <c r="DN106" s="130"/>
      <c r="DO106" s="130"/>
      <c r="DP106" s="130"/>
      <c r="DQ106" s="130"/>
      <c r="DR106" s="130"/>
      <c r="DS106" s="130"/>
      <c r="DT106" s="130"/>
      <c r="DU106" s="130"/>
      <c r="DV106" s="130"/>
      <c r="DW106" s="130"/>
      <c r="DX106" s="130"/>
      <c r="DY106" s="130"/>
      <c r="DZ106" s="130"/>
      <c r="EA106" s="130"/>
      <c r="EB106" s="130"/>
      <c r="EC106" s="130"/>
      <c r="ED106" s="130"/>
      <c r="EE106" s="130"/>
      <c r="EF106" s="130"/>
      <c r="EG106" s="130"/>
      <c r="EH106" s="130"/>
      <c r="EI106" s="130"/>
      <c r="EJ106" s="130"/>
      <c r="EK106" s="130"/>
      <c r="EL106" s="130"/>
      <c r="EM106" s="130"/>
      <c r="EN106" s="130"/>
      <c r="EO106" s="130"/>
      <c r="EP106" s="130"/>
      <c r="EQ106" s="130"/>
      <c r="ER106" s="130"/>
      <c r="ES106" s="130"/>
      <c r="ET106" s="130"/>
      <c r="EU106" s="130"/>
      <c r="EV106" s="130"/>
      <c r="EW106" s="130"/>
      <c r="EX106" s="130"/>
      <c r="EY106" s="130"/>
      <c r="EZ106" s="130"/>
      <c r="FA106" s="130"/>
      <c r="FB106" s="130"/>
      <c r="FC106" s="130"/>
      <c r="FD106" s="130"/>
      <c r="FE106" s="130"/>
      <c r="FF106" s="130"/>
      <c r="FG106" s="130"/>
      <c r="FH106" s="130"/>
      <c r="FI106" s="130"/>
      <c r="FJ106" s="130"/>
      <c r="FK106" s="130"/>
      <c r="FL106" s="130"/>
      <c r="FM106" s="130"/>
      <c r="FN106" s="130"/>
      <c r="FO106" s="130"/>
      <c r="FP106" s="130"/>
      <c r="FQ106" s="130"/>
      <c r="FR106" s="130"/>
      <c r="FS106" s="130"/>
      <c r="FT106" s="130"/>
      <c r="FU106" s="130"/>
      <c r="FV106" s="130"/>
      <c r="FW106" s="130"/>
      <c r="FX106" s="130"/>
      <c r="FY106" s="130"/>
      <c r="FZ106" s="130"/>
      <c r="GA106" s="130"/>
      <c r="GB106" s="130"/>
      <c r="GC106" s="130"/>
      <c r="GD106" s="130"/>
      <c r="GE106" s="130"/>
      <c r="GF106" s="130"/>
      <c r="GG106" s="130"/>
      <c r="GH106" s="130"/>
      <c r="GI106" s="130"/>
      <c r="GJ106" s="130"/>
      <c r="GK106" s="130"/>
      <c r="GL106" s="130"/>
      <c r="GM106" s="130"/>
      <c r="GN106" s="130"/>
      <c r="GO106" s="130"/>
      <c r="GP106" s="130"/>
      <c r="GQ106" s="130"/>
      <c r="GR106" s="130"/>
      <c r="GS106" s="130"/>
      <c r="GT106" s="130"/>
      <c r="GU106" s="130"/>
      <c r="GV106" s="130"/>
      <c r="GW106" s="130"/>
      <c r="GX106" s="130"/>
      <c r="GY106" s="130"/>
      <c r="GZ106" s="130"/>
      <c r="HA106" s="130"/>
      <c r="HB106" s="130"/>
      <c r="HC106" s="130"/>
      <c r="HD106" s="130"/>
      <c r="HE106" s="130"/>
      <c r="HF106" s="130"/>
      <c r="HG106" s="130"/>
      <c r="HH106" s="130"/>
      <c r="HI106" s="130"/>
      <c r="HJ106" s="130"/>
      <c r="HK106" s="130"/>
      <c r="HL106" s="130"/>
      <c r="HM106" s="130"/>
      <c r="HN106" s="130"/>
      <c r="HO106" s="130"/>
      <c r="HP106" s="130"/>
      <c r="HQ106" s="130"/>
      <c r="HR106" s="130"/>
      <c r="HS106" s="130"/>
      <c r="HT106" s="130"/>
      <c r="HU106" s="130"/>
      <c r="HV106" s="130"/>
      <c r="HW106" s="130"/>
      <c r="HX106" s="130"/>
      <c r="HY106" s="130"/>
      <c r="HZ106" s="130"/>
      <c r="IA106" s="130"/>
      <c r="IB106" s="130"/>
    </row>
    <row r="107" spans="1:236" ht="14.15" customHeight="1">
      <c r="A107" s="130"/>
      <c r="B107" s="129"/>
      <c r="C107" s="129"/>
      <c r="D107" s="129"/>
      <c r="E107" s="129"/>
      <c r="F107" s="129"/>
      <c r="G107" s="129"/>
      <c r="H107" s="129"/>
      <c r="I107" s="129"/>
      <c r="J107" s="129"/>
      <c r="K107" s="129"/>
      <c r="L107" s="129"/>
      <c r="N107" s="1034"/>
      <c r="O107" s="1034"/>
      <c r="P107" s="548"/>
      <c r="Q107" s="548"/>
      <c r="R107" s="548"/>
      <c r="S107" s="548"/>
      <c r="U107" s="549"/>
      <c r="V107" s="548"/>
      <c r="W107" s="548"/>
      <c r="X107" s="548"/>
      <c r="Y107" s="548"/>
      <c r="Z107" s="548"/>
      <c r="AA107" s="548"/>
      <c r="AB107" s="548"/>
      <c r="AC107" s="548"/>
      <c r="AD107" s="548"/>
      <c r="AE107" s="548"/>
      <c r="AF107" s="548"/>
      <c r="AG107" s="548"/>
      <c r="AH107" s="548"/>
      <c r="AI107" s="548"/>
      <c r="AJ107" s="548"/>
      <c r="AK107" s="548"/>
      <c r="AL107" s="130"/>
      <c r="AM107" s="130"/>
      <c r="AN107" s="130"/>
      <c r="AO107" s="130"/>
      <c r="AP107" s="130"/>
      <c r="AQ107" s="130"/>
      <c r="AR107" s="130"/>
      <c r="AS107" s="130"/>
      <c r="AT107" s="130"/>
      <c r="AU107" s="130"/>
      <c r="AV107" s="130"/>
      <c r="AW107" s="130"/>
      <c r="AX107" s="130"/>
      <c r="AY107" s="130"/>
      <c r="AZ107" s="130"/>
      <c r="BA107" s="130"/>
      <c r="BB107" s="130"/>
      <c r="BC107" s="130"/>
      <c r="BD107" s="130"/>
      <c r="BE107" s="130"/>
      <c r="BF107" s="130"/>
      <c r="BG107" s="130"/>
      <c r="BH107" s="130"/>
      <c r="BI107" s="130"/>
      <c r="BJ107" s="130"/>
      <c r="BK107" s="130"/>
      <c r="BL107" s="130"/>
      <c r="BM107" s="130"/>
      <c r="BN107" s="130"/>
      <c r="BO107" s="130"/>
      <c r="BP107" s="130"/>
      <c r="BQ107" s="130"/>
      <c r="BR107" s="130"/>
      <c r="BS107" s="130"/>
      <c r="BT107" s="130"/>
      <c r="BU107" s="130"/>
      <c r="BV107" s="130"/>
      <c r="BW107" s="130"/>
      <c r="BX107" s="130"/>
      <c r="BY107" s="130"/>
      <c r="BZ107" s="130"/>
      <c r="CA107" s="130"/>
      <c r="CB107" s="130"/>
      <c r="CC107" s="130"/>
      <c r="CD107" s="130"/>
      <c r="CE107" s="130"/>
      <c r="CF107" s="130"/>
      <c r="CG107" s="130"/>
      <c r="CH107" s="130"/>
      <c r="CI107" s="130"/>
      <c r="CJ107" s="130"/>
      <c r="CK107" s="130"/>
      <c r="CL107" s="130"/>
      <c r="CM107" s="130"/>
      <c r="CN107" s="130"/>
      <c r="CO107" s="130"/>
      <c r="CP107" s="130"/>
      <c r="CQ107" s="130"/>
      <c r="CR107" s="130"/>
      <c r="CS107" s="130"/>
      <c r="CT107" s="130"/>
      <c r="CU107" s="130"/>
      <c r="CV107" s="130"/>
      <c r="CW107" s="130"/>
      <c r="CX107" s="130"/>
      <c r="CY107" s="130"/>
      <c r="CZ107" s="130"/>
      <c r="DA107" s="130"/>
      <c r="DB107" s="130"/>
      <c r="DC107" s="130"/>
      <c r="DD107" s="130"/>
      <c r="DE107" s="130"/>
      <c r="DF107" s="130"/>
      <c r="DG107" s="130"/>
      <c r="DH107" s="130"/>
      <c r="DI107" s="130"/>
      <c r="DJ107" s="130"/>
      <c r="DK107" s="130"/>
      <c r="DL107" s="130"/>
      <c r="DM107" s="130"/>
      <c r="DN107" s="130"/>
      <c r="DO107" s="130"/>
      <c r="DP107" s="130"/>
      <c r="DQ107" s="130"/>
      <c r="DR107" s="130"/>
      <c r="DS107" s="130"/>
      <c r="DT107" s="130"/>
      <c r="DU107" s="130"/>
      <c r="DV107" s="130"/>
      <c r="DW107" s="130"/>
      <c r="DX107" s="130"/>
      <c r="DY107" s="130"/>
      <c r="DZ107" s="130"/>
      <c r="EA107" s="130"/>
      <c r="EB107" s="130"/>
      <c r="EC107" s="130"/>
      <c r="ED107" s="130"/>
      <c r="EE107" s="130"/>
      <c r="EF107" s="130"/>
      <c r="EG107" s="130"/>
      <c r="EH107" s="130"/>
      <c r="EI107" s="130"/>
      <c r="EJ107" s="130"/>
      <c r="EK107" s="130"/>
      <c r="EL107" s="130"/>
      <c r="EM107" s="130"/>
      <c r="EN107" s="130"/>
      <c r="EO107" s="130"/>
      <c r="EP107" s="130"/>
      <c r="EQ107" s="130"/>
      <c r="ER107" s="130"/>
      <c r="ES107" s="130"/>
      <c r="ET107" s="130"/>
      <c r="EU107" s="130"/>
      <c r="EV107" s="130"/>
      <c r="EW107" s="130"/>
      <c r="EX107" s="130"/>
      <c r="EY107" s="130"/>
      <c r="EZ107" s="130"/>
      <c r="FA107" s="130"/>
      <c r="FB107" s="130"/>
      <c r="FC107" s="130"/>
      <c r="FD107" s="130"/>
      <c r="FE107" s="130"/>
      <c r="FF107" s="130"/>
      <c r="FG107" s="130"/>
      <c r="FH107" s="130"/>
      <c r="FI107" s="130"/>
      <c r="FJ107" s="130"/>
      <c r="FK107" s="130"/>
      <c r="FL107" s="130"/>
      <c r="FM107" s="130"/>
      <c r="FN107" s="130"/>
      <c r="FO107" s="130"/>
      <c r="FP107" s="130"/>
      <c r="FQ107" s="130"/>
      <c r="FR107" s="130"/>
      <c r="FS107" s="130"/>
      <c r="FT107" s="130"/>
      <c r="FU107" s="130"/>
      <c r="FV107" s="130"/>
      <c r="FW107" s="130"/>
      <c r="FX107" s="130"/>
      <c r="FY107" s="130"/>
      <c r="FZ107" s="130"/>
      <c r="GA107" s="130"/>
      <c r="GB107" s="130"/>
      <c r="GC107" s="130"/>
      <c r="GD107" s="130"/>
      <c r="GE107" s="130"/>
      <c r="GF107" s="130"/>
      <c r="GG107" s="130"/>
      <c r="GH107" s="130"/>
      <c r="GI107" s="130"/>
      <c r="GJ107" s="130"/>
      <c r="GK107" s="130"/>
      <c r="GL107" s="130"/>
      <c r="GM107" s="130"/>
      <c r="GN107" s="130"/>
      <c r="GO107" s="130"/>
      <c r="GP107" s="130"/>
      <c r="GQ107" s="130"/>
      <c r="GR107" s="130"/>
      <c r="GS107" s="130"/>
      <c r="GT107" s="130"/>
      <c r="GU107" s="130"/>
      <c r="GV107" s="130"/>
      <c r="GW107" s="130"/>
      <c r="GX107" s="130"/>
      <c r="GY107" s="130"/>
      <c r="GZ107" s="130"/>
      <c r="HA107" s="130"/>
      <c r="HB107" s="130"/>
      <c r="HC107" s="130"/>
      <c r="HD107" s="130"/>
      <c r="HE107" s="130"/>
      <c r="HF107" s="130"/>
      <c r="HG107" s="130"/>
      <c r="HH107" s="130"/>
      <c r="HI107" s="130"/>
      <c r="HJ107" s="130"/>
      <c r="HK107" s="130"/>
      <c r="HL107" s="130"/>
      <c r="HM107" s="130"/>
      <c r="HN107" s="130"/>
      <c r="HO107" s="130"/>
      <c r="HP107" s="130"/>
      <c r="HQ107" s="130"/>
      <c r="HR107" s="130"/>
      <c r="HS107" s="130"/>
      <c r="HT107" s="130"/>
      <c r="HU107" s="130"/>
      <c r="HV107" s="130"/>
      <c r="HW107" s="130"/>
      <c r="HX107" s="130"/>
      <c r="HY107" s="130"/>
      <c r="HZ107" s="130"/>
      <c r="IA107" s="130"/>
      <c r="IB107" s="130"/>
    </row>
    <row r="108" spans="1:236" ht="14.15" customHeight="1">
      <c r="A108" s="130"/>
      <c r="B108" s="129"/>
      <c r="C108" s="129"/>
      <c r="D108" s="129"/>
      <c r="E108" s="129"/>
      <c r="F108" s="129"/>
      <c r="G108" s="129"/>
      <c r="H108" s="129"/>
      <c r="I108" s="129"/>
      <c r="J108" s="129"/>
      <c r="K108" s="129"/>
      <c r="L108" s="129"/>
      <c r="N108" s="1034"/>
      <c r="O108" s="1034"/>
      <c r="P108" s="548"/>
      <c r="Q108" s="548"/>
      <c r="R108" s="548"/>
      <c r="S108" s="548"/>
      <c r="U108" s="549"/>
      <c r="V108" s="548"/>
      <c r="W108" s="548"/>
      <c r="X108" s="548"/>
      <c r="Y108" s="548"/>
      <c r="Z108" s="548"/>
      <c r="AA108" s="548"/>
      <c r="AB108" s="548"/>
      <c r="AC108" s="548"/>
      <c r="AD108" s="548"/>
      <c r="AE108" s="548"/>
      <c r="AF108" s="548"/>
      <c r="AG108" s="548"/>
      <c r="AH108" s="548"/>
      <c r="AI108" s="548"/>
      <c r="AJ108" s="548"/>
      <c r="AK108" s="548"/>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0"/>
      <c r="CM108" s="130"/>
      <c r="CN108" s="130"/>
      <c r="CO108" s="130"/>
      <c r="CP108" s="130"/>
      <c r="CQ108" s="130"/>
      <c r="CR108" s="130"/>
      <c r="CS108" s="130"/>
      <c r="CT108" s="130"/>
      <c r="CU108" s="130"/>
      <c r="CV108" s="130"/>
      <c r="CW108" s="130"/>
      <c r="CX108" s="130"/>
      <c r="CY108" s="130"/>
      <c r="CZ108" s="130"/>
      <c r="DA108" s="130"/>
      <c r="DB108" s="130"/>
      <c r="DC108" s="130"/>
      <c r="DD108" s="130"/>
      <c r="DE108" s="130"/>
      <c r="DF108" s="130"/>
      <c r="DG108" s="130"/>
      <c r="DH108" s="130"/>
      <c r="DI108" s="130"/>
      <c r="DJ108" s="130"/>
      <c r="DK108" s="130"/>
      <c r="DL108" s="130"/>
      <c r="DM108" s="130"/>
      <c r="DN108" s="130"/>
      <c r="DO108" s="130"/>
      <c r="DP108" s="130"/>
      <c r="DQ108" s="130"/>
      <c r="DR108" s="130"/>
      <c r="DS108" s="130"/>
      <c r="DT108" s="130"/>
      <c r="DU108" s="130"/>
      <c r="DV108" s="130"/>
      <c r="DW108" s="130"/>
      <c r="DX108" s="130"/>
      <c r="DY108" s="130"/>
      <c r="DZ108" s="130"/>
      <c r="EA108" s="130"/>
      <c r="EB108" s="130"/>
      <c r="EC108" s="130"/>
      <c r="ED108" s="130"/>
      <c r="EE108" s="130"/>
      <c r="EF108" s="130"/>
      <c r="EG108" s="130"/>
      <c r="EH108" s="130"/>
      <c r="EI108" s="130"/>
      <c r="EJ108" s="130"/>
      <c r="EK108" s="130"/>
      <c r="EL108" s="130"/>
      <c r="EM108" s="130"/>
      <c r="EN108" s="130"/>
      <c r="EO108" s="130"/>
      <c r="EP108" s="130"/>
      <c r="EQ108" s="130"/>
      <c r="ER108" s="130"/>
      <c r="ES108" s="130"/>
      <c r="ET108" s="130"/>
      <c r="EU108" s="130"/>
      <c r="EV108" s="130"/>
      <c r="EW108" s="130"/>
      <c r="EX108" s="130"/>
      <c r="EY108" s="130"/>
      <c r="EZ108" s="130"/>
      <c r="FA108" s="130"/>
      <c r="FB108" s="130"/>
      <c r="FC108" s="130"/>
      <c r="FD108" s="130"/>
      <c r="FE108" s="130"/>
      <c r="FF108" s="130"/>
      <c r="FG108" s="130"/>
      <c r="FH108" s="130"/>
      <c r="FI108" s="130"/>
      <c r="FJ108" s="130"/>
      <c r="FK108" s="130"/>
      <c r="FL108" s="130"/>
      <c r="FM108" s="130"/>
      <c r="FN108" s="130"/>
      <c r="FO108" s="130"/>
      <c r="FP108" s="130"/>
      <c r="FQ108" s="130"/>
      <c r="FR108" s="130"/>
      <c r="FS108" s="130"/>
      <c r="FT108" s="130"/>
      <c r="FU108" s="130"/>
      <c r="FV108" s="130"/>
      <c r="FW108" s="130"/>
      <c r="FX108" s="130"/>
      <c r="FY108" s="130"/>
      <c r="FZ108" s="130"/>
      <c r="GA108" s="130"/>
      <c r="GB108" s="130"/>
      <c r="GC108" s="130"/>
      <c r="GD108" s="130"/>
      <c r="GE108" s="130"/>
      <c r="GF108" s="130"/>
      <c r="GG108" s="130"/>
      <c r="GH108" s="130"/>
      <c r="GI108" s="130"/>
      <c r="GJ108" s="130"/>
      <c r="GK108" s="130"/>
      <c r="GL108" s="130"/>
      <c r="GM108" s="130"/>
      <c r="GN108" s="130"/>
      <c r="GO108" s="130"/>
      <c r="GP108" s="130"/>
      <c r="GQ108" s="130"/>
      <c r="GR108" s="130"/>
      <c r="GS108" s="130"/>
      <c r="GT108" s="130"/>
      <c r="GU108" s="130"/>
      <c r="GV108" s="130"/>
      <c r="GW108" s="130"/>
      <c r="GX108" s="130"/>
      <c r="GY108" s="130"/>
      <c r="GZ108" s="130"/>
      <c r="HA108" s="130"/>
      <c r="HB108" s="130"/>
      <c r="HC108" s="130"/>
      <c r="HD108" s="130"/>
      <c r="HE108" s="130"/>
      <c r="HF108" s="130"/>
      <c r="HG108" s="130"/>
      <c r="HH108" s="130"/>
      <c r="HI108" s="130"/>
      <c r="HJ108" s="130"/>
      <c r="HK108" s="130"/>
      <c r="HL108" s="130"/>
      <c r="HM108" s="130"/>
      <c r="HN108" s="130"/>
      <c r="HO108" s="130"/>
      <c r="HP108" s="130"/>
      <c r="HQ108" s="130"/>
      <c r="HR108" s="130"/>
      <c r="HS108" s="130"/>
      <c r="HT108" s="130"/>
      <c r="HU108" s="130"/>
      <c r="HV108" s="130"/>
      <c r="HW108" s="130"/>
      <c r="HX108" s="130"/>
      <c r="HY108" s="130"/>
      <c r="HZ108" s="130"/>
      <c r="IA108" s="130"/>
      <c r="IB108" s="130"/>
    </row>
    <row r="109" spans="1:236" ht="14.15" customHeight="1">
      <c r="A109" s="130"/>
      <c r="B109" s="129"/>
      <c r="C109" s="129"/>
      <c r="D109" s="129"/>
      <c r="E109" s="129"/>
      <c r="F109" s="129"/>
      <c r="G109" s="129"/>
      <c r="H109" s="129"/>
      <c r="I109" s="129"/>
      <c r="J109" s="129"/>
      <c r="K109" s="129"/>
      <c r="L109" s="129"/>
      <c r="N109" s="1034"/>
      <c r="O109" s="1034"/>
      <c r="P109" s="548"/>
      <c r="Q109" s="548"/>
      <c r="R109" s="548"/>
      <c r="S109" s="548"/>
      <c r="U109" s="549"/>
      <c r="V109" s="548"/>
      <c r="W109" s="548"/>
      <c r="X109" s="548"/>
      <c r="Y109" s="548"/>
      <c r="Z109" s="548"/>
      <c r="AA109" s="548"/>
      <c r="AB109" s="548"/>
      <c r="AC109" s="548"/>
      <c r="AD109" s="548"/>
      <c r="AE109" s="548"/>
      <c r="AF109" s="548"/>
      <c r="AG109" s="548"/>
      <c r="AH109" s="548"/>
      <c r="AI109" s="548"/>
      <c r="AJ109" s="548"/>
      <c r="AK109" s="548"/>
      <c r="AL109" s="130"/>
      <c r="AM109" s="130"/>
      <c r="AN109" s="130"/>
      <c r="AO109" s="130"/>
      <c r="AP109" s="130"/>
      <c r="AQ109" s="130"/>
      <c r="AR109" s="130"/>
      <c r="AS109" s="130"/>
      <c r="AT109" s="130"/>
      <c r="AU109" s="130"/>
      <c r="AV109" s="130"/>
      <c r="AW109" s="130"/>
      <c r="AX109" s="130"/>
      <c r="AY109" s="130"/>
      <c r="AZ109" s="130"/>
      <c r="BA109" s="130"/>
      <c r="BB109" s="130"/>
      <c r="BC109" s="130"/>
      <c r="BD109" s="130"/>
      <c r="BE109" s="130"/>
      <c r="BF109" s="130"/>
      <c r="BG109" s="130"/>
      <c r="BH109" s="130"/>
      <c r="BI109" s="130"/>
      <c r="BJ109" s="130"/>
      <c r="BK109" s="130"/>
      <c r="BL109" s="130"/>
      <c r="BM109" s="130"/>
      <c r="BN109" s="130"/>
      <c r="BO109" s="130"/>
      <c r="BP109" s="130"/>
      <c r="BQ109" s="130"/>
      <c r="BR109" s="130"/>
      <c r="BS109" s="130"/>
      <c r="BT109" s="130"/>
      <c r="BU109" s="130"/>
      <c r="BV109" s="130"/>
      <c r="BW109" s="130"/>
      <c r="BX109" s="130"/>
      <c r="BY109" s="130"/>
      <c r="BZ109" s="130"/>
      <c r="CA109" s="130"/>
      <c r="CB109" s="130"/>
      <c r="CC109" s="130"/>
      <c r="CD109" s="130"/>
      <c r="CE109" s="130"/>
      <c r="CF109" s="130"/>
      <c r="CG109" s="130"/>
      <c r="CH109" s="130"/>
      <c r="CI109" s="130"/>
      <c r="CJ109" s="130"/>
      <c r="CK109" s="130"/>
      <c r="CL109" s="130"/>
      <c r="CM109" s="130"/>
      <c r="CN109" s="130"/>
      <c r="CO109" s="130"/>
      <c r="CP109" s="130"/>
      <c r="CQ109" s="130"/>
      <c r="CR109" s="130"/>
      <c r="CS109" s="130"/>
      <c r="CT109" s="130"/>
      <c r="CU109" s="130"/>
      <c r="CV109" s="130"/>
      <c r="CW109" s="130"/>
      <c r="CX109" s="130"/>
      <c r="CY109" s="130"/>
      <c r="CZ109" s="130"/>
      <c r="DA109" s="130"/>
      <c r="DB109" s="130"/>
      <c r="DC109" s="130"/>
      <c r="DD109" s="130"/>
      <c r="DE109" s="130"/>
      <c r="DF109" s="130"/>
      <c r="DG109" s="130"/>
      <c r="DH109" s="130"/>
      <c r="DI109" s="130"/>
      <c r="DJ109" s="130"/>
      <c r="DK109" s="130"/>
      <c r="DL109" s="130"/>
      <c r="DM109" s="130"/>
      <c r="DN109" s="130"/>
      <c r="DO109" s="130"/>
      <c r="DP109" s="130"/>
      <c r="DQ109" s="130"/>
      <c r="DR109" s="130"/>
      <c r="DS109" s="130"/>
      <c r="DT109" s="130"/>
      <c r="DU109" s="130"/>
      <c r="DV109" s="130"/>
      <c r="DW109" s="130"/>
      <c r="DX109" s="130"/>
      <c r="DY109" s="130"/>
      <c r="DZ109" s="130"/>
      <c r="EA109" s="130"/>
      <c r="EB109" s="130"/>
      <c r="EC109" s="130"/>
      <c r="ED109" s="130"/>
      <c r="EE109" s="130"/>
      <c r="EF109" s="130"/>
      <c r="EG109" s="130"/>
      <c r="EH109" s="130"/>
      <c r="EI109" s="130"/>
      <c r="EJ109" s="130"/>
      <c r="EK109" s="130"/>
      <c r="EL109" s="130"/>
      <c r="EM109" s="130"/>
      <c r="EN109" s="130"/>
      <c r="EO109" s="130"/>
      <c r="EP109" s="130"/>
      <c r="EQ109" s="130"/>
      <c r="ER109" s="130"/>
      <c r="ES109" s="130"/>
      <c r="ET109" s="130"/>
      <c r="EU109" s="130"/>
      <c r="EV109" s="130"/>
      <c r="EW109" s="130"/>
      <c r="EX109" s="130"/>
      <c r="EY109" s="130"/>
      <c r="EZ109" s="130"/>
      <c r="FA109" s="130"/>
      <c r="FB109" s="130"/>
      <c r="FC109" s="130"/>
      <c r="FD109" s="130"/>
      <c r="FE109" s="130"/>
      <c r="FF109" s="130"/>
      <c r="FG109" s="130"/>
      <c r="FH109" s="130"/>
      <c r="FI109" s="130"/>
      <c r="FJ109" s="130"/>
      <c r="FK109" s="130"/>
      <c r="FL109" s="130"/>
      <c r="FM109" s="130"/>
      <c r="FN109" s="130"/>
      <c r="FO109" s="130"/>
      <c r="FP109" s="130"/>
      <c r="FQ109" s="130"/>
      <c r="FR109" s="130"/>
      <c r="FS109" s="130"/>
      <c r="FT109" s="130"/>
      <c r="FU109" s="130"/>
      <c r="FV109" s="130"/>
      <c r="FW109" s="130"/>
      <c r="FX109" s="130"/>
      <c r="FY109" s="130"/>
      <c r="FZ109" s="130"/>
      <c r="GA109" s="130"/>
      <c r="GB109" s="130"/>
      <c r="GC109" s="130"/>
      <c r="GD109" s="130"/>
      <c r="GE109" s="130"/>
      <c r="GF109" s="130"/>
      <c r="GG109" s="130"/>
      <c r="GH109" s="130"/>
      <c r="GI109" s="130"/>
      <c r="GJ109" s="130"/>
      <c r="GK109" s="130"/>
      <c r="GL109" s="130"/>
      <c r="GM109" s="130"/>
      <c r="GN109" s="130"/>
      <c r="GO109" s="130"/>
      <c r="GP109" s="130"/>
      <c r="GQ109" s="130"/>
      <c r="GR109" s="130"/>
      <c r="GS109" s="130"/>
      <c r="GT109" s="130"/>
      <c r="GU109" s="130"/>
      <c r="GV109" s="130"/>
      <c r="GW109" s="130"/>
      <c r="GX109" s="130"/>
      <c r="GY109" s="130"/>
      <c r="GZ109" s="130"/>
      <c r="HA109" s="130"/>
      <c r="HB109" s="130"/>
      <c r="HC109" s="130"/>
      <c r="HD109" s="130"/>
      <c r="HE109" s="130"/>
      <c r="HF109" s="130"/>
      <c r="HG109" s="130"/>
      <c r="HH109" s="130"/>
      <c r="HI109" s="130"/>
      <c r="HJ109" s="130"/>
      <c r="HK109" s="130"/>
      <c r="HL109" s="130"/>
      <c r="HM109" s="130"/>
      <c r="HN109" s="130"/>
      <c r="HO109" s="130"/>
      <c r="HP109" s="130"/>
      <c r="HQ109" s="130"/>
      <c r="HR109" s="130"/>
      <c r="HS109" s="130"/>
      <c r="HT109" s="130"/>
      <c r="HU109" s="130"/>
      <c r="HV109" s="130"/>
      <c r="HW109" s="130"/>
      <c r="HX109" s="130"/>
      <c r="HY109" s="130"/>
      <c r="HZ109" s="130"/>
      <c r="IA109" s="130"/>
      <c r="IB109" s="130"/>
    </row>
    <row r="110" spans="1:236" ht="14.15" customHeight="1">
      <c r="A110" s="130"/>
      <c r="B110" s="129"/>
      <c r="C110" s="129"/>
      <c r="D110" s="129"/>
      <c r="E110" s="129"/>
      <c r="F110" s="129"/>
      <c r="G110" s="129"/>
      <c r="H110" s="129"/>
      <c r="I110" s="129"/>
      <c r="J110" s="129"/>
      <c r="K110" s="129"/>
      <c r="L110" s="129"/>
      <c r="N110" s="1034"/>
      <c r="O110" s="1034"/>
      <c r="P110" s="548"/>
      <c r="Q110" s="548"/>
      <c r="R110" s="548"/>
      <c r="S110" s="548"/>
      <c r="U110" s="549"/>
      <c r="V110" s="548"/>
      <c r="W110" s="548"/>
      <c r="X110" s="548"/>
      <c r="Y110" s="548"/>
      <c r="Z110" s="548"/>
      <c r="AA110" s="548"/>
      <c r="AB110" s="548"/>
      <c r="AC110" s="548"/>
      <c r="AD110" s="548"/>
      <c r="AE110" s="548"/>
      <c r="AF110" s="548"/>
      <c r="AG110" s="548"/>
      <c r="AH110" s="548"/>
      <c r="AI110" s="548"/>
      <c r="AJ110" s="548"/>
      <c r="AK110" s="548"/>
      <c r="AL110" s="130"/>
      <c r="AM110" s="130"/>
      <c r="AN110" s="130"/>
      <c r="AO110" s="130"/>
      <c r="AP110" s="130"/>
      <c r="AQ110" s="130"/>
      <c r="AR110" s="130"/>
      <c r="AS110" s="130"/>
      <c r="AT110" s="130"/>
      <c r="AU110" s="130"/>
      <c r="AV110" s="130"/>
      <c r="AW110" s="130"/>
      <c r="AX110" s="130"/>
      <c r="AY110" s="130"/>
      <c r="AZ110" s="130"/>
      <c r="BA110" s="130"/>
      <c r="BB110" s="130"/>
      <c r="BC110" s="130"/>
      <c r="BD110" s="130"/>
      <c r="BE110" s="130"/>
      <c r="BF110" s="130"/>
      <c r="BG110" s="130"/>
      <c r="BH110" s="130"/>
      <c r="BI110" s="130"/>
      <c r="BJ110" s="130"/>
      <c r="BK110" s="130"/>
      <c r="BL110" s="130"/>
      <c r="BM110" s="130"/>
      <c r="BN110" s="130"/>
      <c r="BO110" s="130"/>
      <c r="BP110" s="130"/>
      <c r="BQ110" s="130"/>
      <c r="BR110" s="130"/>
      <c r="BS110" s="130"/>
      <c r="BT110" s="130"/>
      <c r="BU110" s="130"/>
      <c r="BV110" s="130"/>
      <c r="BW110" s="130"/>
      <c r="BX110" s="130"/>
      <c r="BY110" s="130"/>
      <c r="BZ110" s="130"/>
      <c r="CA110" s="130"/>
      <c r="CB110" s="130"/>
      <c r="CC110" s="130"/>
      <c r="CD110" s="130"/>
      <c r="CE110" s="130"/>
      <c r="CF110" s="130"/>
      <c r="CG110" s="130"/>
      <c r="CH110" s="130"/>
      <c r="CI110" s="130"/>
      <c r="CJ110" s="130"/>
      <c r="CK110" s="130"/>
      <c r="CL110" s="130"/>
      <c r="CM110" s="130"/>
      <c r="CN110" s="130"/>
      <c r="CO110" s="130"/>
      <c r="CP110" s="130"/>
      <c r="CQ110" s="130"/>
      <c r="CR110" s="130"/>
      <c r="CS110" s="130"/>
      <c r="CT110" s="130"/>
      <c r="CU110" s="130"/>
      <c r="CV110" s="130"/>
      <c r="CW110" s="130"/>
      <c r="CX110" s="130"/>
      <c r="CY110" s="130"/>
      <c r="CZ110" s="130"/>
      <c r="DA110" s="130"/>
      <c r="DB110" s="130"/>
      <c r="DC110" s="130"/>
      <c r="DD110" s="130"/>
      <c r="DE110" s="130"/>
      <c r="DF110" s="130"/>
      <c r="DG110" s="130"/>
      <c r="DH110" s="130"/>
      <c r="DI110" s="130"/>
      <c r="DJ110" s="130"/>
      <c r="DK110" s="130"/>
      <c r="DL110" s="130"/>
      <c r="DM110" s="130"/>
      <c r="DN110" s="130"/>
      <c r="DO110" s="130"/>
      <c r="DP110" s="130"/>
      <c r="DQ110" s="130"/>
      <c r="DR110" s="130"/>
      <c r="DS110" s="130"/>
      <c r="DT110" s="130"/>
      <c r="DU110" s="130"/>
      <c r="DV110" s="130"/>
      <c r="DW110" s="130"/>
      <c r="DX110" s="130"/>
      <c r="DY110" s="130"/>
      <c r="DZ110" s="130"/>
      <c r="EA110" s="130"/>
      <c r="EB110" s="130"/>
      <c r="EC110" s="130"/>
      <c r="ED110" s="130"/>
      <c r="EE110" s="130"/>
      <c r="EF110" s="130"/>
      <c r="EG110" s="130"/>
      <c r="EH110" s="130"/>
      <c r="EI110" s="130"/>
      <c r="EJ110" s="130"/>
      <c r="EK110" s="130"/>
      <c r="EL110" s="130"/>
      <c r="EM110" s="130"/>
      <c r="EN110" s="130"/>
      <c r="EO110" s="130"/>
      <c r="EP110" s="130"/>
      <c r="EQ110" s="130"/>
      <c r="ER110" s="130"/>
      <c r="ES110" s="130"/>
      <c r="ET110" s="130"/>
      <c r="EU110" s="130"/>
      <c r="EV110" s="130"/>
      <c r="EW110" s="130"/>
      <c r="EX110" s="130"/>
      <c r="EY110" s="130"/>
      <c r="EZ110" s="130"/>
      <c r="FA110" s="130"/>
      <c r="FB110" s="130"/>
      <c r="FC110" s="130"/>
      <c r="FD110" s="130"/>
      <c r="FE110" s="130"/>
      <c r="FF110" s="130"/>
      <c r="FG110" s="130"/>
      <c r="FH110" s="130"/>
      <c r="FI110" s="130"/>
      <c r="FJ110" s="130"/>
      <c r="FK110" s="130"/>
      <c r="FL110" s="130"/>
      <c r="FM110" s="130"/>
      <c r="FN110" s="130"/>
      <c r="FO110" s="130"/>
      <c r="FP110" s="130"/>
      <c r="FQ110" s="130"/>
      <c r="FR110" s="130"/>
      <c r="FS110" s="130"/>
      <c r="FT110" s="130"/>
      <c r="FU110" s="130"/>
      <c r="FV110" s="130"/>
      <c r="FW110" s="130"/>
      <c r="FX110" s="130"/>
      <c r="FY110" s="130"/>
      <c r="FZ110" s="130"/>
      <c r="GA110" s="130"/>
      <c r="GB110" s="130"/>
      <c r="GC110" s="130"/>
      <c r="GD110" s="130"/>
      <c r="GE110" s="130"/>
      <c r="GF110" s="130"/>
      <c r="GG110" s="130"/>
      <c r="GH110" s="130"/>
      <c r="GI110" s="130"/>
      <c r="GJ110" s="130"/>
      <c r="GK110" s="130"/>
      <c r="GL110" s="130"/>
      <c r="GM110" s="130"/>
      <c r="GN110" s="130"/>
      <c r="GO110" s="130"/>
      <c r="GP110" s="130"/>
      <c r="GQ110" s="130"/>
      <c r="GR110" s="130"/>
      <c r="GS110" s="130"/>
      <c r="GT110" s="130"/>
      <c r="GU110" s="130"/>
      <c r="GV110" s="130"/>
      <c r="GW110" s="130"/>
      <c r="GX110" s="130"/>
      <c r="GY110" s="130"/>
      <c r="GZ110" s="130"/>
      <c r="HA110" s="130"/>
      <c r="HB110" s="130"/>
      <c r="HC110" s="130"/>
      <c r="HD110" s="130"/>
      <c r="HE110" s="130"/>
      <c r="HF110" s="130"/>
      <c r="HG110" s="130"/>
      <c r="HH110" s="130"/>
      <c r="HI110" s="130"/>
      <c r="HJ110" s="130"/>
      <c r="HK110" s="130"/>
      <c r="HL110" s="130"/>
      <c r="HM110" s="130"/>
      <c r="HN110" s="130"/>
      <c r="HO110" s="130"/>
      <c r="HP110" s="130"/>
      <c r="HQ110" s="130"/>
      <c r="HR110" s="130"/>
      <c r="HS110" s="130"/>
      <c r="HT110" s="130"/>
      <c r="HU110" s="130"/>
      <c r="HV110" s="130"/>
      <c r="HW110" s="130"/>
      <c r="HX110" s="130"/>
      <c r="HY110" s="130"/>
      <c r="HZ110" s="130"/>
      <c r="IA110" s="130"/>
      <c r="IB110" s="130"/>
    </row>
    <row r="111" spans="1:236" ht="14.15" customHeight="1">
      <c r="A111" s="130"/>
      <c r="B111" s="129"/>
      <c r="C111" s="129"/>
      <c r="D111" s="129"/>
      <c r="E111" s="129"/>
      <c r="F111" s="129"/>
      <c r="G111" s="129"/>
      <c r="H111" s="129"/>
      <c r="I111" s="129"/>
      <c r="J111" s="129"/>
      <c r="K111" s="129"/>
      <c r="L111" s="129"/>
      <c r="N111" s="1034"/>
      <c r="O111" s="1034"/>
      <c r="P111" s="548"/>
      <c r="Q111" s="548"/>
      <c r="R111" s="548"/>
      <c r="S111" s="548"/>
      <c r="U111" s="549"/>
      <c r="V111" s="548"/>
      <c r="W111" s="548"/>
      <c r="X111" s="548"/>
      <c r="Y111" s="548"/>
      <c r="Z111" s="548"/>
      <c r="AA111" s="548"/>
      <c r="AB111" s="548"/>
      <c r="AC111" s="548"/>
      <c r="AD111" s="548"/>
      <c r="AE111" s="548"/>
      <c r="AF111" s="548"/>
      <c r="AG111" s="548"/>
      <c r="AH111" s="548"/>
      <c r="AI111" s="548"/>
      <c r="AJ111" s="548"/>
      <c r="AK111" s="548"/>
      <c r="AL111" s="130"/>
      <c r="AM111" s="130"/>
      <c r="AN111" s="130"/>
      <c r="AO111" s="130"/>
      <c r="AP111" s="130"/>
      <c r="AQ111" s="130"/>
      <c r="AR111" s="130"/>
      <c r="AS111" s="130"/>
      <c r="AT111" s="130"/>
      <c r="AU111" s="130"/>
      <c r="AV111" s="130"/>
      <c r="AW111" s="130"/>
      <c r="AX111" s="130"/>
      <c r="AY111" s="130"/>
      <c r="AZ111" s="130"/>
      <c r="BA111" s="130"/>
      <c r="BB111" s="130"/>
      <c r="BC111" s="130"/>
      <c r="BD111" s="130"/>
      <c r="BE111" s="130"/>
      <c r="BF111" s="130"/>
      <c r="BG111" s="130"/>
      <c r="BH111" s="130"/>
      <c r="BI111" s="130"/>
      <c r="BJ111" s="130"/>
      <c r="BK111" s="130"/>
      <c r="BL111" s="130"/>
      <c r="BM111" s="130"/>
      <c r="BN111" s="130"/>
      <c r="BO111" s="130"/>
      <c r="BP111" s="130"/>
      <c r="BQ111" s="130"/>
      <c r="BR111" s="130"/>
      <c r="BS111" s="130"/>
      <c r="BT111" s="130"/>
      <c r="BU111" s="130"/>
      <c r="BV111" s="130"/>
      <c r="BW111" s="130"/>
      <c r="BX111" s="130"/>
      <c r="BY111" s="130"/>
      <c r="BZ111" s="130"/>
      <c r="CA111" s="130"/>
      <c r="CB111" s="130"/>
      <c r="CC111" s="130"/>
      <c r="CD111" s="130"/>
      <c r="CE111" s="130"/>
      <c r="CF111" s="130"/>
      <c r="CG111" s="130"/>
      <c r="CH111" s="130"/>
      <c r="CI111" s="130"/>
      <c r="CJ111" s="130"/>
      <c r="CK111" s="130"/>
      <c r="CL111" s="130"/>
      <c r="CM111" s="130"/>
      <c r="CN111" s="130"/>
      <c r="CO111" s="130"/>
      <c r="CP111" s="130"/>
      <c r="CQ111" s="130"/>
      <c r="CR111" s="130"/>
      <c r="CS111" s="130"/>
      <c r="CT111" s="130"/>
      <c r="CU111" s="130"/>
      <c r="CV111" s="130"/>
      <c r="CW111" s="130"/>
      <c r="CX111" s="130"/>
      <c r="CY111" s="130"/>
      <c r="CZ111" s="130"/>
      <c r="DA111" s="130"/>
      <c r="DB111" s="130"/>
      <c r="DC111" s="130"/>
      <c r="DD111" s="130"/>
      <c r="DE111" s="130"/>
      <c r="DF111" s="130"/>
      <c r="DG111" s="130"/>
      <c r="DH111" s="130"/>
      <c r="DI111" s="130"/>
      <c r="DJ111" s="130"/>
      <c r="DK111" s="130"/>
      <c r="DL111" s="130"/>
      <c r="DM111" s="130"/>
      <c r="DN111" s="130"/>
      <c r="DO111" s="130"/>
      <c r="DP111" s="130"/>
      <c r="DQ111" s="130"/>
      <c r="DR111" s="130"/>
      <c r="DS111" s="130"/>
      <c r="DT111" s="130"/>
      <c r="DU111" s="130"/>
      <c r="DV111" s="130"/>
      <c r="DW111" s="130"/>
      <c r="DX111" s="130"/>
      <c r="DY111" s="130"/>
      <c r="DZ111" s="130"/>
      <c r="EA111" s="130"/>
      <c r="EB111" s="130"/>
      <c r="EC111" s="130"/>
      <c r="ED111" s="130"/>
      <c r="EE111" s="130"/>
      <c r="EF111" s="130"/>
      <c r="EG111" s="130"/>
      <c r="EH111" s="130"/>
      <c r="EI111" s="130"/>
      <c r="EJ111" s="130"/>
      <c r="EK111" s="130"/>
      <c r="EL111" s="130"/>
      <c r="EM111" s="130"/>
      <c r="EN111" s="130"/>
      <c r="EO111" s="130"/>
      <c r="EP111" s="130"/>
      <c r="EQ111" s="130"/>
      <c r="ER111" s="130"/>
      <c r="ES111" s="130"/>
      <c r="ET111" s="130"/>
      <c r="EU111" s="130"/>
      <c r="EV111" s="130"/>
      <c r="EW111" s="130"/>
      <c r="EX111" s="130"/>
      <c r="EY111" s="130"/>
      <c r="EZ111" s="130"/>
      <c r="FA111" s="130"/>
      <c r="FB111" s="130"/>
      <c r="FC111" s="130"/>
      <c r="FD111" s="130"/>
      <c r="FE111" s="130"/>
      <c r="FF111" s="130"/>
      <c r="FG111" s="130"/>
      <c r="FH111" s="130"/>
      <c r="FI111" s="130"/>
      <c r="FJ111" s="130"/>
      <c r="FK111" s="130"/>
      <c r="FL111" s="130"/>
      <c r="FM111" s="130"/>
      <c r="FN111" s="130"/>
      <c r="FO111" s="130"/>
      <c r="FP111" s="130"/>
      <c r="FQ111" s="130"/>
      <c r="FR111" s="130"/>
      <c r="FS111" s="130"/>
      <c r="FT111" s="130"/>
      <c r="FU111" s="130"/>
      <c r="FV111" s="130"/>
      <c r="FW111" s="130"/>
      <c r="FX111" s="130"/>
      <c r="FY111" s="130"/>
      <c r="FZ111" s="130"/>
      <c r="GA111" s="130"/>
      <c r="GB111" s="130"/>
      <c r="GC111" s="130"/>
      <c r="GD111" s="130"/>
      <c r="GE111" s="130"/>
      <c r="GF111" s="130"/>
      <c r="GG111" s="130"/>
      <c r="GH111" s="130"/>
      <c r="GI111" s="130"/>
      <c r="GJ111" s="130"/>
      <c r="GK111" s="130"/>
      <c r="GL111" s="130"/>
      <c r="GM111" s="130"/>
      <c r="GN111" s="130"/>
      <c r="GO111" s="130"/>
      <c r="GP111" s="130"/>
      <c r="GQ111" s="130"/>
      <c r="GR111" s="130"/>
      <c r="GS111" s="130"/>
      <c r="GT111" s="130"/>
      <c r="GU111" s="130"/>
      <c r="GV111" s="130"/>
      <c r="GW111" s="130"/>
      <c r="GX111" s="130"/>
      <c r="GY111" s="130"/>
      <c r="GZ111" s="130"/>
      <c r="HA111" s="130"/>
      <c r="HB111" s="130"/>
      <c r="HC111" s="130"/>
      <c r="HD111" s="130"/>
      <c r="HE111" s="130"/>
      <c r="HF111" s="130"/>
      <c r="HG111" s="130"/>
      <c r="HH111" s="130"/>
      <c r="HI111" s="130"/>
      <c r="HJ111" s="130"/>
      <c r="HK111" s="130"/>
      <c r="HL111" s="130"/>
      <c r="HM111" s="130"/>
      <c r="HN111" s="130"/>
      <c r="HO111" s="130"/>
      <c r="HP111" s="130"/>
      <c r="HQ111" s="130"/>
      <c r="HR111" s="130"/>
      <c r="HS111" s="130"/>
      <c r="HT111" s="130"/>
      <c r="HU111" s="130"/>
      <c r="HV111" s="130"/>
      <c r="HW111" s="130"/>
      <c r="HX111" s="130"/>
      <c r="HY111" s="130"/>
      <c r="HZ111" s="130"/>
      <c r="IA111" s="130"/>
      <c r="IB111" s="130"/>
    </row>
    <row r="112" spans="1:236" ht="14.15" customHeight="1">
      <c r="P112" s="548"/>
      <c r="Q112" s="548"/>
      <c r="R112" s="548"/>
      <c r="S112" s="548"/>
      <c r="U112" s="549"/>
      <c r="V112" s="548"/>
      <c r="W112" s="548"/>
      <c r="X112" s="548"/>
      <c r="Y112" s="548"/>
      <c r="Z112" s="548"/>
      <c r="AA112" s="548"/>
      <c r="AB112" s="548"/>
      <c r="AC112" s="548"/>
      <c r="AD112" s="548"/>
      <c r="AE112" s="548"/>
      <c r="AF112" s="548"/>
      <c r="AG112" s="548"/>
      <c r="AH112" s="548"/>
      <c r="AI112" s="548"/>
      <c r="AJ112" s="548"/>
      <c r="AK112" s="548"/>
      <c r="AL112" s="130"/>
      <c r="AM112" s="130"/>
      <c r="AN112" s="130"/>
      <c r="AO112" s="130"/>
      <c r="AP112" s="130"/>
      <c r="AQ112" s="130"/>
      <c r="AR112" s="130"/>
      <c r="AS112" s="130"/>
      <c r="AT112" s="130"/>
      <c r="AU112" s="130"/>
      <c r="AV112" s="130"/>
      <c r="AW112" s="130"/>
      <c r="AX112" s="130"/>
      <c r="AY112" s="130"/>
      <c r="AZ112" s="130"/>
      <c r="BA112" s="130"/>
      <c r="BB112" s="130"/>
      <c r="BC112" s="130"/>
      <c r="BD112" s="130"/>
      <c r="BE112" s="130"/>
      <c r="BF112" s="130"/>
      <c r="BG112" s="130"/>
      <c r="BH112" s="130"/>
      <c r="BI112" s="130"/>
      <c r="BJ112" s="130"/>
      <c r="BK112" s="130"/>
      <c r="BL112" s="130"/>
      <c r="BM112" s="130"/>
      <c r="BN112" s="130"/>
      <c r="BO112" s="130"/>
      <c r="BP112" s="130"/>
      <c r="BQ112" s="130"/>
      <c r="BR112" s="130"/>
      <c r="BS112" s="130"/>
      <c r="BT112" s="130"/>
      <c r="BU112" s="130"/>
      <c r="BV112" s="130"/>
      <c r="BW112" s="130"/>
      <c r="BX112" s="130"/>
      <c r="BY112" s="130"/>
      <c r="BZ112" s="130"/>
      <c r="CA112" s="130"/>
      <c r="CB112" s="130"/>
      <c r="CC112" s="130"/>
      <c r="CD112" s="130"/>
      <c r="CE112" s="130"/>
      <c r="CF112" s="130"/>
      <c r="CG112" s="130"/>
      <c r="CH112" s="130"/>
      <c r="CI112" s="130"/>
      <c r="CJ112" s="130"/>
      <c r="CK112" s="130"/>
      <c r="CL112" s="130"/>
      <c r="CM112" s="130"/>
      <c r="CN112" s="130"/>
      <c r="CO112" s="130"/>
      <c r="CP112" s="130"/>
      <c r="CQ112" s="130"/>
      <c r="CR112" s="130"/>
      <c r="CS112" s="130"/>
      <c r="CT112" s="130"/>
      <c r="CU112" s="130"/>
      <c r="CV112" s="130"/>
      <c r="CW112" s="130"/>
      <c r="CX112" s="130"/>
      <c r="CY112" s="130"/>
      <c r="CZ112" s="130"/>
      <c r="DA112" s="130"/>
      <c r="DB112" s="130"/>
      <c r="DC112" s="130"/>
      <c r="DD112" s="130"/>
      <c r="DE112" s="130"/>
      <c r="DF112" s="130"/>
      <c r="DG112" s="130"/>
      <c r="DH112" s="130"/>
      <c r="DI112" s="130"/>
      <c r="DJ112" s="130"/>
      <c r="DK112" s="130"/>
      <c r="DL112" s="130"/>
      <c r="DM112" s="130"/>
      <c r="DN112" s="130"/>
      <c r="DO112" s="130"/>
      <c r="DP112" s="130"/>
      <c r="DQ112" s="130"/>
      <c r="DR112" s="130"/>
      <c r="DS112" s="130"/>
      <c r="DT112" s="130"/>
      <c r="DU112" s="130"/>
      <c r="DV112" s="130"/>
      <c r="DW112" s="130"/>
      <c r="DX112" s="130"/>
      <c r="DY112" s="130"/>
      <c r="DZ112" s="130"/>
      <c r="EA112" s="130"/>
      <c r="EB112" s="130"/>
      <c r="EC112" s="130"/>
      <c r="ED112" s="130"/>
      <c r="EE112" s="130"/>
      <c r="EF112" s="130"/>
      <c r="EG112" s="130"/>
      <c r="EH112" s="130"/>
      <c r="EI112" s="130"/>
      <c r="EJ112" s="130"/>
      <c r="EK112" s="130"/>
      <c r="EL112" s="130"/>
      <c r="EM112" s="130"/>
      <c r="EN112" s="130"/>
      <c r="EO112" s="130"/>
      <c r="EP112" s="130"/>
      <c r="EQ112" s="130"/>
      <c r="ER112" s="130"/>
      <c r="ES112" s="130"/>
      <c r="ET112" s="130"/>
      <c r="EU112" s="130"/>
      <c r="EV112" s="130"/>
      <c r="EW112" s="130"/>
      <c r="EX112" s="130"/>
      <c r="EY112" s="130"/>
      <c r="EZ112" s="130"/>
      <c r="FA112" s="130"/>
      <c r="FB112" s="130"/>
      <c r="FC112" s="130"/>
      <c r="FD112" s="130"/>
      <c r="FE112" s="130"/>
      <c r="FF112" s="130"/>
      <c r="FG112" s="130"/>
      <c r="FH112" s="130"/>
      <c r="FI112" s="130"/>
      <c r="FJ112" s="130"/>
      <c r="FK112" s="130"/>
      <c r="FL112" s="130"/>
      <c r="FM112" s="130"/>
      <c r="FN112" s="130"/>
      <c r="FO112" s="130"/>
      <c r="FP112" s="130"/>
      <c r="FQ112" s="130"/>
      <c r="FR112" s="130"/>
      <c r="FS112" s="130"/>
      <c r="FT112" s="130"/>
      <c r="FU112" s="130"/>
      <c r="FV112" s="130"/>
      <c r="FW112" s="130"/>
      <c r="FX112" s="130"/>
      <c r="FY112" s="130"/>
      <c r="FZ112" s="130"/>
      <c r="GA112" s="130"/>
      <c r="GB112" s="130"/>
      <c r="GC112" s="130"/>
      <c r="GD112" s="130"/>
      <c r="GE112" s="130"/>
      <c r="GF112" s="130"/>
      <c r="GG112" s="130"/>
      <c r="GH112" s="130"/>
      <c r="GI112" s="130"/>
      <c r="GJ112" s="130"/>
      <c r="GK112" s="130"/>
      <c r="GL112" s="130"/>
      <c r="GM112" s="130"/>
      <c r="GN112" s="130"/>
      <c r="GO112" s="130"/>
      <c r="GP112" s="130"/>
      <c r="GQ112" s="130"/>
      <c r="GR112" s="130"/>
      <c r="GS112" s="130"/>
      <c r="GT112" s="130"/>
      <c r="GU112" s="130"/>
      <c r="GV112" s="130"/>
      <c r="GW112" s="130"/>
      <c r="GX112" s="130"/>
      <c r="GY112" s="130"/>
      <c r="GZ112" s="130"/>
      <c r="HA112" s="130"/>
      <c r="HB112" s="130"/>
      <c r="HC112" s="130"/>
      <c r="HD112" s="130"/>
      <c r="HE112" s="130"/>
      <c r="HF112" s="130"/>
      <c r="HG112" s="130"/>
      <c r="HH112" s="130"/>
      <c r="HI112" s="130"/>
      <c r="HJ112" s="130"/>
      <c r="HK112" s="130"/>
      <c r="HL112" s="130"/>
      <c r="HM112" s="130"/>
      <c r="HN112" s="130"/>
      <c r="HO112" s="130"/>
      <c r="HP112" s="130"/>
      <c r="HQ112" s="130"/>
      <c r="HR112" s="130"/>
      <c r="HS112" s="130"/>
      <c r="HT112" s="130"/>
      <c r="HU112" s="130"/>
      <c r="HV112" s="130"/>
      <c r="HW112" s="130"/>
      <c r="HX112" s="130"/>
      <c r="HY112" s="130"/>
      <c r="HZ112" s="130"/>
      <c r="IA112" s="130"/>
      <c r="IB112" s="130"/>
    </row>
    <row r="113" spans="16:236" ht="14.15" customHeight="1">
      <c r="P113" s="548"/>
      <c r="Q113" s="548"/>
      <c r="R113" s="548"/>
      <c r="S113" s="548"/>
      <c r="U113" s="549"/>
      <c r="V113" s="548"/>
      <c r="W113" s="548"/>
      <c r="X113" s="548"/>
      <c r="Y113" s="548"/>
      <c r="Z113" s="548"/>
      <c r="AA113" s="548"/>
      <c r="AB113" s="548"/>
      <c r="AC113" s="548"/>
      <c r="AD113" s="548"/>
      <c r="AE113" s="548"/>
      <c r="AF113" s="548"/>
      <c r="AG113" s="548"/>
      <c r="AH113" s="548"/>
      <c r="AI113" s="548"/>
      <c r="AJ113" s="548"/>
      <c r="AK113" s="548"/>
      <c r="AL113" s="130"/>
      <c r="AM113" s="130"/>
      <c r="AN113" s="130"/>
      <c r="AO113" s="130"/>
      <c r="AP113" s="130"/>
      <c r="AQ113" s="130"/>
      <c r="AR113" s="130"/>
      <c r="AS113" s="130"/>
      <c r="AT113" s="130"/>
      <c r="AU113" s="130"/>
      <c r="AV113" s="130"/>
      <c r="AW113" s="130"/>
      <c r="AX113" s="130"/>
      <c r="AY113" s="130"/>
      <c r="AZ113" s="130"/>
      <c r="BA113" s="130"/>
      <c r="BB113" s="130"/>
      <c r="BC113" s="130"/>
      <c r="BD113" s="130"/>
      <c r="BE113" s="130"/>
      <c r="BF113" s="130"/>
      <c r="BG113" s="130"/>
      <c r="BH113" s="130"/>
      <c r="BI113" s="130"/>
      <c r="BJ113" s="130"/>
      <c r="BK113" s="130"/>
      <c r="BL113" s="130"/>
      <c r="BM113" s="130"/>
      <c r="BN113" s="130"/>
      <c r="BO113" s="130"/>
      <c r="BP113" s="130"/>
      <c r="BQ113" s="130"/>
      <c r="BR113" s="130"/>
      <c r="BS113" s="130"/>
      <c r="BT113" s="130"/>
      <c r="BU113" s="130"/>
      <c r="BV113" s="130"/>
      <c r="BW113" s="130"/>
      <c r="BX113" s="130"/>
      <c r="BY113" s="130"/>
      <c r="BZ113" s="130"/>
      <c r="CA113" s="130"/>
      <c r="CB113" s="130"/>
      <c r="CC113" s="130"/>
      <c r="CD113" s="130"/>
      <c r="CE113" s="130"/>
      <c r="CF113" s="130"/>
      <c r="CG113" s="130"/>
      <c r="CH113" s="130"/>
      <c r="CI113" s="130"/>
      <c r="CJ113" s="130"/>
      <c r="CK113" s="130"/>
      <c r="CL113" s="130"/>
      <c r="CM113" s="130"/>
      <c r="CN113" s="130"/>
      <c r="CO113" s="130"/>
      <c r="CP113" s="130"/>
      <c r="CQ113" s="130"/>
      <c r="CR113" s="130"/>
      <c r="CS113" s="130"/>
      <c r="CT113" s="130"/>
      <c r="CU113" s="130"/>
      <c r="CV113" s="130"/>
      <c r="CW113" s="130"/>
      <c r="CX113" s="130"/>
      <c r="CY113" s="130"/>
      <c r="CZ113" s="130"/>
      <c r="DA113" s="130"/>
      <c r="DB113" s="130"/>
      <c r="DC113" s="130"/>
      <c r="DD113" s="130"/>
      <c r="DE113" s="130"/>
      <c r="DF113" s="130"/>
      <c r="DG113" s="130"/>
      <c r="DH113" s="130"/>
      <c r="DI113" s="130"/>
      <c r="DJ113" s="130"/>
      <c r="DK113" s="130"/>
      <c r="DL113" s="130"/>
      <c r="DM113" s="130"/>
      <c r="DN113" s="130"/>
      <c r="DO113" s="130"/>
      <c r="DP113" s="130"/>
      <c r="DQ113" s="130"/>
      <c r="DR113" s="130"/>
      <c r="DS113" s="130"/>
      <c r="DT113" s="130"/>
      <c r="DU113" s="130"/>
      <c r="DV113" s="130"/>
      <c r="DW113" s="130"/>
      <c r="DX113" s="130"/>
      <c r="DY113" s="130"/>
      <c r="DZ113" s="130"/>
      <c r="EA113" s="130"/>
      <c r="EB113" s="130"/>
      <c r="EC113" s="130"/>
      <c r="ED113" s="130"/>
      <c r="EE113" s="130"/>
      <c r="EF113" s="130"/>
      <c r="EG113" s="130"/>
      <c r="EH113" s="130"/>
      <c r="EI113" s="130"/>
      <c r="EJ113" s="130"/>
      <c r="EK113" s="130"/>
      <c r="EL113" s="130"/>
      <c r="EM113" s="130"/>
      <c r="EN113" s="130"/>
      <c r="EO113" s="130"/>
      <c r="EP113" s="130"/>
      <c r="EQ113" s="130"/>
      <c r="ER113" s="130"/>
      <c r="ES113" s="130"/>
      <c r="ET113" s="130"/>
      <c r="EU113" s="130"/>
      <c r="EV113" s="130"/>
      <c r="EW113" s="130"/>
      <c r="EX113" s="130"/>
      <c r="EY113" s="130"/>
      <c r="EZ113" s="130"/>
      <c r="FA113" s="130"/>
      <c r="FB113" s="130"/>
      <c r="FC113" s="130"/>
      <c r="FD113" s="130"/>
      <c r="FE113" s="130"/>
      <c r="FF113" s="130"/>
      <c r="FG113" s="130"/>
      <c r="FH113" s="130"/>
      <c r="FI113" s="130"/>
      <c r="FJ113" s="130"/>
      <c r="FK113" s="130"/>
      <c r="FL113" s="130"/>
      <c r="FM113" s="130"/>
      <c r="FN113" s="130"/>
      <c r="FO113" s="130"/>
      <c r="FP113" s="130"/>
      <c r="FQ113" s="130"/>
      <c r="FR113" s="130"/>
      <c r="FS113" s="130"/>
      <c r="FT113" s="130"/>
      <c r="FU113" s="130"/>
      <c r="FV113" s="130"/>
      <c r="FW113" s="130"/>
      <c r="FX113" s="130"/>
      <c r="FY113" s="130"/>
      <c r="FZ113" s="130"/>
      <c r="GA113" s="130"/>
      <c r="GB113" s="130"/>
      <c r="GC113" s="130"/>
      <c r="GD113" s="130"/>
      <c r="GE113" s="130"/>
      <c r="GF113" s="130"/>
      <c r="GG113" s="130"/>
      <c r="GH113" s="130"/>
      <c r="GI113" s="130"/>
      <c r="GJ113" s="130"/>
      <c r="GK113" s="130"/>
      <c r="GL113" s="130"/>
      <c r="GM113" s="130"/>
      <c r="GN113" s="130"/>
      <c r="GO113" s="130"/>
      <c r="GP113" s="130"/>
      <c r="GQ113" s="130"/>
      <c r="GR113" s="130"/>
      <c r="GS113" s="130"/>
      <c r="GT113" s="130"/>
      <c r="GU113" s="130"/>
      <c r="GV113" s="130"/>
      <c r="GW113" s="130"/>
      <c r="GX113" s="130"/>
      <c r="GY113" s="130"/>
      <c r="GZ113" s="130"/>
      <c r="HA113" s="130"/>
      <c r="HB113" s="130"/>
      <c r="HC113" s="130"/>
      <c r="HD113" s="130"/>
      <c r="HE113" s="130"/>
      <c r="HF113" s="130"/>
      <c r="HG113" s="130"/>
      <c r="HH113" s="130"/>
      <c r="HI113" s="130"/>
      <c r="HJ113" s="130"/>
      <c r="HK113" s="130"/>
      <c r="HL113" s="130"/>
      <c r="HM113" s="130"/>
      <c r="HN113" s="130"/>
      <c r="HO113" s="130"/>
      <c r="HP113" s="130"/>
      <c r="HQ113" s="130"/>
      <c r="HR113" s="130"/>
      <c r="HS113" s="130"/>
      <c r="HT113" s="130"/>
      <c r="HU113" s="130"/>
      <c r="HV113" s="130"/>
      <c r="HW113" s="130"/>
      <c r="HX113" s="130"/>
      <c r="HY113" s="130"/>
      <c r="HZ113" s="130"/>
      <c r="IA113" s="130"/>
      <c r="IB113" s="130"/>
    </row>
  </sheetData>
  <customSheetViews>
    <customSheetView guid="{E6BBE5A7-0B25-4EE8-BA45-5EA5DBAF3AD4}" showPageBreaks="1" printArea="1" topLeftCell="A19">
      <selection activeCell="C9" sqref="C9"/>
      <rowBreaks count="1" manualBreakCount="1">
        <brk id="47" max="9" man="1"/>
      </rowBreaks>
      <pageMargins left="0.5" right="0.5" top="1" bottom="1" header="0.5" footer="0.5"/>
      <printOptions horizontalCentered="1"/>
      <pageSetup scale="62" orientation="landscape" r:id="rId1"/>
      <headerFooter alignWithMargins="0"/>
    </customSheetView>
  </customSheetViews>
  <phoneticPr fontId="211" type="noConversion"/>
  <hyperlinks>
    <hyperlink ref="U1" location="TOC!A1" display="Back" xr:uid="{00000000-0004-0000-0300-000000000000}"/>
  </hyperlinks>
  <printOptions horizontalCentered="1"/>
  <pageMargins left="0.4" right="0.25" top="0.5" bottom="0.25" header="0.25" footer="0"/>
  <pageSetup scale="71" orientation="landscape" r:id="rId2"/>
  <headerFooter scaleWithDoc="0">
    <oddHeader>&amp;R&amp;P</oddHead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AV59"/>
  <sheetViews>
    <sheetView zoomScaleNormal="100" workbookViewId="0"/>
  </sheetViews>
  <sheetFormatPr defaultColWidth="12.453125" defaultRowHeight="12.5"/>
  <cols>
    <col min="1" max="1" width="18.7265625" customWidth="1"/>
    <col min="2" max="2" width="3.7265625" customWidth="1"/>
    <col min="3" max="3" width="18.7265625" customWidth="1"/>
    <col min="4" max="4" width="3.7265625" customWidth="1"/>
    <col min="5" max="5" width="85.7265625" customWidth="1"/>
    <col min="6" max="19" width="12.453125" customWidth="1"/>
    <col min="20" max="20" width="12.453125" style="6" customWidth="1"/>
    <col min="21" max="21" width="24.453125" style="6" customWidth="1"/>
  </cols>
  <sheetData>
    <row r="1" spans="1:48" ht="18">
      <c r="A1" s="65" t="s">
        <v>286</v>
      </c>
      <c r="F1" s="811" t="s">
        <v>954</v>
      </c>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row>
    <row r="2" spans="1:48" ht="15.5">
      <c r="A2" s="7" t="s">
        <v>287</v>
      </c>
      <c r="V2" s="170"/>
      <c r="W2" s="170"/>
      <c r="X2" s="170"/>
      <c r="Y2" s="170"/>
      <c r="Z2" s="170"/>
      <c r="AA2" s="170"/>
      <c r="AB2" s="170"/>
      <c r="AC2" s="170"/>
      <c r="AD2" s="170"/>
      <c r="AE2" s="170"/>
      <c r="AF2" s="170"/>
      <c r="AG2" s="170"/>
      <c r="AH2" s="170"/>
      <c r="AI2" s="170"/>
      <c r="AJ2" s="170"/>
      <c r="AK2" s="170"/>
      <c r="AL2" s="170"/>
      <c r="AM2" s="170"/>
      <c r="AN2" s="170"/>
      <c r="AO2" s="170"/>
      <c r="AP2" s="170"/>
      <c r="AQ2" s="170"/>
      <c r="AR2" s="170"/>
      <c r="AS2" s="170"/>
      <c r="AT2" s="170"/>
      <c r="AU2" s="170"/>
      <c r="AV2" s="170"/>
    </row>
    <row r="3" spans="1:48" ht="15.5">
      <c r="A3" s="7"/>
      <c r="V3" s="170"/>
      <c r="W3" s="170"/>
      <c r="X3" s="170"/>
      <c r="Y3" s="170"/>
      <c r="Z3" s="170"/>
      <c r="AA3" s="170"/>
      <c r="AB3" s="170"/>
      <c r="AC3" s="170"/>
      <c r="AD3" s="170"/>
      <c r="AE3" s="170"/>
      <c r="AF3" s="170"/>
      <c r="AG3" s="170"/>
      <c r="AH3" s="170"/>
      <c r="AI3" s="170"/>
      <c r="AJ3" s="170"/>
      <c r="AK3" s="170"/>
      <c r="AL3" s="170"/>
      <c r="AM3" s="170"/>
      <c r="AN3" s="170"/>
      <c r="AO3" s="170"/>
      <c r="AP3" s="170"/>
      <c r="AQ3" s="170"/>
      <c r="AR3" s="170"/>
      <c r="AS3" s="170"/>
      <c r="AT3" s="170"/>
      <c r="AU3" s="170"/>
      <c r="AV3" s="170"/>
    </row>
    <row r="4" spans="1:48" ht="16" thickBot="1">
      <c r="A4" s="7"/>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row>
    <row r="5" spans="1:48">
      <c r="A5" s="66"/>
      <c r="B5" s="66"/>
      <c r="C5" s="66"/>
      <c r="D5" s="66"/>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0"/>
      <c r="AT5" s="170"/>
      <c r="AU5" s="170"/>
      <c r="AV5" s="170"/>
    </row>
    <row r="6" spans="1:48" ht="15.5">
      <c r="A6" s="67" t="s">
        <v>288</v>
      </c>
      <c r="B6" s="68"/>
      <c r="C6" s="787" t="s">
        <v>16</v>
      </c>
      <c r="D6" s="68"/>
      <c r="V6" s="170"/>
      <c r="W6" s="170"/>
      <c r="X6" s="170"/>
      <c r="Y6" s="170"/>
      <c r="Z6" s="170"/>
      <c r="AA6" s="170"/>
      <c r="AB6" s="170"/>
      <c r="AC6" s="170"/>
      <c r="AD6" s="170"/>
      <c r="AE6" s="170"/>
      <c r="AF6" s="170"/>
      <c r="AG6" s="170"/>
      <c r="AH6" s="170"/>
      <c r="AI6" s="170"/>
      <c r="AJ6" s="170"/>
      <c r="AK6" s="170"/>
      <c r="AL6" s="170"/>
      <c r="AM6" s="170"/>
      <c r="AN6" s="170"/>
      <c r="AO6" s="170"/>
      <c r="AP6" s="170"/>
      <c r="AQ6" s="170"/>
      <c r="AR6" s="170"/>
      <c r="AS6" s="170"/>
      <c r="AT6" s="170"/>
      <c r="AU6" s="170"/>
      <c r="AV6" s="170"/>
    </row>
    <row r="7" spans="1:48" ht="15.5" hidden="1">
      <c r="A7" s="69"/>
      <c r="C7" s="70"/>
      <c r="F7" s="69"/>
      <c r="S7" s="222"/>
      <c r="V7" s="170"/>
      <c r="W7" s="170"/>
      <c r="X7" s="170"/>
      <c r="Y7" s="170"/>
      <c r="Z7" s="170"/>
      <c r="AA7" s="170"/>
      <c r="AB7" s="170"/>
      <c r="AC7" s="170"/>
      <c r="AD7" s="170"/>
      <c r="AE7" s="170"/>
      <c r="AF7" s="170"/>
      <c r="AG7" s="170"/>
      <c r="AH7" s="170"/>
      <c r="AI7" s="170"/>
      <c r="AJ7" s="170"/>
      <c r="AK7" s="170"/>
      <c r="AL7" s="170"/>
      <c r="AM7" s="170"/>
      <c r="AN7" s="170"/>
      <c r="AO7" s="170"/>
      <c r="AP7" s="170"/>
      <c r="AQ7" s="170"/>
      <c r="AR7" s="170"/>
      <c r="AS7" s="170"/>
      <c r="AT7" s="170"/>
      <c r="AU7" s="170"/>
      <c r="AV7" s="170"/>
    </row>
    <row r="8" spans="1:48" hidden="1">
      <c r="A8" s="69">
        <v>2006</v>
      </c>
      <c r="C8" s="218">
        <v>9132261251</v>
      </c>
      <c r="S8" s="222"/>
      <c r="V8" s="170"/>
      <c r="W8" s="398"/>
      <c r="X8" s="398"/>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row>
    <row r="9" spans="1:48" hidden="1">
      <c r="A9" s="69">
        <v>2007</v>
      </c>
      <c r="C9" s="71">
        <v>9601762403.6699944</v>
      </c>
      <c r="S9" s="222"/>
      <c r="V9" s="170"/>
      <c r="W9" s="398"/>
      <c r="X9" s="398"/>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row>
    <row r="10" spans="1:48" hidden="1">
      <c r="A10" s="69">
        <v>2008</v>
      </c>
      <c r="C10" s="71">
        <v>9201320075.0499992</v>
      </c>
      <c r="S10" s="222"/>
      <c r="V10" s="170"/>
      <c r="W10" s="398"/>
      <c r="X10" s="398"/>
      <c r="Y10" s="170"/>
      <c r="Z10" s="170"/>
      <c r="AA10" s="170"/>
      <c r="AB10" s="170"/>
      <c r="AC10" s="170"/>
      <c r="AD10" s="170"/>
    </row>
    <row r="11" spans="1:48" ht="24.75" hidden="1" customHeight="1">
      <c r="A11" s="788">
        <v>2009</v>
      </c>
      <c r="C11" s="218">
        <v>8838405972.0000038</v>
      </c>
      <c r="S11" s="222"/>
      <c r="V11" s="170"/>
      <c r="W11" s="398"/>
      <c r="X11" s="398"/>
      <c r="Y11" s="170"/>
      <c r="Z11" s="170"/>
      <c r="AA11" s="170"/>
      <c r="AB11" s="170"/>
      <c r="AC11" s="170"/>
      <c r="AD11" s="170"/>
    </row>
    <row r="12" spans="1:48" ht="21" hidden="1" customHeight="1">
      <c r="A12" s="788">
        <v>2010</v>
      </c>
      <c r="C12" s="71">
        <v>9537700528</v>
      </c>
      <c r="S12" s="222"/>
      <c r="V12" s="170"/>
      <c r="W12" s="398"/>
      <c r="X12" s="398"/>
      <c r="Y12" s="170"/>
      <c r="Z12" s="170"/>
      <c r="AA12" s="170"/>
      <c r="AB12" s="170"/>
      <c r="AC12" s="170"/>
      <c r="AD12" s="170"/>
    </row>
    <row r="13" spans="1:48" ht="21" customHeight="1">
      <c r="A13" s="788">
        <v>2011</v>
      </c>
      <c r="C13" s="218">
        <v>9846787045</v>
      </c>
      <c r="S13" s="222"/>
      <c r="V13" s="170"/>
      <c r="W13" s="398"/>
      <c r="X13" s="398"/>
      <c r="Y13" s="170"/>
      <c r="Z13" s="170"/>
      <c r="AA13" s="170"/>
      <c r="AB13" s="170"/>
      <c r="AC13" s="170"/>
      <c r="AD13" s="170"/>
    </row>
    <row r="14" spans="1:48">
      <c r="A14" s="788">
        <v>2012</v>
      </c>
      <c r="C14" s="71">
        <v>10527113882</v>
      </c>
      <c r="S14" s="222"/>
      <c r="V14" s="170"/>
      <c r="W14" s="398"/>
      <c r="X14" s="398"/>
      <c r="Y14" s="170"/>
      <c r="Z14" s="170"/>
      <c r="AA14" s="170"/>
      <c r="AB14" s="170"/>
      <c r="AC14" s="170"/>
      <c r="AD14" s="170"/>
    </row>
    <row r="15" spans="1:48">
      <c r="A15" s="788">
        <v>2013</v>
      </c>
      <c r="C15" s="71">
        <v>10586343685</v>
      </c>
      <c r="S15" s="222"/>
      <c r="V15" s="170"/>
      <c r="W15" s="398"/>
      <c r="X15" s="398"/>
      <c r="Y15" s="170"/>
      <c r="Z15" s="170"/>
      <c r="AA15" s="170"/>
      <c r="AB15" s="170"/>
      <c r="AC15" s="170"/>
      <c r="AD15" s="170"/>
    </row>
    <row r="16" spans="1:48">
      <c r="A16" s="788">
        <v>2014</v>
      </c>
      <c r="C16" s="71">
        <v>11623977320</v>
      </c>
      <c r="S16" s="222"/>
      <c r="V16" s="170"/>
      <c r="W16" s="398"/>
      <c r="X16" s="398"/>
      <c r="Y16" s="170"/>
      <c r="Z16" s="170"/>
      <c r="AA16" s="170"/>
      <c r="AB16" s="170"/>
      <c r="AC16" s="170"/>
      <c r="AD16" s="170"/>
    </row>
    <row r="17" spans="1:30">
      <c r="A17" s="788">
        <v>2015</v>
      </c>
      <c r="C17" s="71">
        <v>12071058964</v>
      </c>
      <c r="S17" s="222"/>
      <c r="V17" s="170"/>
      <c r="W17" s="398"/>
      <c r="X17" s="398"/>
      <c r="Y17" s="170"/>
      <c r="Z17" s="170"/>
      <c r="AA17" s="170"/>
      <c r="AB17" s="170"/>
      <c r="AC17" s="170"/>
      <c r="AD17" s="170"/>
    </row>
    <row r="18" spans="1:30">
      <c r="A18" s="788">
        <v>2016</v>
      </c>
      <c r="C18" s="71">
        <v>11800977144.559999</v>
      </c>
      <c r="E18" s="343"/>
      <c r="S18" s="222"/>
      <c r="V18" s="170"/>
      <c r="W18" s="398"/>
      <c r="X18" s="398"/>
      <c r="Y18" s="170"/>
      <c r="Z18" s="170"/>
      <c r="AA18" s="170"/>
      <c r="AB18" s="170"/>
      <c r="AC18" s="170"/>
      <c r="AD18" s="170"/>
    </row>
    <row r="19" spans="1:30">
      <c r="A19" s="788">
        <v>2017</v>
      </c>
      <c r="C19" s="71">
        <v>12342418241.27</v>
      </c>
      <c r="E19" s="452"/>
      <c r="F19" s="72"/>
      <c r="S19" s="222"/>
      <c r="V19" s="170"/>
      <c r="W19" s="398"/>
      <c r="X19" s="398"/>
      <c r="Y19" s="170"/>
      <c r="Z19" s="170"/>
      <c r="AA19" s="170"/>
      <c r="AB19" s="170"/>
      <c r="AC19" s="170"/>
      <c r="AD19" s="170"/>
    </row>
    <row r="20" spans="1:30">
      <c r="A20" s="788">
        <v>2018</v>
      </c>
      <c r="C20" s="71">
        <v>14112424787.530001</v>
      </c>
      <c r="E20" s="489">
        <f>C20/C19-1</f>
        <v>0.14340840762805573</v>
      </c>
      <c r="F20" s="72"/>
      <c r="S20" s="222"/>
      <c r="V20" s="170"/>
      <c r="W20" s="398"/>
      <c r="X20" s="398"/>
      <c r="Y20" s="170"/>
      <c r="Z20" s="170"/>
      <c r="AA20" s="170"/>
      <c r="AB20" s="170"/>
      <c r="AC20" s="170"/>
      <c r="AD20" s="170"/>
    </row>
    <row r="21" spans="1:30">
      <c r="A21" s="788">
        <v>2019</v>
      </c>
      <c r="C21" s="71">
        <v>14172033140.65</v>
      </c>
      <c r="E21" s="489"/>
      <c r="F21" s="69"/>
      <c r="S21" s="222"/>
      <c r="V21" s="170"/>
      <c r="W21" s="398"/>
      <c r="X21" s="398"/>
      <c r="Y21" s="170"/>
      <c r="Z21" s="170"/>
      <c r="AA21" s="170"/>
      <c r="AB21" s="170"/>
      <c r="AC21" s="170"/>
      <c r="AD21" s="170"/>
    </row>
    <row r="22" spans="1:30">
      <c r="A22" s="788" t="s">
        <v>1262</v>
      </c>
      <c r="B22" s="73"/>
      <c r="C22" s="71">
        <v>14728931857.1</v>
      </c>
      <c r="D22" s="73"/>
      <c r="E22" s="343"/>
      <c r="F22" s="69"/>
      <c r="S22" s="222"/>
      <c r="V22" s="170"/>
      <c r="W22" s="398"/>
      <c r="X22" s="398"/>
      <c r="Y22" s="170"/>
      <c r="Z22" s="170"/>
      <c r="AA22" s="170"/>
      <c r="AB22" s="170"/>
      <c r="AC22" s="170"/>
      <c r="AD22" s="170"/>
    </row>
    <row r="23" spans="1:30">
      <c r="A23" s="788" t="s">
        <v>991</v>
      </c>
      <c r="B23" s="73"/>
      <c r="C23" s="71">
        <v>18548295256.189999</v>
      </c>
      <c r="D23" s="73"/>
      <c r="E23" s="343"/>
      <c r="F23" s="69"/>
      <c r="S23" s="222"/>
      <c r="V23" s="170"/>
      <c r="W23" s="398"/>
      <c r="X23" s="398"/>
      <c r="Y23" s="170"/>
      <c r="Z23" s="170"/>
      <c r="AA23" s="170"/>
      <c r="AB23" s="170"/>
      <c r="AC23" s="170"/>
      <c r="AD23" s="170"/>
    </row>
    <row r="24" spans="1:30">
      <c r="A24" s="788" t="s">
        <v>1257</v>
      </c>
      <c r="B24" s="73"/>
      <c r="C24" s="71">
        <v>17671088854.060001</v>
      </c>
      <c r="D24" s="73"/>
      <c r="E24" s="343"/>
      <c r="F24" s="69"/>
      <c r="S24" s="222"/>
      <c r="V24" s="170"/>
      <c r="W24" s="398"/>
      <c r="X24" s="398"/>
      <c r="Y24" s="170"/>
      <c r="Z24" s="170"/>
      <c r="AA24" s="170"/>
      <c r="AB24" s="170"/>
      <c r="AC24" s="170"/>
      <c r="AD24" s="170"/>
    </row>
    <row r="25" spans="1:30">
      <c r="B25" s="73"/>
      <c r="C25" s="71"/>
      <c r="D25" s="73"/>
      <c r="E25" s="343"/>
      <c r="F25" s="69"/>
      <c r="S25" s="222"/>
      <c r="V25" s="170"/>
      <c r="W25" s="398"/>
      <c r="X25" s="398"/>
      <c r="Y25" s="170"/>
      <c r="Z25" s="170"/>
      <c r="AA25" s="170"/>
      <c r="AB25" s="170"/>
      <c r="AC25" s="170"/>
      <c r="AD25" s="170"/>
    </row>
    <row r="26" spans="1:30">
      <c r="B26" s="73"/>
      <c r="C26" s="444"/>
      <c r="D26" s="73"/>
      <c r="E26" s="343"/>
      <c r="F26" s="69"/>
      <c r="S26" s="222"/>
      <c r="V26" s="170"/>
      <c r="W26" s="398"/>
      <c r="X26" s="398"/>
      <c r="Y26" s="170"/>
      <c r="Z26" s="170"/>
      <c r="AA26" s="170"/>
      <c r="AB26" s="170"/>
      <c r="AC26" s="170"/>
      <c r="AD26" s="170"/>
    </row>
    <row r="27" spans="1:30" s="1081" customFormat="1" ht="10" customHeight="1">
      <c r="A27" s="1079" t="s">
        <v>15</v>
      </c>
      <c r="B27" s="1082"/>
      <c r="D27" s="1082"/>
      <c r="F27" s="1083"/>
      <c r="S27" s="1084"/>
      <c r="V27" s="1085"/>
      <c r="W27" s="1086"/>
      <c r="X27" s="1087"/>
      <c r="Y27" s="1085"/>
      <c r="Z27" s="1085"/>
      <c r="AA27" s="1085"/>
      <c r="AB27" s="1085"/>
      <c r="AC27" s="1085"/>
      <c r="AD27" s="1085"/>
    </row>
    <row r="28" spans="1:30" s="1081" customFormat="1" ht="10" customHeight="1">
      <c r="A28" s="1079" t="s">
        <v>756</v>
      </c>
      <c r="B28" s="1082"/>
      <c r="D28" s="1082"/>
      <c r="F28" s="1083"/>
      <c r="T28" s="1088"/>
      <c r="V28" s="1085"/>
      <c r="W28" s="1085"/>
      <c r="X28" s="1085"/>
      <c r="Y28" s="1085"/>
      <c r="Z28" s="1085"/>
      <c r="AA28" s="1085"/>
      <c r="AB28" s="1085"/>
      <c r="AC28" s="1085"/>
      <c r="AD28" s="1085"/>
    </row>
    <row r="29" spans="1:30" ht="13">
      <c r="A29" s="745" t="s">
        <v>929</v>
      </c>
      <c r="B29" s="73"/>
      <c r="D29" s="73"/>
      <c r="F29" s="69"/>
      <c r="T29" s="497"/>
      <c r="V29" s="170"/>
      <c r="W29" s="170"/>
      <c r="X29" s="170"/>
      <c r="Y29" s="170"/>
      <c r="Z29" s="170"/>
      <c r="AA29" s="170"/>
      <c r="AB29" s="170"/>
      <c r="AC29" s="170"/>
      <c r="AD29" s="170"/>
    </row>
    <row r="30" spans="1:30">
      <c r="A30" s="4"/>
      <c r="B30" s="73"/>
      <c r="D30" s="73"/>
      <c r="F30" s="69"/>
      <c r="T30" s="497"/>
      <c r="V30" s="170"/>
      <c r="W30" s="170"/>
      <c r="X30" s="170"/>
      <c r="Y30" s="170"/>
      <c r="Z30" s="170"/>
      <c r="AA30" s="170"/>
      <c r="AB30" s="170"/>
      <c r="AC30" s="170"/>
      <c r="AD30" s="170"/>
    </row>
    <row r="31" spans="1:30">
      <c r="A31" s="69"/>
      <c r="B31" s="74"/>
      <c r="D31" s="74"/>
      <c r="V31" s="170"/>
      <c r="W31" s="170"/>
      <c r="X31" s="170"/>
      <c r="Y31" s="170"/>
      <c r="Z31" s="170"/>
      <c r="AA31" s="170"/>
      <c r="AB31" s="170"/>
      <c r="AC31" s="170"/>
      <c r="AD31" s="170"/>
    </row>
    <row r="32" spans="1:30">
      <c r="A32" s="69"/>
      <c r="B32" s="74"/>
      <c r="D32" s="74"/>
      <c r="V32" s="170"/>
      <c r="W32" s="170"/>
      <c r="X32" s="170"/>
      <c r="Y32" s="170"/>
      <c r="Z32" s="170"/>
      <c r="AA32" s="170"/>
      <c r="AB32" s="170"/>
      <c r="AC32" s="170"/>
      <c r="AD32" s="170"/>
    </row>
    <row r="33" spans="1:30">
      <c r="A33" s="69"/>
      <c r="B33" s="74"/>
      <c r="D33" s="74"/>
      <c r="V33" s="170"/>
      <c r="W33" s="170"/>
      <c r="X33" s="170"/>
      <c r="Y33" s="170"/>
      <c r="Z33" s="170"/>
      <c r="AA33" s="170"/>
      <c r="AB33" s="170"/>
      <c r="AC33" s="170"/>
      <c r="AD33" s="170"/>
    </row>
    <row r="34" spans="1:30">
      <c r="A34" s="69"/>
      <c r="B34" s="74"/>
      <c r="D34" s="74"/>
      <c r="V34" s="170"/>
      <c r="W34" s="170"/>
      <c r="X34" s="170"/>
      <c r="Y34" s="170"/>
      <c r="Z34" s="170"/>
      <c r="AA34" s="170"/>
      <c r="AB34" s="170"/>
      <c r="AC34" s="170"/>
      <c r="AD34" s="170"/>
    </row>
    <row r="35" spans="1:30">
      <c r="A35" s="69"/>
      <c r="B35" s="74"/>
      <c r="D35" s="74"/>
      <c r="V35" s="170"/>
      <c r="W35" s="170"/>
      <c r="X35" s="170"/>
      <c r="Y35" s="170"/>
      <c r="Z35" s="170"/>
      <c r="AA35" s="170"/>
      <c r="AB35" s="170"/>
      <c r="AC35" s="170"/>
      <c r="AD35" s="170"/>
    </row>
    <row r="36" spans="1:30">
      <c r="A36" s="69"/>
      <c r="B36" s="74"/>
      <c r="D36" s="74"/>
      <c r="V36" s="170"/>
      <c r="W36" s="170"/>
      <c r="X36" s="170"/>
      <c r="Y36" s="170"/>
      <c r="Z36" s="170"/>
      <c r="AA36" s="170"/>
      <c r="AB36" s="170"/>
      <c r="AC36" s="170"/>
      <c r="AD36" s="170"/>
    </row>
    <row r="37" spans="1:30">
      <c r="A37" s="69"/>
      <c r="B37" s="74"/>
      <c r="D37" s="74"/>
      <c r="V37" s="170"/>
      <c r="W37" s="170"/>
      <c r="X37" s="170"/>
      <c r="Y37" s="170"/>
      <c r="Z37" s="170"/>
      <c r="AA37" s="170"/>
      <c r="AB37" s="170"/>
      <c r="AC37" s="170"/>
      <c r="AD37" s="170"/>
    </row>
    <row r="38" spans="1:30">
      <c r="A38" s="69"/>
      <c r="B38" s="74"/>
      <c r="D38" s="74"/>
      <c r="V38" s="170"/>
      <c r="W38" s="170"/>
      <c r="X38" s="170"/>
      <c r="Y38" s="170"/>
      <c r="Z38" s="170"/>
      <c r="AA38" s="170"/>
      <c r="AB38" s="170"/>
      <c r="AC38" s="170"/>
      <c r="AD38" s="170"/>
    </row>
    <row r="39" spans="1:30">
      <c r="A39" s="69"/>
      <c r="B39" s="74"/>
      <c r="D39" s="74"/>
      <c r="V39" s="170"/>
      <c r="W39" s="170"/>
      <c r="X39" s="170"/>
      <c r="Y39" s="170"/>
      <c r="Z39" s="170"/>
      <c r="AA39" s="170"/>
      <c r="AB39" s="170"/>
      <c r="AC39" s="170"/>
      <c r="AD39" s="170"/>
    </row>
    <row r="40" spans="1:30">
      <c r="A40" s="69"/>
      <c r="B40" s="74"/>
      <c r="D40" s="74"/>
    </row>
    <row r="41" spans="1:30">
      <c r="A41" s="69"/>
      <c r="B41" s="74"/>
      <c r="D41" s="74"/>
    </row>
    <row r="42" spans="1:30">
      <c r="A42" s="69"/>
      <c r="B42" s="74"/>
      <c r="D42" s="74"/>
    </row>
    <row r="43" spans="1:30">
      <c r="A43" s="69"/>
      <c r="B43" s="74"/>
      <c r="D43" s="74"/>
    </row>
    <row r="51" spans="1:5" s="667" customFormat="1" ht="12.75" customHeight="1">
      <c r="B51" s="668"/>
      <c r="C51" s="668"/>
      <c r="D51" s="668"/>
      <c r="E51" s="669"/>
    </row>
    <row r="57" spans="1:5" ht="15.5">
      <c r="A57" s="2"/>
      <c r="B57" s="2"/>
      <c r="D57" s="2"/>
    </row>
    <row r="58" spans="1:5" ht="15.5">
      <c r="A58" s="2"/>
      <c r="B58" s="2"/>
      <c r="C58" s="2"/>
      <c r="D58" s="2"/>
      <c r="E58" s="2"/>
    </row>
    <row r="59" spans="1:5" ht="15.5">
      <c r="C59" s="2"/>
      <c r="E59" s="2"/>
    </row>
  </sheetData>
  <customSheetViews>
    <customSheetView guid="{E6BBE5A7-0B25-4EE8-BA45-5EA5DBAF3AD4}" showPageBreaks="1" printArea="1">
      <pageMargins left="0.5" right="0.5" top="1" bottom="1" header="0.5" footer="0.5"/>
      <printOptions horizontalCentered="1"/>
      <pageSetup scale="78" firstPageNumber="3" orientation="landscape" useFirstPageNumber="1" r:id="rId1"/>
    </customSheetView>
  </customSheetViews>
  <hyperlinks>
    <hyperlink ref="F1" location="TOC!A1" display="Back" xr:uid="{00000000-0004-0000-0400-000000000000}"/>
  </hyperlinks>
  <pageMargins left="0.6" right="0.25" top="0.5" bottom="0.25" header="0.25" footer="0"/>
  <pageSetup firstPageNumber="3" orientation="landscape" r:id="rId2"/>
  <headerFooter scaleWithDoc="0">
    <oddHeader>&amp;R&amp;P</oddHead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AJ46"/>
  <sheetViews>
    <sheetView zoomScaleNormal="100" workbookViewId="0"/>
  </sheetViews>
  <sheetFormatPr defaultColWidth="9.1796875" defaultRowHeight="12.5"/>
  <cols>
    <col min="1" max="1" width="10.7265625" style="225" customWidth="1"/>
    <col min="2" max="2" width="4.7265625" style="225" customWidth="1"/>
    <col min="3" max="3" width="8" style="225" customWidth="1"/>
    <col min="4" max="4" width="18.7265625" style="225" customWidth="1"/>
    <col min="5" max="5" width="16.7265625" style="225" customWidth="1"/>
    <col min="6" max="8" width="17.7265625" style="225" customWidth="1"/>
    <col min="9" max="9" width="18.7265625" style="225" customWidth="1"/>
    <col min="10" max="10" width="17.7265625" style="225" customWidth="1"/>
    <col min="11" max="11" width="11.7265625" style="752" customWidth="1"/>
    <col min="12" max="12" width="5" style="225" bestFit="1" customWidth="1"/>
    <col min="13" max="16384" width="9.1796875" style="225"/>
  </cols>
  <sheetData>
    <row r="1" spans="1:12" ht="18">
      <c r="A1" s="223" t="s">
        <v>303</v>
      </c>
      <c r="B1" s="223"/>
      <c r="C1" s="223"/>
      <c r="D1" s="224"/>
      <c r="E1" s="139"/>
      <c r="F1" s="224"/>
      <c r="G1" s="224"/>
      <c r="H1" s="224"/>
      <c r="I1" s="224"/>
      <c r="J1" s="140"/>
      <c r="K1" s="140"/>
      <c r="L1" s="811" t="s">
        <v>954</v>
      </c>
    </row>
    <row r="2" spans="1:12" ht="15.5">
      <c r="A2" s="459" t="s">
        <v>734</v>
      </c>
      <c r="B2" s="459"/>
      <c r="C2" s="459"/>
      <c r="D2" s="459"/>
      <c r="E2" s="459"/>
      <c r="F2" s="459"/>
      <c r="G2" s="459"/>
      <c r="H2" s="459"/>
      <c r="I2" s="459"/>
      <c r="J2" s="459"/>
      <c r="K2" s="459"/>
      <c r="L2" s="459"/>
    </row>
    <row r="3" spans="1:12" ht="15" customHeight="1">
      <c r="A3" s="459" t="s">
        <v>1283</v>
      </c>
      <c r="B3" s="459"/>
      <c r="C3" s="459"/>
      <c r="D3" s="224"/>
      <c r="E3" s="139"/>
      <c r="F3" s="224"/>
      <c r="G3" s="224"/>
      <c r="H3" s="224"/>
      <c r="I3" s="224"/>
      <c r="J3" s="140"/>
      <c r="K3" s="140"/>
      <c r="L3" s="224"/>
    </row>
    <row r="4" spans="1:12" ht="6" customHeight="1" thickBot="1">
      <c r="B4" s="226"/>
      <c r="C4" s="227"/>
      <c r="D4" s="226"/>
      <c r="E4" s="226"/>
      <c r="F4" s="226"/>
      <c r="G4" s="226"/>
      <c r="H4" s="226"/>
      <c r="I4" s="226"/>
      <c r="J4" s="226"/>
      <c r="K4" s="226"/>
    </row>
    <row r="5" spans="1:12" ht="46.5">
      <c r="A5" s="1019" t="s">
        <v>1157</v>
      </c>
      <c r="B5" s="1019"/>
      <c r="C5" s="1020"/>
      <c r="D5" s="1021" t="s">
        <v>1156</v>
      </c>
      <c r="E5" s="1021" t="s">
        <v>1158</v>
      </c>
      <c r="F5" s="1021" t="s">
        <v>1159</v>
      </c>
      <c r="G5" s="1021" t="s">
        <v>1160</v>
      </c>
      <c r="H5" s="1021" t="s">
        <v>1161</v>
      </c>
      <c r="I5" s="1021" t="s">
        <v>1162</v>
      </c>
      <c r="J5" s="1021" t="s">
        <v>1163</v>
      </c>
      <c r="K5" s="1021" t="s">
        <v>1164</v>
      </c>
    </row>
    <row r="6" spans="1:12" ht="21" customHeight="1">
      <c r="A6" s="141">
        <v>0</v>
      </c>
      <c r="B6" s="140" t="s">
        <v>297</v>
      </c>
      <c r="C6" s="142">
        <v>999</v>
      </c>
      <c r="D6" s="1026">
        <v>24357294.890000001</v>
      </c>
      <c r="E6" s="1026">
        <v>305822239.77999997</v>
      </c>
      <c r="F6" s="1026">
        <v>7832797286.96</v>
      </c>
      <c r="G6" s="1026">
        <v>1180312710.4000001</v>
      </c>
      <c r="H6" s="1026">
        <v>9013109997.3600006</v>
      </c>
      <c r="I6" s="1026">
        <v>4443648.63</v>
      </c>
      <c r="J6" s="1026">
        <v>89002.53</v>
      </c>
      <c r="K6" s="1027">
        <f>J6/I6</f>
        <v>2.0029155635557079E-2</v>
      </c>
    </row>
    <row r="7" spans="1:12" ht="15" customHeight="1">
      <c r="A7" s="141">
        <v>1000</v>
      </c>
      <c r="B7" s="140" t="s">
        <v>297</v>
      </c>
      <c r="C7" s="142">
        <v>1999</v>
      </c>
      <c r="D7" s="501">
        <v>70738930.909999996</v>
      </c>
      <c r="E7" s="501">
        <v>64438870.630000003</v>
      </c>
      <c r="F7" s="501">
        <v>113527055.18000001</v>
      </c>
      <c r="G7" s="501">
        <v>297692705.60000002</v>
      </c>
      <c r="H7" s="501">
        <v>411219760.77999997</v>
      </c>
      <c r="I7" s="501">
        <v>11600249.890000001</v>
      </c>
      <c r="J7" s="501">
        <v>232079.55</v>
      </c>
      <c r="K7" s="750">
        <f t="shared" ref="K7:K29" si="0">J7/I7</f>
        <v>2.0006426775345955E-2</v>
      </c>
    </row>
    <row r="8" spans="1:12" ht="15" customHeight="1">
      <c r="A8" s="141">
        <v>2000</v>
      </c>
      <c r="B8" s="140" t="s">
        <v>297</v>
      </c>
      <c r="C8" s="142">
        <v>2999</v>
      </c>
      <c r="D8" s="501">
        <v>118851857.89</v>
      </c>
      <c r="E8" s="501">
        <v>62795736.329999998</v>
      </c>
      <c r="F8" s="501">
        <v>91361074.810000002</v>
      </c>
      <c r="G8" s="501">
        <v>300231820.60000002</v>
      </c>
      <c r="H8" s="501">
        <v>391592895.41000003</v>
      </c>
      <c r="I8" s="501">
        <v>15878528.67</v>
      </c>
      <c r="J8" s="501">
        <v>317648.96000000002</v>
      </c>
      <c r="K8" s="750">
        <f t="shared" si="0"/>
        <v>2.000493664127383E-2</v>
      </c>
    </row>
    <row r="9" spans="1:12" ht="15" customHeight="1">
      <c r="A9" s="141">
        <v>3000</v>
      </c>
      <c r="B9" s="140" t="s">
        <v>297</v>
      </c>
      <c r="C9" s="142">
        <v>3999</v>
      </c>
      <c r="D9" s="501">
        <v>166931444.52000001</v>
      </c>
      <c r="E9" s="501">
        <v>63185334.57</v>
      </c>
      <c r="F9" s="501">
        <v>100748829.90000001</v>
      </c>
      <c r="G9" s="501">
        <v>311910253.39999998</v>
      </c>
      <c r="H9" s="501">
        <v>412659083.30000001</v>
      </c>
      <c r="I9" s="501">
        <v>19236852.32</v>
      </c>
      <c r="J9" s="501">
        <v>395283.54</v>
      </c>
      <c r="K9" s="750">
        <f t="shared" si="0"/>
        <v>2.0548244246229155E-2</v>
      </c>
    </row>
    <row r="10" spans="1:12" ht="15" customHeight="1">
      <c r="A10" s="141">
        <v>4000</v>
      </c>
      <c r="B10" s="140" t="s">
        <v>297</v>
      </c>
      <c r="C10" s="142">
        <v>4999</v>
      </c>
      <c r="D10" s="501">
        <v>210777762.16999999</v>
      </c>
      <c r="E10" s="501">
        <v>62328850.07</v>
      </c>
      <c r="F10" s="501">
        <v>86269159.950000003</v>
      </c>
      <c r="G10" s="501">
        <v>323488217.80000001</v>
      </c>
      <c r="H10" s="501">
        <v>409757377.75</v>
      </c>
      <c r="I10" s="501">
        <v>21541203.329999998</v>
      </c>
      <c r="J10" s="501">
        <v>475128.46</v>
      </c>
      <c r="K10" s="750">
        <f t="shared" si="0"/>
        <v>2.205672787732792E-2</v>
      </c>
    </row>
    <row r="11" spans="1:12" ht="15" customHeight="1">
      <c r="A11" s="141">
        <v>5000</v>
      </c>
      <c r="B11" s="140" t="s">
        <v>297</v>
      </c>
      <c r="C11" s="142">
        <v>5999</v>
      </c>
      <c r="D11" s="501">
        <v>256254886.28</v>
      </c>
      <c r="E11" s="501">
        <v>61840355.789999999</v>
      </c>
      <c r="F11" s="501">
        <v>88920353.769999996</v>
      </c>
      <c r="G11" s="501">
        <v>336479402</v>
      </c>
      <c r="H11" s="501">
        <v>425399755.76999998</v>
      </c>
      <c r="I11" s="501">
        <v>22966212.390000001</v>
      </c>
      <c r="J11" s="501">
        <v>546315.51</v>
      </c>
      <c r="K11" s="750">
        <f t="shared" si="0"/>
        <v>2.3787793159915124E-2</v>
      </c>
    </row>
    <row r="12" spans="1:12" ht="15" customHeight="1">
      <c r="A12" s="141">
        <v>6000</v>
      </c>
      <c r="B12" s="140" t="s">
        <v>297</v>
      </c>
      <c r="C12" s="142">
        <v>6999</v>
      </c>
      <c r="D12" s="501">
        <v>301094135.13999999</v>
      </c>
      <c r="E12" s="501">
        <v>62877263.960000001</v>
      </c>
      <c r="F12" s="501">
        <v>94886128.329999998</v>
      </c>
      <c r="G12" s="501">
        <v>353480906.60000002</v>
      </c>
      <c r="H12" s="501">
        <v>448367034.93000001</v>
      </c>
      <c r="I12" s="501">
        <v>24688891.739999998</v>
      </c>
      <c r="J12" s="501">
        <v>652750.43000000005</v>
      </c>
      <c r="K12" s="750">
        <f t="shared" si="0"/>
        <v>2.6439033265411374E-2</v>
      </c>
    </row>
    <row r="13" spans="1:12" ht="15" customHeight="1">
      <c r="A13" s="141">
        <v>7000</v>
      </c>
      <c r="B13" s="140" t="s">
        <v>297</v>
      </c>
      <c r="C13" s="142">
        <v>7999</v>
      </c>
      <c r="D13" s="501">
        <v>338902769.25999999</v>
      </c>
      <c r="E13" s="501">
        <v>61775368.630000003</v>
      </c>
      <c r="F13" s="501">
        <v>73863421.099999994</v>
      </c>
      <c r="G13" s="501">
        <v>356241829.80000001</v>
      </c>
      <c r="H13" s="501">
        <v>430105250.89999998</v>
      </c>
      <c r="I13" s="501">
        <v>24119052.73</v>
      </c>
      <c r="J13" s="501">
        <v>699995.44</v>
      </c>
      <c r="K13" s="750">
        <f>J13/I13</f>
        <v>2.9022509624904325E-2</v>
      </c>
    </row>
    <row r="14" spans="1:12" ht="15" customHeight="1">
      <c r="A14" s="141">
        <v>8000</v>
      </c>
      <c r="B14" s="140" t="s">
        <v>297</v>
      </c>
      <c r="C14" s="142">
        <v>8999</v>
      </c>
      <c r="D14" s="501">
        <v>382141860.80000001</v>
      </c>
      <c r="E14" s="501">
        <v>62171927.149999999</v>
      </c>
      <c r="F14" s="501">
        <v>78049825.269999996</v>
      </c>
      <c r="G14" s="501">
        <v>361274164.39999998</v>
      </c>
      <c r="H14" s="501">
        <v>439323989.67000002</v>
      </c>
      <c r="I14" s="501">
        <v>25624971.100000001</v>
      </c>
      <c r="J14" s="501">
        <v>799933.77</v>
      </c>
      <c r="K14" s="750">
        <f t="shared" si="0"/>
        <v>3.121696281639904E-2</v>
      </c>
    </row>
    <row r="15" spans="1:12" ht="15" customHeight="1">
      <c r="A15" s="141">
        <v>9000</v>
      </c>
      <c r="B15" s="140" t="s">
        <v>297</v>
      </c>
      <c r="C15" s="142">
        <v>9999</v>
      </c>
      <c r="D15" s="501">
        <v>428173417.87</v>
      </c>
      <c r="E15" s="501">
        <v>63322234.200000003</v>
      </c>
      <c r="F15" s="501">
        <v>65219007.469999999</v>
      </c>
      <c r="G15" s="501">
        <v>365054211.39999998</v>
      </c>
      <c r="H15" s="501">
        <v>430273218.87</v>
      </c>
      <c r="I15" s="501">
        <v>26302373.149999999</v>
      </c>
      <c r="J15" s="501">
        <v>865518.1</v>
      </c>
      <c r="K15" s="750">
        <f t="shared" si="0"/>
        <v>3.2906464183441946E-2</v>
      </c>
    </row>
    <row r="16" spans="1:12" ht="15" customHeight="1">
      <c r="A16" s="141">
        <v>10000</v>
      </c>
      <c r="B16" s="140" t="s">
        <v>297</v>
      </c>
      <c r="C16" s="142">
        <v>10999</v>
      </c>
      <c r="D16" s="501">
        <v>484253723.38999999</v>
      </c>
      <c r="E16" s="501">
        <v>66953780.670000002</v>
      </c>
      <c r="F16" s="501">
        <v>296985555.01999998</v>
      </c>
      <c r="G16" s="501">
        <v>375980827</v>
      </c>
      <c r="H16" s="501">
        <v>672966382.01999998</v>
      </c>
      <c r="I16" s="501">
        <v>27419815.629999999</v>
      </c>
      <c r="J16" s="501">
        <v>945043.7</v>
      </c>
      <c r="K16" s="750">
        <f t="shared" si="0"/>
        <v>3.4465720439273428E-2</v>
      </c>
    </row>
    <row r="17" spans="1:11" ht="15" customHeight="1">
      <c r="A17" s="141">
        <v>11000</v>
      </c>
      <c r="B17" s="140" t="s">
        <v>297</v>
      </c>
      <c r="C17" s="142">
        <v>11999</v>
      </c>
      <c r="D17" s="501">
        <v>562015878.33000004</v>
      </c>
      <c r="E17" s="501">
        <v>73715063.299999997</v>
      </c>
      <c r="F17" s="501">
        <v>75576870.590000004</v>
      </c>
      <c r="G17" s="501">
        <v>402142526.80000001</v>
      </c>
      <c r="H17" s="501">
        <v>477719397.38999999</v>
      </c>
      <c r="I17" s="501">
        <v>33391582.5</v>
      </c>
      <c r="J17" s="501">
        <v>1122563.79</v>
      </c>
      <c r="K17" s="750">
        <f t="shared" si="0"/>
        <v>3.3618166793981691E-2</v>
      </c>
    </row>
    <row r="18" spans="1:11" ht="15" customHeight="1">
      <c r="A18" s="141">
        <v>12000</v>
      </c>
      <c r="B18" s="140" t="s">
        <v>297</v>
      </c>
      <c r="C18" s="142">
        <v>12999</v>
      </c>
      <c r="D18" s="501">
        <v>596348300.75</v>
      </c>
      <c r="E18" s="501">
        <v>71863473.120000005</v>
      </c>
      <c r="F18" s="501">
        <v>64742655.060000002</v>
      </c>
      <c r="G18" s="501">
        <v>395045306.80000001</v>
      </c>
      <c r="H18" s="501">
        <v>459787961.86000001</v>
      </c>
      <c r="I18" s="501">
        <v>151031184.53</v>
      </c>
      <c r="J18" s="501">
        <v>3959513.28</v>
      </c>
      <c r="K18" s="750">
        <f t="shared" si="0"/>
        <v>2.621652801255428E-2</v>
      </c>
    </row>
    <row r="19" spans="1:11" ht="15" customHeight="1">
      <c r="A19" s="141">
        <v>13000</v>
      </c>
      <c r="B19" s="140" t="s">
        <v>297</v>
      </c>
      <c r="C19" s="142">
        <v>13999</v>
      </c>
      <c r="D19" s="501">
        <v>608402136.85000002</v>
      </c>
      <c r="E19" s="501">
        <v>69059989.620000005</v>
      </c>
      <c r="F19" s="501">
        <v>63177008.549999997</v>
      </c>
      <c r="G19" s="501">
        <v>375489916.60000002</v>
      </c>
      <c r="H19" s="501">
        <v>438666925.14999998</v>
      </c>
      <c r="I19" s="501">
        <v>173076907.78999999</v>
      </c>
      <c r="J19" s="501">
        <v>4688732.8499999996</v>
      </c>
      <c r="K19" s="750">
        <f t="shared" si="0"/>
        <v>2.7090458859416394E-2</v>
      </c>
    </row>
    <row r="20" spans="1:11" ht="15" customHeight="1">
      <c r="A20" s="141">
        <v>14000</v>
      </c>
      <c r="B20" s="140" t="s">
        <v>297</v>
      </c>
      <c r="C20" s="142">
        <v>14999</v>
      </c>
      <c r="D20" s="501">
        <v>644268184.58000004</v>
      </c>
      <c r="E20" s="501">
        <v>70367510.75</v>
      </c>
      <c r="F20" s="501">
        <v>69009684.420000002</v>
      </c>
      <c r="G20" s="501">
        <v>372291491.60000002</v>
      </c>
      <c r="H20" s="501">
        <v>441301176.01999998</v>
      </c>
      <c r="I20" s="501">
        <v>197430066.86000001</v>
      </c>
      <c r="J20" s="501">
        <v>5728399.9699999997</v>
      </c>
      <c r="K20" s="750">
        <f t="shared" si="0"/>
        <v>2.9014830725160395E-2</v>
      </c>
    </row>
    <row r="21" spans="1:11" ht="15" customHeight="1">
      <c r="A21" s="141">
        <v>15000</v>
      </c>
      <c r="B21" s="140" t="s">
        <v>297</v>
      </c>
      <c r="C21" s="142">
        <v>19999</v>
      </c>
      <c r="D21" s="501">
        <v>3779732899.2199998</v>
      </c>
      <c r="E21" s="501">
        <v>365334130.85000002</v>
      </c>
      <c r="F21" s="501">
        <v>434384477.88999999</v>
      </c>
      <c r="G21" s="501">
        <v>1836837674.8</v>
      </c>
      <c r="H21" s="501">
        <v>2271222152.6900001</v>
      </c>
      <c r="I21" s="501">
        <v>1372772478.9000001</v>
      </c>
      <c r="J21" s="501">
        <v>48178612.390000001</v>
      </c>
      <c r="K21" s="750">
        <f>J21/I21</f>
        <v>3.5095846639208145E-2</v>
      </c>
    </row>
    <row r="22" spans="1:11" ht="15" customHeight="1">
      <c r="A22" s="141">
        <v>20000</v>
      </c>
      <c r="B22" s="140" t="s">
        <v>297</v>
      </c>
      <c r="C22" s="142">
        <v>24999</v>
      </c>
      <c r="D22" s="501">
        <v>4581257538.5299997</v>
      </c>
      <c r="E22" s="501">
        <v>344879041.99000001</v>
      </c>
      <c r="F22" s="501">
        <v>353768793.25999999</v>
      </c>
      <c r="G22" s="501">
        <v>1764768288.2</v>
      </c>
      <c r="H22" s="501">
        <v>2118537081.46</v>
      </c>
      <c r="I22" s="501">
        <v>1999889676.1500001</v>
      </c>
      <c r="J22" s="501">
        <v>80551225.430000007</v>
      </c>
      <c r="K22" s="750">
        <f t="shared" si="0"/>
        <v>4.0277834517886843E-2</v>
      </c>
    </row>
    <row r="23" spans="1:11" ht="15" customHeight="1">
      <c r="A23" s="141">
        <v>25000</v>
      </c>
      <c r="B23" s="140" t="s">
        <v>297</v>
      </c>
      <c r="C23" s="142">
        <v>29999</v>
      </c>
      <c r="D23" s="501">
        <v>5596922747.7799997</v>
      </c>
      <c r="E23" s="501">
        <v>345111472.88</v>
      </c>
      <c r="F23" s="501">
        <v>386599913.01999998</v>
      </c>
      <c r="G23" s="501">
        <v>1781305618.2</v>
      </c>
      <c r="H23" s="501">
        <v>2167905531.2199998</v>
      </c>
      <c r="I23" s="501">
        <v>2946114924.21</v>
      </c>
      <c r="J23" s="501">
        <v>125166147.61</v>
      </c>
      <c r="K23" s="750">
        <f>J23/I23</f>
        <v>4.2485154459330286E-2</v>
      </c>
    </row>
    <row r="24" spans="1:11" ht="15" customHeight="1">
      <c r="A24" s="141">
        <v>30000</v>
      </c>
      <c r="B24" s="140" t="s">
        <v>297</v>
      </c>
      <c r="C24" s="142">
        <v>34999</v>
      </c>
      <c r="D24" s="501">
        <v>6560476848.5200005</v>
      </c>
      <c r="E24" s="501">
        <v>345305974.81</v>
      </c>
      <c r="F24" s="501">
        <v>417723657.31</v>
      </c>
      <c r="G24" s="501">
        <v>1773882685.2</v>
      </c>
      <c r="H24" s="501">
        <v>2191606342.5100002</v>
      </c>
      <c r="I24" s="501">
        <v>3814703093.9699998</v>
      </c>
      <c r="J24" s="501">
        <v>173072964.44999999</v>
      </c>
      <c r="K24" s="750">
        <f t="shared" si="0"/>
        <v>4.5369969873561303E-2</v>
      </c>
    </row>
    <row r="25" spans="1:11" ht="15" customHeight="1">
      <c r="A25" s="141">
        <v>35000</v>
      </c>
      <c r="B25" s="140" t="s">
        <v>297</v>
      </c>
      <c r="C25" s="142">
        <v>39999</v>
      </c>
      <c r="D25" s="501">
        <v>7001332551.46</v>
      </c>
      <c r="E25" s="501">
        <v>325372334.44999999</v>
      </c>
      <c r="F25" s="501">
        <v>435845379.35000002</v>
      </c>
      <c r="G25" s="501">
        <v>1656554084.2</v>
      </c>
      <c r="H25" s="501">
        <v>2092399463.55</v>
      </c>
      <c r="I25" s="501">
        <v>4331270438.6199999</v>
      </c>
      <c r="J25" s="501">
        <v>204380083.72</v>
      </c>
      <c r="K25" s="750">
        <f t="shared" si="0"/>
        <v>4.7187098246656282E-2</v>
      </c>
    </row>
    <row r="26" spans="1:11" ht="15" customHeight="1">
      <c r="A26" s="141">
        <v>40000</v>
      </c>
      <c r="B26" s="140" t="s">
        <v>297</v>
      </c>
      <c r="C26" s="142">
        <v>44999</v>
      </c>
      <c r="D26" s="501">
        <v>7173014011.1800003</v>
      </c>
      <c r="E26" s="501">
        <v>298215682.75</v>
      </c>
      <c r="F26" s="501">
        <v>1070502718.15</v>
      </c>
      <c r="G26" s="501">
        <v>1515807125.8</v>
      </c>
      <c r="H26" s="501">
        <v>2586309843.9499998</v>
      </c>
      <c r="I26" s="501">
        <v>4631562470.9099998</v>
      </c>
      <c r="J26" s="501">
        <v>224988631.03</v>
      </c>
      <c r="K26" s="750">
        <f t="shared" si="0"/>
        <v>4.8577263600159258E-2</v>
      </c>
    </row>
    <row r="27" spans="1:11" ht="15" customHeight="1">
      <c r="A27" s="141">
        <v>45000</v>
      </c>
      <c r="B27" s="140" t="s">
        <v>297</v>
      </c>
      <c r="C27" s="142">
        <v>49999</v>
      </c>
      <c r="D27" s="501">
        <v>7284662081.6199999</v>
      </c>
      <c r="E27" s="501">
        <v>273298581.39999998</v>
      </c>
      <c r="F27" s="501">
        <v>414325179.33999997</v>
      </c>
      <c r="G27" s="501">
        <v>1388088932.2</v>
      </c>
      <c r="H27" s="501">
        <v>1802414111.54</v>
      </c>
      <c r="I27" s="501">
        <v>4882721555.0699997</v>
      </c>
      <c r="J27" s="501">
        <v>241839899.65000001</v>
      </c>
      <c r="K27" s="750">
        <f t="shared" si="0"/>
        <v>4.9529733965452988E-2</v>
      </c>
    </row>
    <row r="28" spans="1:11" ht="15" customHeight="1">
      <c r="A28" s="141">
        <v>50000</v>
      </c>
      <c r="B28" s="140" t="s">
        <v>297</v>
      </c>
      <c r="C28" s="142">
        <v>74999</v>
      </c>
      <c r="D28" s="501">
        <v>35398184932.559998</v>
      </c>
      <c r="E28" s="501">
        <v>1074248390.7</v>
      </c>
      <c r="F28" s="501">
        <v>2025694987.8599999</v>
      </c>
      <c r="G28" s="501">
        <v>5345845932</v>
      </c>
      <c r="H28" s="501">
        <v>7371540919.8599997</v>
      </c>
      <c r="I28" s="501">
        <v>25995897108.66</v>
      </c>
      <c r="J28" s="501">
        <v>1330138970.9100001</v>
      </c>
      <c r="K28" s="750">
        <f t="shared" si="0"/>
        <v>5.1167265563106558E-2</v>
      </c>
    </row>
    <row r="29" spans="1:11">
      <c r="A29" s="141">
        <v>75000</v>
      </c>
      <c r="B29" s="140" t="s">
        <v>297</v>
      </c>
      <c r="C29" s="142">
        <v>99999</v>
      </c>
      <c r="D29" s="501">
        <v>32482331208.330002</v>
      </c>
      <c r="E29" s="501">
        <v>784621095.46000004</v>
      </c>
      <c r="F29" s="501">
        <v>1847575414.3199999</v>
      </c>
      <c r="G29" s="501">
        <v>3701921590.5999999</v>
      </c>
      <c r="H29" s="501">
        <v>5549497004.9200001</v>
      </c>
      <c r="I29" s="501">
        <v>25954546458.98</v>
      </c>
      <c r="J29" s="501">
        <v>1367612194.7</v>
      </c>
      <c r="K29" s="750">
        <f t="shared" si="0"/>
        <v>5.2692586898463047E-2</v>
      </c>
    </row>
    <row r="30" spans="1:11" ht="21" customHeight="1">
      <c r="A30" s="1022">
        <v>100000</v>
      </c>
      <c r="B30" s="506" t="s">
        <v>295</v>
      </c>
      <c r="C30" s="1023" t="s">
        <v>308</v>
      </c>
      <c r="D30" s="1024">
        <v>275904507759.29999</v>
      </c>
      <c r="E30" s="1024">
        <v>2782127135.8400002</v>
      </c>
      <c r="F30" s="1024">
        <v>18528311964.16</v>
      </c>
      <c r="G30" s="1024">
        <v>10204317059.200001</v>
      </c>
      <c r="H30" s="1024">
        <v>28732629023.360001</v>
      </c>
      <c r="I30" s="1024">
        <v>248541109568.06</v>
      </c>
      <c r="J30" s="1024">
        <v>13853642214.290001</v>
      </c>
      <c r="K30" s="1025">
        <f>J30/I30</f>
        <v>5.5739842146702689E-2</v>
      </c>
    </row>
    <row r="31" spans="1:11" ht="13">
      <c r="A31" s="75" t="s">
        <v>13</v>
      </c>
      <c r="B31" s="75"/>
      <c r="C31" s="75"/>
      <c r="D31" s="77">
        <f>SUM(D6:D30)</f>
        <v>390955935162.13</v>
      </c>
      <c r="E31" s="77">
        <f t="shared" ref="E31:J31" si="1">SUM(E6:E30)</f>
        <v>8161031839.6999998</v>
      </c>
      <c r="F31" s="77">
        <f t="shared" si="1"/>
        <v>35109866401.040001</v>
      </c>
      <c r="G31" s="77">
        <f t="shared" si="1"/>
        <v>37076445281.199997</v>
      </c>
      <c r="H31" s="77">
        <f>SUM(H6:H30)</f>
        <v>72186311682.240005</v>
      </c>
      <c r="I31" s="77">
        <f t="shared" si="1"/>
        <v>325249339314.78998</v>
      </c>
      <c r="J31" s="77">
        <f t="shared" si="1"/>
        <v>17671088854.060001</v>
      </c>
      <c r="K31" s="751">
        <f>J31/I31</f>
        <v>5.4330898538604497E-2</v>
      </c>
    </row>
    <row r="32" spans="1:11">
      <c r="D32" s="235"/>
    </row>
    <row r="33" spans="1:36" s="1096" customFormat="1" ht="10" customHeight="1">
      <c r="A33" s="1089" t="s">
        <v>1</v>
      </c>
      <c r="B33" s="1090"/>
      <c r="C33" s="1091"/>
      <c r="D33" s="1092"/>
      <c r="E33" s="1092"/>
      <c r="F33" s="1092"/>
      <c r="G33" s="1092"/>
      <c r="H33" s="1093"/>
      <c r="I33" s="1092"/>
      <c r="J33" s="1094"/>
      <c r="K33" s="1095"/>
      <c r="P33" s="1097"/>
      <c r="Q33" s="1090"/>
      <c r="R33" s="1091"/>
      <c r="S33" s="1092"/>
      <c r="T33" s="1092"/>
      <c r="U33" s="1092"/>
      <c r="V33" s="1092"/>
      <c r="W33" s="1093"/>
      <c r="X33" s="1092"/>
      <c r="Y33" s="1092"/>
      <c r="Z33" s="1092"/>
      <c r="AC33" s="1098"/>
      <c r="AD33" s="1098"/>
      <c r="AE33" s="1098"/>
      <c r="AF33" s="1098"/>
      <c r="AG33" s="1098"/>
      <c r="AH33" s="1098"/>
      <c r="AI33" s="1098"/>
      <c r="AJ33" s="1098"/>
    </row>
    <row r="34" spans="1:36" s="1096" customFormat="1" ht="10" customHeight="1">
      <c r="A34" s="1089" t="s">
        <v>750</v>
      </c>
      <c r="C34" s="1099"/>
      <c r="H34" s="1100"/>
      <c r="K34" s="1100"/>
    </row>
    <row r="35" spans="1:36" s="1096" customFormat="1" ht="10" customHeight="1">
      <c r="A35" s="1101" t="s">
        <v>751</v>
      </c>
      <c r="C35" s="1099"/>
      <c r="H35" s="1100"/>
      <c r="K35" s="1100"/>
    </row>
    <row r="36" spans="1:36" s="1096" customFormat="1" ht="10" customHeight="1">
      <c r="A36" s="1101" t="s">
        <v>752</v>
      </c>
      <c r="C36" s="1099"/>
      <c r="H36" s="1100"/>
      <c r="K36" s="1100"/>
    </row>
    <row r="37" spans="1:36" s="1096" customFormat="1" ht="10" customHeight="1">
      <c r="A37" s="1089" t="s">
        <v>753</v>
      </c>
      <c r="F37" s="1090"/>
      <c r="K37" s="1100"/>
    </row>
    <row r="38" spans="1:36" s="1096" customFormat="1" ht="10" customHeight="1">
      <c r="A38" s="1089" t="s">
        <v>754</v>
      </c>
      <c r="B38" s="1102"/>
      <c r="C38" s="1102"/>
      <c r="D38" s="1102"/>
      <c r="E38" s="1102"/>
      <c r="F38" s="1102"/>
      <c r="G38" s="1102"/>
      <c r="H38" s="1102"/>
      <c r="I38" s="1102"/>
      <c r="J38" s="1102"/>
      <c r="K38" s="1102"/>
    </row>
    <row r="39" spans="1:36" s="1103" customFormat="1" ht="10" customHeight="1">
      <c r="A39" s="1089" t="s">
        <v>755</v>
      </c>
      <c r="K39" s="1104"/>
    </row>
    <row r="40" spans="1:36" s="1103" customFormat="1" ht="10" customHeight="1">
      <c r="A40" s="1089" t="s">
        <v>1179</v>
      </c>
      <c r="K40" s="1104"/>
    </row>
    <row r="41" spans="1:36" s="667" customFormat="1" ht="12.75" customHeight="1">
      <c r="A41" s="745" t="s">
        <v>929</v>
      </c>
      <c r="B41" s="668"/>
      <c r="C41" s="668"/>
      <c r="D41" s="668"/>
      <c r="E41" s="669"/>
      <c r="K41" s="753"/>
    </row>
    <row r="46" spans="1:36">
      <c r="F46" s="228"/>
    </row>
  </sheetData>
  <customSheetViews>
    <customSheetView guid="{E6BBE5A7-0B25-4EE8-BA45-5EA5DBAF3AD4}" showPageBreaks="1" printArea="1" topLeftCell="A19">
      <pageMargins left="0.5" right="0.5" top="0.5" bottom="0.5" header="0.5" footer="0.5"/>
      <printOptions horizontalCentered="1"/>
      <pageSetup scale="65" orientation="landscape" r:id="rId1"/>
      <headerFooter alignWithMargins="0"/>
    </customSheetView>
  </customSheetViews>
  <hyperlinks>
    <hyperlink ref="L1" location="TOC!A1" display="Back" xr:uid="{00000000-0004-0000-0500-000000000000}"/>
  </hyperlinks>
  <pageMargins left="0.35" right="0.25" top="0.5" bottom="0.25" header="0.25" footer="0"/>
  <pageSetup scale="84" orientation="landscape" r:id="rId2"/>
  <headerFooter scaleWithDoc="0">
    <oddHeader>&amp;R&amp;P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AD36"/>
  <sheetViews>
    <sheetView zoomScaleNormal="100" workbookViewId="0"/>
  </sheetViews>
  <sheetFormatPr defaultColWidth="9.1796875" defaultRowHeight="12.5"/>
  <cols>
    <col min="1" max="1" width="12.453125" style="225" customWidth="1"/>
    <col min="2" max="2" width="4.7265625" style="225" customWidth="1"/>
    <col min="3" max="3" width="8" style="225" customWidth="1"/>
    <col min="4" max="4" width="11.7265625" style="225" customWidth="1"/>
    <col min="5" max="5" width="14.7265625" style="225" customWidth="1"/>
    <col min="6" max="7" width="13.7265625" style="225" customWidth="1"/>
    <col min="8" max="8" width="52.7265625" style="225" customWidth="1"/>
    <col min="9" max="24" width="9.1796875" style="225"/>
    <col min="25" max="25" width="16.453125" style="334" customWidth="1"/>
    <col min="26" max="26" width="9.1796875" style="334"/>
    <col min="27" max="16384" width="9.1796875" style="225"/>
  </cols>
  <sheetData>
    <row r="1" spans="1:11" ht="17.149999999999999" customHeight="1">
      <c r="A1" s="229" t="s">
        <v>299</v>
      </c>
      <c r="B1" s="229"/>
      <c r="C1" s="229"/>
      <c r="K1" s="811" t="s">
        <v>954</v>
      </c>
    </row>
    <row r="2" spans="1:11" ht="15" customHeight="1">
      <c r="A2" s="227" t="s">
        <v>300</v>
      </c>
      <c r="B2" s="227"/>
      <c r="C2" s="227"/>
    </row>
    <row r="3" spans="1:11" ht="15" customHeight="1">
      <c r="A3" s="459" t="s">
        <v>1283</v>
      </c>
      <c r="B3" s="227"/>
      <c r="C3" s="227"/>
    </row>
    <row r="4" spans="1:11" ht="6" customHeight="1"/>
    <row r="5" spans="1:11" ht="46.5">
      <c r="A5" s="502" t="s">
        <v>869</v>
      </c>
      <c r="B5" s="503"/>
      <c r="C5" s="503"/>
      <c r="D5" s="504" t="s">
        <v>870</v>
      </c>
      <c r="E5" s="504" t="s">
        <v>872</v>
      </c>
      <c r="F5" s="504" t="s">
        <v>873</v>
      </c>
      <c r="G5" s="504" t="s">
        <v>871</v>
      </c>
    </row>
    <row r="6" spans="1:11" ht="21" customHeight="1">
      <c r="A6" s="142">
        <v>999</v>
      </c>
      <c r="B6" s="140" t="s">
        <v>295</v>
      </c>
      <c r="C6" s="139" t="s">
        <v>296</v>
      </c>
      <c r="D6" s="505">
        <v>104707</v>
      </c>
      <c r="E6" s="505">
        <v>55298</v>
      </c>
      <c r="F6" s="505">
        <v>16415</v>
      </c>
      <c r="G6" s="1245">
        <v>176420</v>
      </c>
      <c r="K6" s="1429">
        <f>SUM(D6:F6)-G6</f>
        <v>0</v>
      </c>
    </row>
    <row r="7" spans="1:11" ht="12.75" customHeight="1">
      <c r="A7" s="142">
        <v>1000</v>
      </c>
      <c r="B7" s="140" t="s">
        <v>297</v>
      </c>
      <c r="C7" s="142">
        <v>1999</v>
      </c>
      <c r="D7" s="505">
        <v>38481</v>
      </c>
      <c r="E7" s="505">
        <v>6695</v>
      </c>
      <c r="F7" s="505">
        <v>2151</v>
      </c>
      <c r="G7" s="1245">
        <v>47327</v>
      </c>
      <c r="K7" s="1429">
        <f t="shared" ref="K7:K31" si="0">SUM(D7:F7)-G7</f>
        <v>0</v>
      </c>
    </row>
    <row r="8" spans="1:11" ht="12.75" customHeight="1">
      <c r="A8" s="142">
        <v>2000</v>
      </c>
      <c r="B8" s="140" t="s">
        <v>297</v>
      </c>
      <c r="C8" s="142">
        <v>2999</v>
      </c>
      <c r="D8" s="505">
        <v>39720</v>
      </c>
      <c r="E8" s="505">
        <v>5896</v>
      </c>
      <c r="F8" s="505">
        <v>1933</v>
      </c>
      <c r="G8" s="1245">
        <v>47549</v>
      </c>
      <c r="K8" s="1429">
        <f t="shared" si="0"/>
        <v>0</v>
      </c>
    </row>
    <row r="9" spans="1:11" ht="12.75" customHeight="1">
      <c r="A9" s="142">
        <v>3000</v>
      </c>
      <c r="B9" s="140" t="s">
        <v>297</v>
      </c>
      <c r="C9" s="142">
        <v>3999</v>
      </c>
      <c r="D9" s="505">
        <v>40266</v>
      </c>
      <c r="E9" s="505">
        <v>5686</v>
      </c>
      <c r="F9" s="505">
        <v>1790</v>
      </c>
      <c r="G9" s="1245">
        <v>47742</v>
      </c>
      <c r="K9" s="1429">
        <f t="shared" si="0"/>
        <v>0</v>
      </c>
    </row>
    <row r="10" spans="1:11" ht="12.75" customHeight="1">
      <c r="A10" s="142">
        <v>4000</v>
      </c>
      <c r="B10" s="140" t="s">
        <v>297</v>
      </c>
      <c r="C10" s="142">
        <v>4999</v>
      </c>
      <c r="D10" s="505">
        <v>39721</v>
      </c>
      <c r="E10" s="505">
        <v>5431</v>
      </c>
      <c r="F10" s="505">
        <v>1730</v>
      </c>
      <c r="G10" s="1245">
        <v>46882</v>
      </c>
      <c r="K10" s="1429">
        <f t="shared" si="0"/>
        <v>0</v>
      </c>
    </row>
    <row r="11" spans="1:11" ht="12.75" customHeight="1">
      <c r="A11" s="142">
        <v>5000</v>
      </c>
      <c r="B11" s="140" t="s">
        <v>297</v>
      </c>
      <c r="C11" s="142">
        <v>5999</v>
      </c>
      <c r="D11" s="505">
        <v>39899</v>
      </c>
      <c r="E11" s="505">
        <v>5185</v>
      </c>
      <c r="F11" s="505">
        <v>1567</v>
      </c>
      <c r="G11" s="1245">
        <v>46651</v>
      </c>
      <c r="K11" s="1429">
        <f t="shared" si="0"/>
        <v>0</v>
      </c>
    </row>
    <row r="12" spans="1:11" ht="12.75" customHeight="1">
      <c r="A12" s="142">
        <v>6000</v>
      </c>
      <c r="B12" s="140" t="s">
        <v>297</v>
      </c>
      <c r="C12" s="142">
        <v>6999</v>
      </c>
      <c r="D12" s="505">
        <v>39413</v>
      </c>
      <c r="E12" s="505">
        <v>5368</v>
      </c>
      <c r="F12" s="505">
        <v>1602</v>
      </c>
      <c r="G12" s="1245">
        <v>46383</v>
      </c>
      <c r="K12" s="1429">
        <f t="shared" si="0"/>
        <v>0</v>
      </c>
    </row>
    <row r="13" spans="1:11" ht="12.75" customHeight="1">
      <c r="A13" s="142">
        <v>7000</v>
      </c>
      <c r="B13" s="140" t="s">
        <v>297</v>
      </c>
      <c r="C13" s="142">
        <v>7999</v>
      </c>
      <c r="D13" s="505">
        <v>38746</v>
      </c>
      <c r="E13" s="505">
        <v>4990</v>
      </c>
      <c r="F13" s="505">
        <v>1472</v>
      </c>
      <c r="G13" s="1245">
        <v>45208</v>
      </c>
      <c r="K13" s="1429">
        <f t="shared" si="0"/>
        <v>0</v>
      </c>
    </row>
    <row r="14" spans="1:11" ht="12.75" customHeight="1">
      <c r="A14" s="142">
        <v>8000</v>
      </c>
      <c r="B14" s="140" t="s">
        <v>297</v>
      </c>
      <c r="C14" s="142">
        <v>8999</v>
      </c>
      <c r="D14" s="505">
        <v>38496</v>
      </c>
      <c r="E14" s="505">
        <v>4991</v>
      </c>
      <c r="F14" s="505">
        <v>1489</v>
      </c>
      <c r="G14" s="1245">
        <v>44976</v>
      </c>
      <c r="K14" s="1429">
        <f t="shared" si="0"/>
        <v>0</v>
      </c>
    </row>
    <row r="15" spans="1:11" ht="12.75" customHeight="1">
      <c r="A15" s="142">
        <v>9000</v>
      </c>
      <c r="B15" s="140" t="s">
        <v>297</v>
      </c>
      <c r="C15" s="142">
        <v>9999</v>
      </c>
      <c r="D15" s="505">
        <v>38497</v>
      </c>
      <c r="E15" s="505">
        <v>5054</v>
      </c>
      <c r="F15" s="505">
        <v>1536</v>
      </c>
      <c r="G15" s="1245">
        <v>45087</v>
      </c>
      <c r="K15" s="1429">
        <f t="shared" si="0"/>
        <v>0</v>
      </c>
    </row>
    <row r="16" spans="1:11" ht="12.75" customHeight="1">
      <c r="A16" s="142">
        <v>10000</v>
      </c>
      <c r="B16" s="140" t="s">
        <v>297</v>
      </c>
      <c r="C16" s="142">
        <v>10999</v>
      </c>
      <c r="D16" s="505">
        <v>39175</v>
      </c>
      <c r="E16" s="505">
        <v>5330</v>
      </c>
      <c r="F16" s="505">
        <v>1609</v>
      </c>
      <c r="G16" s="1245">
        <v>46114</v>
      </c>
      <c r="K16" s="1429">
        <f t="shared" si="0"/>
        <v>0</v>
      </c>
    </row>
    <row r="17" spans="1:30" ht="12.75" customHeight="1">
      <c r="A17" s="142">
        <v>11000</v>
      </c>
      <c r="B17" s="140" t="s">
        <v>297</v>
      </c>
      <c r="C17" s="142">
        <v>11999</v>
      </c>
      <c r="D17" s="505">
        <v>41777</v>
      </c>
      <c r="E17" s="505">
        <v>5562</v>
      </c>
      <c r="F17" s="505">
        <v>1562</v>
      </c>
      <c r="G17" s="1245">
        <v>48901</v>
      </c>
      <c r="K17" s="1429">
        <f t="shared" si="0"/>
        <v>0</v>
      </c>
      <c r="X17" s="232"/>
      <c r="AA17" s="230"/>
      <c r="AB17" s="230"/>
      <c r="AC17" s="233"/>
    </row>
    <row r="18" spans="1:30" ht="12.75" customHeight="1">
      <c r="A18" s="142">
        <v>12000</v>
      </c>
      <c r="B18" s="140" t="s">
        <v>297</v>
      </c>
      <c r="C18" s="142">
        <v>12999</v>
      </c>
      <c r="D18" s="505">
        <v>40532</v>
      </c>
      <c r="E18" s="505">
        <v>5675</v>
      </c>
      <c r="F18" s="505">
        <v>1544</v>
      </c>
      <c r="G18" s="1245">
        <v>47751</v>
      </c>
      <c r="K18" s="1429">
        <f t="shared" si="0"/>
        <v>0</v>
      </c>
      <c r="X18" s="334"/>
      <c r="AA18" s="230"/>
      <c r="AB18" s="334"/>
      <c r="AC18" s="334"/>
      <c r="AD18" s="334"/>
    </row>
    <row r="19" spans="1:30" ht="12.75" customHeight="1">
      <c r="A19" s="142">
        <v>13000</v>
      </c>
      <c r="B19" s="140" t="s">
        <v>297</v>
      </c>
      <c r="C19" s="142">
        <v>13999</v>
      </c>
      <c r="D19" s="505">
        <v>38054</v>
      </c>
      <c r="E19" s="505">
        <v>5497</v>
      </c>
      <c r="F19" s="505">
        <v>1529</v>
      </c>
      <c r="G19" s="1245">
        <v>45080</v>
      </c>
      <c r="K19" s="1429">
        <f t="shared" si="0"/>
        <v>0</v>
      </c>
      <c r="X19" s="334"/>
      <c r="AA19" s="490" t="e">
        <f>#REF!/#REF!</f>
        <v>#REF!</v>
      </c>
      <c r="AB19" s="334"/>
      <c r="AC19" s="334"/>
      <c r="AD19" s="334"/>
    </row>
    <row r="20" spans="1:30" ht="12.75" customHeight="1">
      <c r="A20" s="142">
        <v>14000</v>
      </c>
      <c r="B20" s="140" t="s">
        <v>297</v>
      </c>
      <c r="C20" s="142">
        <v>14999</v>
      </c>
      <c r="D20" s="505">
        <v>37258</v>
      </c>
      <c r="E20" s="505">
        <v>5780</v>
      </c>
      <c r="F20" s="505">
        <v>1401</v>
      </c>
      <c r="G20" s="1245">
        <v>44439</v>
      </c>
      <c r="K20" s="1429">
        <f t="shared" si="0"/>
        <v>0</v>
      </c>
      <c r="X20" s="334"/>
      <c r="AA20" s="490" t="e">
        <f>#REF!/#REF!</f>
        <v>#REF!</v>
      </c>
      <c r="AB20" s="334"/>
      <c r="AC20" s="334"/>
      <c r="AD20" s="334"/>
    </row>
    <row r="21" spans="1:30" ht="12.75" customHeight="1">
      <c r="A21" s="142">
        <v>15000</v>
      </c>
      <c r="B21" s="140" t="s">
        <v>297</v>
      </c>
      <c r="C21" s="142">
        <v>19999</v>
      </c>
      <c r="D21" s="505">
        <v>178417</v>
      </c>
      <c r="E21" s="505">
        <v>30785</v>
      </c>
      <c r="F21" s="505">
        <v>7487</v>
      </c>
      <c r="G21" s="1245">
        <v>216689</v>
      </c>
      <c r="K21" s="1429">
        <f t="shared" si="0"/>
        <v>0</v>
      </c>
      <c r="X21" s="334"/>
      <c r="AA21" s="490" t="e">
        <f>#REF!/#REF!</f>
        <v>#REF!</v>
      </c>
      <c r="AB21" s="334"/>
      <c r="AC21" s="334"/>
      <c r="AD21" s="334"/>
    </row>
    <row r="22" spans="1:30" ht="12.75" customHeight="1">
      <c r="A22" s="142">
        <v>20000</v>
      </c>
      <c r="B22" s="140" t="s">
        <v>297</v>
      </c>
      <c r="C22" s="142">
        <v>24999</v>
      </c>
      <c r="D22" s="505">
        <v>162406</v>
      </c>
      <c r="E22" s="505">
        <v>33776</v>
      </c>
      <c r="F22" s="505">
        <v>7557</v>
      </c>
      <c r="G22" s="1245">
        <v>203739</v>
      </c>
      <c r="K22" s="1429">
        <f t="shared" si="0"/>
        <v>0</v>
      </c>
      <c r="X22" s="334"/>
      <c r="AA22" s="491" t="e">
        <f>SUM(AA19:AA21)</f>
        <v>#REF!</v>
      </c>
      <c r="AB22" s="334"/>
      <c r="AC22" s="334"/>
      <c r="AD22" s="334"/>
    </row>
    <row r="23" spans="1:30" ht="12.75" customHeight="1">
      <c r="A23" s="142">
        <v>25000</v>
      </c>
      <c r="B23" s="140" t="s">
        <v>297</v>
      </c>
      <c r="C23" s="142">
        <v>29999</v>
      </c>
      <c r="D23" s="505">
        <v>159896</v>
      </c>
      <c r="E23" s="505">
        <v>35426</v>
      </c>
      <c r="F23" s="505">
        <v>8224</v>
      </c>
      <c r="G23" s="1245">
        <v>203546</v>
      </c>
      <c r="H23" s="368"/>
      <c r="K23" s="1429">
        <f t="shared" si="0"/>
        <v>0</v>
      </c>
      <c r="X23" s="334"/>
      <c r="AA23" s="230"/>
      <c r="AB23" s="334"/>
      <c r="AC23" s="334"/>
      <c r="AD23" s="334"/>
    </row>
    <row r="24" spans="1:30" ht="12.75" customHeight="1">
      <c r="A24" s="142">
        <v>30000</v>
      </c>
      <c r="B24" s="140" t="s">
        <v>297</v>
      </c>
      <c r="C24" s="142">
        <v>34999</v>
      </c>
      <c r="D24" s="505">
        <v>156753</v>
      </c>
      <c r="E24" s="505">
        <v>36366</v>
      </c>
      <c r="F24" s="505">
        <v>8923</v>
      </c>
      <c r="G24" s="1245">
        <v>202042</v>
      </c>
      <c r="K24" s="1429">
        <f t="shared" si="0"/>
        <v>0</v>
      </c>
      <c r="X24" s="334"/>
      <c r="AA24" s="230"/>
      <c r="AB24" s="334"/>
      <c r="AC24" s="334"/>
      <c r="AD24" s="334"/>
    </row>
    <row r="25" spans="1:30" ht="12.75" customHeight="1">
      <c r="A25" s="142">
        <v>35000</v>
      </c>
      <c r="B25" s="140" t="s">
        <v>297</v>
      </c>
      <c r="C25" s="142">
        <v>39999</v>
      </c>
      <c r="D25" s="505">
        <v>141075</v>
      </c>
      <c r="E25" s="505">
        <v>37166</v>
      </c>
      <c r="F25" s="505">
        <v>8613</v>
      </c>
      <c r="G25" s="1245">
        <v>186854</v>
      </c>
      <c r="K25" s="1429">
        <f t="shared" si="0"/>
        <v>0</v>
      </c>
      <c r="X25" s="334"/>
      <c r="AA25" s="334"/>
      <c r="AB25" s="334"/>
      <c r="AC25" s="334"/>
      <c r="AD25" s="334"/>
    </row>
    <row r="26" spans="1:30" ht="12.75" customHeight="1">
      <c r="A26" s="142">
        <v>40000</v>
      </c>
      <c r="B26" s="140" t="s">
        <v>297</v>
      </c>
      <c r="C26" s="142">
        <v>44999</v>
      </c>
      <c r="D26" s="505">
        <v>123643</v>
      </c>
      <c r="E26" s="505">
        <v>37119</v>
      </c>
      <c r="F26" s="505">
        <v>8208</v>
      </c>
      <c r="G26" s="1245">
        <v>168970</v>
      </c>
      <c r="H26" s="368"/>
      <c r="K26" s="1429">
        <f t="shared" si="0"/>
        <v>0</v>
      </c>
    </row>
    <row r="27" spans="1:30" ht="12.75" customHeight="1">
      <c r="A27" s="142">
        <v>45000</v>
      </c>
      <c r="B27" s="140" t="s">
        <v>297</v>
      </c>
      <c r="C27" s="142">
        <v>49999</v>
      </c>
      <c r="D27" s="505">
        <v>108929</v>
      </c>
      <c r="E27" s="505">
        <v>36896</v>
      </c>
      <c r="F27" s="505">
        <v>7653</v>
      </c>
      <c r="G27" s="1245">
        <v>153478</v>
      </c>
      <c r="K27" s="1429">
        <f t="shared" si="0"/>
        <v>0</v>
      </c>
    </row>
    <row r="28" spans="1:30" ht="12.75" customHeight="1">
      <c r="A28" s="142">
        <v>50000</v>
      </c>
      <c r="B28" s="140" t="s">
        <v>297</v>
      </c>
      <c r="C28" s="142">
        <v>74999</v>
      </c>
      <c r="D28" s="505">
        <v>366821</v>
      </c>
      <c r="E28" s="505">
        <v>179376</v>
      </c>
      <c r="F28" s="505">
        <v>29892</v>
      </c>
      <c r="G28" s="1245">
        <v>576089</v>
      </c>
      <c r="K28" s="1429">
        <f t="shared" si="0"/>
        <v>0</v>
      </c>
    </row>
    <row r="29" spans="1:30" ht="12.75" customHeight="1">
      <c r="A29" s="142">
        <v>75000</v>
      </c>
      <c r="B29" s="140" t="s">
        <v>297</v>
      </c>
      <c r="C29" s="142">
        <v>99999</v>
      </c>
      <c r="D29" s="505">
        <v>182554</v>
      </c>
      <c r="E29" s="505">
        <v>174713</v>
      </c>
      <c r="F29" s="505">
        <v>17237</v>
      </c>
      <c r="G29" s="1245">
        <v>374504</v>
      </c>
      <c r="H29" s="368"/>
      <c r="K29" s="1429">
        <f t="shared" si="0"/>
        <v>0</v>
      </c>
    </row>
    <row r="30" spans="1:30" ht="21" customHeight="1">
      <c r="A30" s="789">
        <v>100000</v>
      </c>
      <c r="B30" s="506" t="s">
        <v>295</v>
      </c>
      <c r="C30" s="506" t="s">
        <v>308</v>
      </c>
      <c r="D30" s="507">
        <v>255633</v>
      </c>
      <c r="E30" s="507">
        <v>784126</v>
      </c>
      <c r="F30" s="507">
        <v>32431</v>
      </c>
      <c r="G30" s="1024">
        <v>1072190</v>
      </c>
      <c r="K30" s="1429">
        <f t="shared" si="0"/>
        <v>0</v>
      </c>
    </row>
    <row r="31" spans="1:30" ht="12.75" customHeight="1">
      <c r="A31" s="75" t="s">
        <v>298</v>
      </c>
      <c r="B31" s="75"/>
      <c r="C31" s="75"/>
      <c r="D31" s="76">
        <f>SUM(D6:D30)</f>
        <v>2490869</v>
      </c>
      <c r="E31" s="76">
        <f>SUM(E6:E30)</f>
        <v>1518187</v>
      </c>
      <c r="F31" s="76">
        <f>SUM(F6:F30)</f>
        <v>175555</v>
      </c>
      <c r="G31" s="76">
        <f>SUM(G6:G30)</f>
        <v>4184611</v>
      </c>
      <c r="K31" s="1429">
        <f t="shared" si="0"/>
        <v>0</v>
      </c>
    </row>
    <row r="32" spans="1:30" ht="9" customHeight="1"/>
    <row r="34" spans="1:7" ht="13">
      <c r="A34" s="745" t="s">
        <v>929</v>
      </c>
    </row>
    <row r="35" spans="1:7" s="667" customFormat="1" ht="12.75" customHeight="1">
      <c r="B35" s="668"/>
      <c r="C35" s="668"/>
      <c r="D35" s="668"/>
      <c r="E35" s="669"/>
      <c r="G35" s="1235"/>
    </row>
    <row r="36" spans="1:7">
      <c r="G36" s="368"/>
    </row>
  </sheetData>
  <customSheetViews>
    <customSheetView guid="{E6BBE5A7-0B25-4EE8-BA45-5EA5DBAF3AD4}" showPageBreaks="1" printArea="1">
      <selection activeCell="J41" sqref="J41"/>
      <pageMargins left="0.34901960784313701" right="0.331372549019608" top="0.61960784313725503" bottom="0.44313725490196099" header="0.50980392156862797" footer="0.50980392156862797"/>
      <printOptions horizontalCentered="1"/>
      <pageSetup scale="82" orientation="landscape" r:id="rId1"/>
      <headerFooter alignWithMargins="0"/>
    </customSheetView>
  </customSheetViews>
  <hyperlinks>
    <hyperlink ref="K1" location="TOC!A1" display="Back" xr:uid="{00000000-0004-0000-0600-000000000000}"/>
  </hyperlinks>
  <pageMargins left="0.5" right="0.25" top="0.5" bottom="0.25" header="0.25" footer="9.8039219999999996E-3"/>
  <pageSetup orientation="landscape" r:id="rId2"/>
  <headerFooter scaleWithDoc="0">
    <oddHeader>&amp;R&amp;P</oddHead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M34"/>
  <sheetViews>
    <sheetView zoomScaleNormal="100" workbookViewId="0"/>
  </sheetViews>
  <sheetFormatPr defaultColWidth="9.1796875" defaultRowHeight="12.5"/>
  <cols>
    <col min="1" max="1" width="10.7265625" style="225" customWidth="1"/>
    <col min="2" max="2" width="4.453125" style="225" bestFit="1" customWidth="1"/>
    <col min="3" max="3" width="8" style="225" customWidth="1"/>
    <col min="4" max="4" width="14.81640625" style="225" bestFit="1" customWidth="1"/>
    <col min="5" max="5" width="10.7265625" style="225" customWidth="1"/>
    <col min="6" max="6" width="12.7265625" style="225" customWidth="1"/>
    <col min="7" max="7" width="10.7265625" style="225" customWidth="1"/>
    <col min="8" max="8" width="11.1796875" style="225" bestFit="1" customWidth="1"/>
    <col min="9" max="9" width="15.7265625" style="225" customWidth="1"/>
    <col min="10" max="10" width="48.7265625" style="225" customWidth="1"/>
    <col min="11" max="16384" width="9.1796875" style="225"/>
  </cols>
  <sheetData>
    <row r="1" spans="1:13" s="224" customFormat="1" ht="17.149999999999999" customHeight="1">
      <c r="A1" s="229" t="s">
        <v>289</v>
      </c>
      <c r="B1" s="140"/>
      <c r="C1" s="231"/>
      <c r="D1" s="231"/>
      <c r="M1" s="811" t="s">
        <v>954</v>
      </c>
    </row>
    <row r="2" spans="1:13" s="224" customFormat="1" ht="15" customHeight="1">
      <c r="A2" s="227" t="s">
        <v>290</v>
      </c>
      <c r="B2" s="140"/>
      <c r="C2" s="231"/>
      <c r="D2" s="231"/>
    </row>
    <row r="3" spans="1:13" s="224" customFormat="1" ht="15" customHeight="1">
      <c r="A3" s="459" t="s">
        <v>1283</v>
      </c>
      <c r="B3" s="140"/>
      <c r="C3" s="231"/>
      <c r="D3" s="231"/>
    </row>
    <row r="4" spans="1:13" ht="6" customHeight="1"/>
    <row r="5" spans="1:13" s="224" customFormat="1" ht="33" customHeight="1">
      <c r="A5" s="790" t="s">
        <v>874</v>
      </c>
      <c r="B5" s="790"/>
      <c r="C5" s="790"/>
      <c r="D5" s="791" t="s">
        <v>875</v>
      </c>
      <c r="E5" s="792" t="s">
        <v>291</v>
      </c>
      <c r="F5" s="792" t="s">
        <v>292</v>
      </c>
      <c r="G5" s="793" t="s">
        <v>293</v>
      </c>
      <c r="H5" s="792" t="s">
        <v>294</v>
      </c>
      <c r="I5" s="791" t="s">
        <v>876</v>
      </c>
    </row>
    <row r="6" spans="1:13" s="224" customFormat="1" ht="21" customHeight="1">
      <c r="A6" s="142">
        <v>999</v>
      </c>
      <c r="B6" s="140" t="s">
        <v>295</v>
      </c>
      <c r="C6" s="139" t="s">
        <v>296</v>
      </c>
      <c r="D6" s="1245">
        <v>176420</v>
      </c>
      <c r="E6" s="1245">
        <v>229388</v>
      </c>
      <c r="F6" s="1245">
        <v>66309</v>
      </c>
      <c r="G6" s="1245">
        <v>60811</v>
      </c>
      <c r="H6" s="1245">
        <v>471</v>
      </c>
      <c r="I6" s="1245">
        <v>356979</v>
      </c>
      <c r="J6" s="225"/>
      <c r="M6" s="1236">
        <f>SUM(E6:H6)-I6</f>
        <v>0</v>
      </c>
    </row>
    <row r="7" spans="1:13" ht="12.75" customHeight="1">
      <c r="A7" s="142">
        <v>1000</v>
      </c>
      <c r="B7" s="140" t="s">
        <v>297</v>
      </c>
      <c r="C7" s="142">
        <v>1999</v>
      </c>
      <c r="D7" s="501">
        <v>47327</v>
      </c>
      <c r="E7" s="501">
        <v>53751</v>
      </c>
      <c r="F7" s="501">
        <v>11138</v>
      </c>
      <c r="G7" s="501">
        <v>8899</v>
      </c>
      <c r="H7" s="501">
        <v>72</v>
      </c>
      <c r="I7" s="501">
        <v>73860</v>
      </c>
      <c r="M7" s="1236">
        <f t="shared" ref="M7:M31" si="0">SUM(E7:H7)-I7</f>
        <v>0</v>
      </c>
    </row>
    <row r="8" spans="1:13" ht="12.75" customHeight="1">
      <c r="A8" s="142">
        <v>2000</v>
      </c>
      <c r="B8" s="140" t="s">
        <v>297</v>
      </c>
      <c r="C8" s="142">
        <v>2999</v>
      </c>
      <c r="D8" s="501">
        <v>47549</v>
      </c>
      <c r="E8" s="501">
        <v>53246</v>
      </c>
      <c r="F8" s="501">
        <v>10693</v>
      </c>
      <c r="G8" s="501">
        <v>8083</v>
      </c>
      <c r="H8" s="501">
        <v>94</v>
      </c>
      <c r="I8" s="501">
        <v>72116</v>
      </c>
      <c r="M8" s="1236">
        <f t="shared" si="0"/>
        <v>0</v>
      </c>
    </row>
    <row r="9" spans="1:13" ht="12.75" customHeight="1">
      <c r="A9" s="142">
        <v>3000</v>
      </c>
      <c r="B9" s="140" t="s">
        <v>297</v>
      </c>
      <c r="C9" s="142">
        <v>3999</v>
      </c>
      <c r="D9" s="501">
        <v>47742</v>
      </c>
      <c r="E9" s="501">
        <v>53272</v>
      </c>
      <c r="F9" s="501">
        <v>10795</v>
      </c>
      <c r="G9" s="501">
        <v>8244</v>
      </c>
      <c r="H9" s="501">
        <v>76</v>
      </c>
      <c r="I9" s="501">
        <v>72387</v>
      </c>
      <c r="M9" s="1236">
        <f t="shared" si="0"/>
        <v>0</v>
      </c>
    </row>
    <row r="10" spans="1:13" ht="12.75" customHeight="1">
      <c r="A10" s="142">
        <v>4000</v>
      </c>
      <c r="B10" s="140" t="s">
        <v>297</v>
      </c>
      <c r="C10" s="142">
        <v>4999</v>
      </c>
      <c r="D10" s="501">
        <v>46882</v>
      </c>
      <c r="E10" s="501">
        <v>52196</v>
      </c>
      <c r="F10" s="501">
        <v>10850</v>
      </c>
      <c r="G10" s="501">
        <v>8127</v>
      </c>
      <c r="H10" s="501">
        <v>84</v>
      </c>
      <c r="I10" s="501">
        <v>71257</v>
      </c>
      <c r="M10" s="1236">
        <f t="shared" si="0"/>
        <v>0</v>
      </c>
    </row>
    <row r="11" spans="1:13" ht="12.75" customHeight="1">
      <c r="A11" s="142">
        <v>5000</v>
      </c>
      <c r="B11" s="140" t="s">
        <v>297</v>
      </c>
      <c r="C11" s="142">
        <v>5999</v>
      </c>
      <c r="D11" s="501">
        <v>46651</v>
      </c>
      <c r="E11" s="501">
        <v>51718</v>
      </c>
      <c r="F11" s="501">
        <v>10893</v>
      </c>
      <c r="G11" s="501">
        <v>8242</v>
      </c>
      <c r="H11" s="501">
        <v>91</v>
      </c>
      <c r="I11" s="501">
        <v>70944</v>
      </c>
      <c r="M11" s="1236">
        <f t="shared" si="0"/>
        <v>0</v>
      </c>
    </row>
    <row r="12" spans="1:13" ht="12.75" customHeight="1">
      <c r="A12" s="142">
        <v>6000</v>
      </c>
      <c r="B12" s="140" t="s">
        <v>297</v>
      </c>
      <c r="C12" s="142">
        <v>6999</v>
      </c>
      <c r="D12" s="501">
        <v>46383</v>
      </c>
      <c r="E12" s="501">
        <v>51699</v>
      </c>
      <c r="F12" s="501">
        <v>11357</v>
      </c>
      <c r="G12" s="501">
        <v>8655</v>
      </c>
      <c r="H12" s="501">
        <v>102</v>
      </c>
      <c r="I12" s="501">
        <v>71813</v>
      </c>
      <c r="M12" s="1236">
        <f t="shared" si="0"/>
        <v>0</v>
      </c>
    </row>
    <row r="13" spans="1:13" ht="12.75" customHeight="1">
      <c r="A13" s="142">
        <v>7000</v>
      </c>
      <c r="B13" s="140" t="s">
        <v>297</v>
      </c>
      <c r="C13" s="142">
        <v>7999</v>
      </c>
      <c r="D13" s="501">
        <v>45208</v>
      </c>
      <c r="E13" s="501">
        <v>50137</v>
      </c>
      <c r="F13" s="501">
        <v>11437</v>
      </c>
      <c r="G13" s="501">
        <v>8880</v>
      </c>
      <c r="H13" s="501">
        <v>92</v>
      </c>
      <c r="I13" s="501">
        <v>70546</v>
      </c>
      <c r="M13" s="1236">
        <f t="shared" si="0"/>
        <v>0</v>
      </c>
    </row>
    <row r="14" spans="1:13" ht="12.75" customHeight="1">
      <c r="A14" s="142">
        <v>8000</v>
      </c>
      <c r="B14" s="140" t="s">
        <v>297</v>
      </c>
      <c r="C14" s="142">
        <v>8999</v>
      </c>
      <c r="D14" s="501">
        <v>44976</v>
      </c>
      <c r="E14" s="501">
        <v>49937</v>
      </c>
      <c r="F14" s="501">
        <v>11949</v>
      </c>
      <c r="G14" s="501">
        <v>8956</v>
      </c>
      <c r="H14" s="501">
        <v>84</v>
      </c>
      <c r="I14" s="501">
        <v>70926</v>
      </c>
      <c r="M14" s="1236">
        <f t="shared" si="0"/>
        <v>0</v>
      </c>
    </row>
    <row r="15" spans="1:13" ht="12.75" customHeight="1">
      <c r="A15" s="142">
        <v>9000</v>
      </c>
      <c r="B15" s="140" t="s">
        <v>297</v>
      </c>
      <c r="C15" s="142">
        <v>9999</v>
      </c>
      <c r="D15" s="501">
        <v>45087</v>
      </c>
      <c r="E15" s="501">
        <v>50099</v>
      </c>
      <c r="F15" s="501">
        <v>12844</v>
      </c>
      <c r="G15" s="501">
        <v>9122</v>
      </c>
      <c r="H15" s="501">
        <v>86</v>
      </c>
      <c r="I15" s="501">
        <v>72151</v>
      </c>
      <c r="M15" s="1236">
        <f t="shared" si="0"/>
        <v>0</v>
      </c>
    </row>
    <row r="16" spans="1:13" ht="12.75" customHeight="1">
      <c r="A16" s="142">
        <v>10000</v>
      </c>
      <c r="B16" s="140" t="s">
        <v>297</v>
      </c>
      <c r="C16" s="142">
        <v>10999</v>
      </c>
      <c r="D16" s="501">
        <v>46114</v>
      </c>
      <c r="E16" s="501">
        <v>51421</v>
      </c>
      <c r="F16" s="501">
        <v>14845</v>
      </c>
      <c r="G16" s="501">
        <v>9667</v>
      </c>
      <c r="H16" s="501">
        <v>105</v>
      </c>
      <c r="I16" s="501">
        <v>76038</v>
      </c>
      <c r="M16" s="1236">
        <f t="shared" si="0"/>
        <v>0</v>
      </c>
    </row>
    <row r="17" spans="1:13" ht="12.75" customHeight="1">
      <c r="A17" s="142">
        <v>11000</v>
      </c>
      <c r="B17" s="140" t="s">
        <v>297</v>
      </c>
      <c r="C17" s="142">
        <v>11999</v>
      </c>
      <c r="D17" s="501">
        <v>48901</v>
      </c>
      <c r="E17" s="501">
        <v>54464</v>
      </c>
      <c r="F17" s="501">
        <v>18584</v>
      </c>
      <c r="G17" s="501">
        <v>10089</v>
      </c>
      <c r="H17" s="501">
        <v>122</v>
      </c>
      <c r="I17" s="501">
        <v>83259</v>
      </c>
      <c r="M17" s="1236">
        <f t="shared" si="0"/>
        <v>0</v>
      </c>
    </row>
    <row r="18" spans="1:13" ht="12.75" customHeight="1">
      <c r="A18" s="142">
        <v>12000</v>
      </c>
      <c r="B18" s="140" t="s">
        <v>297</v>
      </c>
      <c r="C18" s="142">
        <v>12999</v>
      </c>
      <c r="D18" s="501">
        <v>47751</v>
      </c>
      <c r="E18" s="501">
        <v>53438</v>
      </c>
      <c r="F18" s="501">
        <v>17043</v>
      </c>
      <c r="G18" s="501">
        <v>10751</v>
      </c>
      <c r="H18" s="501">
        <v>90</v>
      </c>
      <c r="I18" s="501">
        <v>81322</v>
      </c>
      <c r="M18" s="1236">
        <f t="shared" si="0"/>
        <v>0</v>
      </c>
    </row>
    <row r="19" spans="1:13" ht="12.75" customHeight="1">
      <c r="A19" s="142">
        <v>13000</v>
      </c>
      <c r="B19" s="140" t="s">
        <v>297</v>
      </c>
      <c r="C19" s="142">
        <v>13999</v>
      </c>
      <c r="D19" s="501">
        <v>45080</v>
      </c>
      <c r="E19" s="501">
        <v>50586</v>
      </c>
      <c r="F19" s="501">
        <v>16632</v>
      </c>
      <c r="G19" s="501">
        <v>10651</v>
      </c>
      <c r="H19" s="501">
        <v>97</v>
      </c>
      <c r="I19" s="501">
        <v>77966</v>
      </c>
      <c r="M19" s="1236">
        <f t="shared" si="0"/>
        <v>0</v>
      </c>
    </row>
    <row r="20" spans="1:13" ht="12.75" customHeight="1">
      <c r="A20" s="142">
        <v>14000</v>
      </c>
      <c r="B20" s="140" t="s">
        <v>297</v>
      </c>
      <c r="C20" s="142">
        <v>14999</v>
      </c>
      <c r="D20" s="501">
        <v>44439</v>
      </c>
      <c r="E20" s="501">
        <v>50238</v>
      </c>
      <c r="F20" s="501">
        <v>17864</v>
      </c>
      <c r="G20" s="501">
        <v>11266</v>
      </c>
      <c r="H20" s="501">
        <v>91</v>
      </c>
      <c r="I20" s="501">
        <v>79459</v>
      </c>
      <c r="M20" s="1236">
        <f t="shared" si="0"/>
        <v>0</v>
      </c>
    </row>
    <row r="21" spans="1:13" ht="12.75" customHeight="1">
      <c r="A21" s="142">
        <v>15000</v>
      </c>
      <c r="B21" s="140" t="s">
        <v>297</v>
      </c>
      <c r="C21" s="142">
        <v>19999</v>
      </c>
      <c r="D21" s="501">
        <v>216689</v>
      </c>
      <c r="E21" s="501">
        <v>247619</v>
      </c>
      <c r="F21" s="501">
        <v>106425</v>
      </c>
      <c r="G21" s="501">
        <v>56538</v>
      </c>
      <c r="H21" s="501">
        <v>542</v>
      </c>
      <c r="I21" s="501">
        <v>411124</v>
      </c>
      <c r="M21" s="1236">
        <f t="shared" si="0"/>
        <v>0</v>
      </c>
    </row>
    <row r="22" spans="1:13" ht="12.75" customHeight="1">
      <c r="A22" s="142">
        <v>20000</v>
      </c>
      <c r="B22" s="140" t="s">
        <v>297</v>
      </c>
      <c r="C22" s="142">
        <v>24999</v>
      </c>
      <c r="D22" s="501">
        <v>203739</v>
      </c>
      <c r="E22" s="501">
        <v>237811</v>
      </c>
      <c r="F22" s="501">
        <v>92619</v>
      </c>
      <c r="G22" s="501">
        <v>57012</v>
      </c>
      <c r="H22" s="501">
        <v>569</v>
      </c>
      <c r="I22" s="501">
        <v>388011</v>
      </c>
      <c r="M22" s="1236">
        <f t="shared" si="0"/>
        <v>0</v>
      </c>
    </row>
    <row r="23" spans="1:13" ht="12.75" customHeight="1">
      <c r="A23" s="142">
        <v>25000</v>
      </c>
      <c r="B23" s="140" t="s">
        <v>297</v>
      </c>
      <c r="C23" s="142">
        <v>29999</v>
      </c>
      <c r="D23" s="501">
        <v>203546</v>
      </c>
      <c r="E23" s="501">
        <v>239379</v>
      </c>
      <c r="F23" s="501">
        <v>91799</v>
      </c>
      <c r="G23" s="501">
        <v>54985</v>
      </c>
      <c r="H23" s="501">
        <v>532</v>
      </c>
      <c r="I23" s="501">
        <v>386695</v>
      </c>
      <c r="M23" s="1236">
        <f t="shared" si="0"/>
        <v>0</v>
      </c>
    </row>
    <row r="24" spans="1:13" ht="12.75" customHeight="1">
      <c r="A24" s="142">
        <v>30000</v>
      </c>
      <c r="B24" s="140" t="s">
        <v>297</v>
      </c>
      <c r="C24" s="142">
        <v>34999</v>
      </c>
      <c r="D24" s="501">
        <v>202042</v>
      </c>
      <c r="E24" s="501">
        <v>238836</v>
      </c>
      <c r="F24" s="501">
        <v>94096</v>
      </c>
      <c r="G24" s="501">
        <v>52263</v>
      </c>
      <c r="H24" s="501">
        <v>431</v>
      </c>
      <c r="I24" s="501">
        <v>385626</v>
      </c>
      <c r="M24" s="1236">
        <f t="shared" si="0"/>
        <v>0</v>
      </c>
    </row>
    <row r="25" spans="1:13" ht="12.75" customHeight="1">
      <c r="A25" s="142">
        <v>35000</v>
      </c>
      <c r="B25" s="140" t="s">
        <v>297</v>
      </c>
      <c r="C25" s="142">
        <v>39999</v>
      </c>
      <c r="D25" s="501">
        <v>186854</v>
      </c>
      <c r="E25" s="501">
        <v>224460</v>
      </c>
      <c r="F25" s="501">
        <v>89134</v>
      </c>
      <c r="G25" s="501">
        <v>48696</v>
      </c>
      <c r="H25" s="501">
        <v>452</v>
      </c>
      <c r="I25" s="501">
        <v>362742</v>
      </c>
      <c r="M25" s="1236">
        <f t="shared" si="0"/>
        <v>0</v>
      </c>
    </row>
    <row r="26" spans="1:13" ht="12.75" customHeight="1">
      <c r="A26" s="142">
        <v>40000</v>
      </c>
      <c r="B26" s="140" t="s">
        <v>297</v>
      </c>
      <c r="C26" s="142">
        <v>44999</v>
      </c>
      <c r="D26" s="501">
        <v>168970</v>
      </c>
      <c r="E26" s="501">
        <v>206571</v>
      </c>
      <c r="F26" s="501">
        <v>80013</v>
      </c>
      <c r="G26" s="501">
        <v>45248</v>
      </c>
      <c r="H26" s="501">
        <v>367</v>
      </c>
      <c r="I26" s="501">
        <v>332199</v>
      </c>
      <c r="M26" s="1236">
        <f t="shared" si="0"/>
        <v>0</v>
      </c>
    </row>
    <row r="27" spans="1:13" ht="12.75" customHeight="1">
      <c r="A27" s="142">
        <v>45000</v>
      </c>
      <c r="B27" s="140" t="s">
        <v>297</v>
      </c>
      <c r="C27" s="142">
        <v>49999</v>
      </c>
      <c r="D27" s="501">
        <v>153478</v>
      </c>
      <c r="E27" s="501">
        <v>190831</v>
      </c>
      <c r="F27" s="501">
        <v>71127</v>
      </c>
      <c r="G27" s="501">
        <v>41945</v>
      </c>
      <c r="H27" s="501">
        <v>324</v>
      </c>
      <c r="I27" s="501">
        <v>304227</v>
      </c>
      <c r="M27" s="1236">
        <f t="shared" si="0"/>
        <v>0</v>
      </c>
    </row>
    <row r="28" spans="1:13" ht="12.75" customHeight="1">
      <c r="A28" s="142">
        <v>50000</v>
      </c>
      <c r="B28" s="140" t="s">
        <v>297</v>
      </c>
      <c r="C28" s="142">
        <v>74999</v>
      </c>
      <c r="D28" s="501">
        <v>576089</v>
      </c>
      <c r="E28" s="501">
        <v>757838</v>
      </c>
      <c r="F28" s="501">
        <v>271023</v>
      </c>
      <c r="G28" s="501">
        <v>164458</v>
      </c>
      <c r="H28" s="501">
        <v>1222</v>
      </c>
      <c r="I28" s="501">
        <v>1194541</v>
      </c>
      <c r="M28" s="1236">
        <f t="shared" si="0"/>
        <v>0</v>
      </c>
    </row>
    <row r="29" spans="1:13" ht="12.75" customHeight="1">
      <c r="A29" s="142">
        <v>75000</v>
      </c>
      <c r="B29" s="140" t="s">
        <v>297</v>
      </c>
      <c r="C29" s="142">
        <v>99999</v>
      </c>
      <c r="D29" s="501">
        <v>374504</v>
      </c>
      <c r="E29" s="501">
        <v>551270</v>
      </c>
      <c r="F29" s="501">
        <v>204467</v>
      </c>
      <c r="G29" s="501">
        <v>113023</v>
      </c>
      <c r="H29" s="501">
        <v>839</v>
      </c>
      <c r="I29" s="501">
        <v>869599</v>
      </c>
      <c r="M29" s="1236">
        <f t="shared" si="0"/>
        <v>0</v>
      </c>
    </row>
    <row r="30" spans="1:13" ht="21" customHeight="1">
      <c r="A30" s="789">
        <v>100000</v>
      </c>
      <c r="B30" s="506" t="s">
        <v>295</v>
      </c>
      <c r="C30" s="506" t="s">
        <v>308</v>
      </c>
      <c r="D30" s="1024">
        <v>1072190</v>
      </c>
      <c r="E30" s="1024">
        <v>1862191</v>
      </c>
      <c r="F30" s="1024">
        <v>877600</v>
      </c>
      <c r="G30" s="1024">
        <v>315097</v>
      </c>
      <c r="H30" s="1024">
        <v>1681</v>
      </c>
      <c r="I30" s="1024">
        <v>3056569</v>
      </c>
      <c r="M30" s="1236">
        <f t="shared" si="0"/>
        <v>0</v>
      </c>
    </row>
    <row r="31" spans="1:13" ht="15" customHeight="1">
      <c r="A31" s="75" t="s">
        <v>298</v>
      </c>
      <c r="B31" s="75"/>
      <c r="C31" s="75"/>
      <c r="D31" s="76">
        <f t="shared" ref="D31:I31" si="1">SUM(D6:D30)</f>
        <v>4184611</v>
      </c>
      <c r="E31" s="76">
        <f t="shared" si="1"/>
        <v>5712396</v>
      </c>
      <c r="F31" s="76">
        <f t="shared" si="1"/>
        <v>2231536</v>
      </c>
      <c r="G31" s="76">
        <f t="shared" si="1"/>
        <v>1139708</v>
      </c>
      <c r="H31" s="76">
        <f t="shared" si="1"/>
        <v>8716</v>
      </c>
      <c r="I31" s="76">
        <f t="shared" si="1"/>
        <v>9092356</v>
      </c>
      <c r="M31" s="1236">
        <f t="shared" si="0"/>
        <v>0</v>
      </c>
    </row>
    <row r="32" spans="1:13" ht="6" customHeight="1"/>
    <row r="34" spans="1:5" s="667" customFormat="1" ht="12.75" customHeight="1">
      <c r="A34" s="745" t="s">
        <v>929</v>
      </c>
      <c r="B34" s="668"/>
      <c r="C34" s="668"/>
      <c r="D34" s="668"/>
      <c r="E34" s="669"/>
    </row>
  </sheetData>
  <customSheetViews>
    <customSheetView guid="{E6BBE5A7-0B25-4EE8-BA45-5EA5DBAF3AD4}" showPageBreaks="1" printArea="1" topLeftCell="A10">
      <selection activeCell="A3" sqref="A3"/>
      <pageMargins left="0.5" right="0.5" top="1" bottom="1" header="0.5" footer="0.5"/>
      <printOptions horizontalCentered="1"/>
      <pageSetup scale="66" orientation="landscape" r:id="rId1"/>
      <headerFooter alignWithMargins="0"/>
    </customSheetView>
  </customSheetViews>
  <hyperlinks>
    <hyperlink ref="M1" location="TOC!A1" display="Back" xr:uid="{00000000-0004-0000-0700-000000000000}"/>
  </hyperlinks>
  <pageMargins left="0.4" right="0.25" top="0.5" bottom="0.25" header="0.25" footer="0"/>
  <pageSetup scale="91" orientation="landscape" r:id="rId2"/>
  <headerFooter scaleWithDoc="0">
    <oddHeader>&amp;R&amp;P</oddHead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O182"/>
  <sheetViews>
    <sheetView showOutlineSymbols="0" zoomScale="85" zoomScaleNormal="85" workbookViewId="0"/>
  </sheetViews>
  <sheetFormatPr defaultColWidth="10.7265625" defaultRowHeight="17.149999999999999" customHeight="1"/>
  <cols>
    <col min="1" max="1" width="13.7265625" style="173" customWidth="1"/>
    <col min="2" max="2" width="6.6328125" style="968" hidden="1" customWidth="1"/>
    <col min="3" max="3" width="12.6328125" style="173" customWidth="1"/>
    <col min="4" max="4" width="13.6328125" style="173" customWidth="1"/>
    <col min="5" max="12" width="14.6328125" style="173" customWidth="1"/>
    <col min="13" max="13" width="15.6328125" style="173" customWidth="1"/>
    <col min="14" max="14" width="15.6328125" style="209" customWidth="1"/>
    <col min="15" max="16384" width="10.7265625" style="173"/>
  </cols>
  <sheetData>
    <row r="1" spans="1:15" ht="18">
      <c r="A1" s="172" t="s">
        <v>587</v>
      </c>
      <c r="B1" s="1002"/>
      <c r="D1" s="174"/>
      <c r="E1" s="174"/>
      <c r="F1" s="174"/>
      <c r="G1" s="174"/>
      <c r="H1" s="174"/>
      <c r="I1" s="174"/>
      <c r="J1" s="174"/>
      <c r="K1" s="174"/>
      <c r="L1" s="174"/>
      <c r="M1" s="174"/>
      <c r="O1" s="811" t="s">
        <v>954</v>
      </c>
    </row>
    <row r="2" spans="1:15" ht="17.149999999999999" customHeight="1">
      <c r="A2" s="175" t="s">
        <v>588</v>
      </c>
      <c r="B2" s="1003"/>
      <c r="D2" s="174"/>
      <c r="E2" s="174"/>
      <c r="F2" s="174"/>
      <c r="G2" s="174"/>
      <c r="H2" s="174"/>
      <c r="I2" s="174"/>
      <c r="J2" s="174"/>
      <c r="K2" s="174"/>
      <c r="L2" s="174"/>
      <c r="M2" s="174"/>
    </row>
    <row r="3" spans="1:15" ht="17.149999999999999" customHeight="1">
      <c r="A3" s="176" t="s">
        <v>1283</v>
      </c>
      <c r="B3" s="1004"/>
      <c r="D3" s="177"/>
      <c r="E3" s="177"/>
      <c r="F3" s="177"/>
      <c r="G3" s="177"/>
      <c r="H3" s="177"/>
      <c r="I3" s="177"/>
      <c r="J3" s="177"/>
      <c r="K3" s="177"/>
      <c r="L3" s="177"/>
      <c r="M3" s="177"/>
    </row>
    <row r="4" spans="1:15" ht="2" customHeight="1">
      <c r="A4" s="175"/>
      <c r="B4" s="1003"/>
      <c r="D4" s="177"/>
      <c r="E4" s="177"/>
      <c r="F4" s="177"/>
      <c r="G4" s="177"/>
      <c r="H4" s="177"/>
      <c r="I4" s="177"/>
      <c r="J4" s="177"/>
      <c r="K4" s="177"/>
      <c r="L4" s="177"/>
      <c r="M4" s="177"/>
    </row>
    <row r="5" spans="1:15" s="171" customFormat="1" ht="2" customHeight="1">
      <c r="A5" s="176"/>
      <c r="B5" s="1004"/>
      <c r="C5" s="173"/>
      <c r="D5" s="177"/>
      <c r="E5" s="177"/>
      <c r="F5" s="177"/>
      <c r="G5" s="177"/>
      <c r="H5" s="177"/>
      <c r="I5" s="177"/>
      <c r="J5" s="177"/>
      <c r="K5" s="177"/>
      <c r="L5" s="177"/>
      <c r="M5" s="177"/>
      <c r="N5" s="995"/>
    </row>
    <row r="6" spans="1:15" s="171" customFormat="1" ht="2" customHeight="1" thickBot="1">
      <c r="A6" s="175"/>
      <c r="B6" s="1003"/>
      <c r="C6" s="173"/>
      <c r="D6" s="996"/>
      <c r="E6" s="996"/>
      <c r="F6" s="996"/>
      <c r="G6" s="996"/>
      <c r="H6" s="996"/>
      <c r="I6" s="996"/>
      <c r="J6" s="996"/>
      <c r="K6" s="996"/>
      <c r="L6" s="996"/>
      <c r="M6" s="996"/>
      <c r="N6" s="997"/>
    </row>
    <row r="7" spans="1:15" s="171" customFormat="1" ht="26">
      <c r="A7" s="999" t="s">
        <v>18</v>
      </c>
      <c r="B7" s="1001" t="s">
        <v>910</v>
      </c>
      <c r="C7" s="1000" t="s">
        <v>589</v>
      </c>
      <c r="D7" s="1105" t="s">
        <v>1146</v>
      </c>
      <c r="E7" s="1105" t="s">
        <v>1147</v>
      </c>
      <c r="F7" s="1105" t="s">
        <v>1148</v>
      </c>
      <c r="G7" s="1105" t="s">
        <v>1149</v>
      </c>
      <c r="H7" s="1105" t="s">
        <v>1150</v>
      </c>
      <c r="I7" s="1105" t="s">
        <v>1151</v>
      </c>
      <c r="J7" s="1105" t="s">
        <v>1152</v>
      </c>
      <c r="K7" s="1105" t="s">
        <v>1153</v>
      </c>
      <c r="L7" s="1105" t="s">
        <v>1154</v>
      </c>
      <c r="M7" s="1105" t="s">
        <v>1155</v>
      </c>
      <c r="N7" s="1105" t="s">
        <v>1156</v>
      </c>
    </row>
    <row r="8" spans="1:15" s="150" customFormat="1" ht="34" customHeight="1">
      <c r="A8" s="150" t="s">
        <v>311</v>
      </c>
      <c r="B8" s="988" t="s">
        <v>1009</v>
      </c>
      <c r="C8" s="149">
        <v>4368494.3600000003</v>
      </c>
      <c r="D8" s="149">
        <v>10961421.949999999</v>
      </c>
      <c r="E8" s="149">
        <v>17545464.23</v>
      </c>
      <c r="F8" s="149">
        <v>21309345.600000001</v>
      </c>
      <c r="G8" s="149">
        <v>26309153.32</v>
      </c>
      <c r="H8" s="149">
        <v>34295174.329999998</v>
      </c>
      <c r="I8" s="149">
        <v>79876214.239999995</v>
      </c>
      <c r="J8" s="149">
        <v>77599270.180000007</v>
      </c>
      <c r="K8" s="149">
        <v>148030121.34999999</v>
      </c>
      <c r="L8" s="149">
        <v>117049439.01000001</v>
      </c>
      <c r="M8" s="149">
        <v>414659415.25</v>
      </c>
      <c r="N8" s="234">
        <f t="shared" ref="N8:N42" si="0">SUM(C8:M8)</f>
        <v>952003513.82000005</v>
      </c>
    </row>
    <row r="9" spans="1:15" s="171" customFormat="1" ht="17" customHeight="1">
      <c r="A9" s="171" t="s">
        <v>315</v>
      </c>
      <c r="B9" s="970" t="s">
        <v>1010</v>
      </c>
      <c r="C9" s="178">
        <v>7108722.1799999997</v>
      </c>
      <c r="D9" s="178">
        <v>18502370.109999999</v>
      </c>
      <c r="E9" s="178">
        <v>30130411.550000001</v>
      </c>
      <c r="F9" s="178">
        <v>40533253.969999999</v>
      </c>
      <c r="G9" s="178">
        <v>47125759.990000002</v>
      </c>
      <c r="H9" s="178">
        <v>63527531.859999999</v>
      </c>
      <c r="I9" s="178">
        <v>157283837.18000001</v>
      </c>
      <c r="J9" s="178">
        <v>171734628.22</v>
      </c>
      <c r="K9" s="178">
        <v>451672206.45999998</v>
      </c>
      <c r="L9" s="178">
        <v>390108240.50999999</v>
      </c>
      <c r="M9" s="178">
        <v>5628592965.1700001</v>
      </c>
      <c r="N9" s="283">
        <f t="shared" si="0"/>
        <v>7006319927.1999998</v>
      </c>
    </row>
    <row r="10" spans="1:15" s="171" customFormat="1" ht="17.149999999999999" customHeight="1">
      <c r="A10" s="171" t="s">
        <v>319</v>
      </c>
      <c r="B10" s="970" t="s">
        <v>1011</v>
      </c>
      <c r="C10" s="178">
        <v>1251680.3399999999</v>
      </c>
      <c r="D10" s="178">
        <v>3729264.8200000003</v>
      </c>
      <c r="E10" s="178">
        <v>6082987.3800000008</v>
      </c>
      <c r="F10" s="178">
        <v>8312458.7199999997</v>
      </c>
      <c r="G10" s="178">
        <v>10663759.210000001</v>
      </c>
      <c r="H10" s="178">
        <v>13532865.35</v>
      </c>
      <c r="I10" s="178">
        <v>26942120.190000001</v>
      </c>
      <c r="J10" s="178">
        <v>26040948.190000001</v>
      </c>
      <c r="K10" s="178">
        <v>64362034.090000004</v>
      </c>
      <c r="L10" s="178">
        <v>57768318.130000003</v>
      </c>
      <c r="M10" s="178">
        <v>156153587.16</v>
      </c>
      <c r="N10" s="283">
        <f t="shared" si="0"/>
        <v>374840023.58000004</v>
      </c>
    </row>
    <row r="11" spans="1:15" s="171" customFormat="1" ht="17.149999999999999" customHeight="1">
      <c r="A11" s="171" t="s">
        <v>323</v>
      </c>
      <c r="B11" s="970" t="s">
        <v>1012</v>
      </c>
      <c r="C11" s="178">
        <v>736708.19</v>
      </c>
      <c r="D11" s="178">
        <v>2523689.2500000005</v>
      </c>
      <c r="E11" s="178">
        <v>4337870.03</v>
      </c>
      <c r="F11" s="178">
        <v>6587539.4400000004</v>
      </c>
      <c r="G11" s="178">
        <v>7506888.79</v>
      </c>
      <c r="H11" s="178">
        <v>9652831.6099999994</v>
      </c>
      <c r="I11" s="178">
        <v>22665824.350000001</v>
      </c>
      <c r="J11" s="178">
        <v>29156111.27</v>
      </c>
      <c r="K11" s="178">
        <v>58974228.659999996</v>
      </c>
      <c r="L11" s="178">
        <v>54784452.299999997</v>
      </c>
      <c r="M11" s="178">
        <v>216860532.24000001</v>
      </c>
      <c r="N11" s="283">
        <f t="shared" si="0"/>
        <v>413786676.13</v>
      </c>
    </row>
    <row r="12" spans="1:15" s="171" customFormat="1" ht="17.149999999999999" customHeight="1">
      <c r="A12" s="171" t="s">
        <v>327</v>
      </c>
      <c r="B12" s="970" t="s">
        <v>1013</v>
      </c>
      <c r="C12" s="178">
        <v>1555989.15</v>
      </c>
      <c r="D12" s="178">
        <v>5905353.8000000007</v>
      </c>
      <c r="E12" s="178">
        <v>10462354.58</v>
      </c>
      <c r="F12" s="178">
        <v>15882649.92</v>
      </c>
      <c r="G12" s="178">
        <v>19062257.359999999</v>
      </c>
      <c r="H12" s="178">
        <v>23435137.329999998</v>
      </c>
      <c r="I12" s="178">
        <v>57669377.140000001</v>
      </c>
      <c r="J12" s="178">
        <v>61195379.060000002</v>
      </c>
      <c r="K12" s="178">
        <v>134643318.31999999</v>
      </c>
      <c r="L12" s="178">
        <v>113161735.7</v>
      </c>
      <c r="M12" s="178">
        <v>336216115.79000002</v>
      </c>
      <c r="N12" s="283">
        <f t="shared" si="0"/>
        <v>779189668.14999998</v>
      </c>
    </row>
    <row r="13" spans="1:15" s="171" customFormat="1" ht="34" customHeight="1">
      <c r="A13" s="171" t="s">
        <v>331</v>
      </c>
      <c r="B13" s="970" t="s">
        <v>1014</v>
      </c>
      <c r="C13" s="178">
        <v>1125793.8699999999</v>
      </c>
      <c r="D13" s="178">
        <v>3130008.84</v>
      </c>
      <c r="E13" s="178">
        <v>5411778.6899999995</v>
      </c>
      <c r="F13" s="178">
        <v>8206808.9000000004</v>
      </c>
      <c r="G13" s="178">
        <v>10154671.82</v>
      </c>
      <c r="H13" s="178">
        <v>10939652.210000001</v>
      </c>
      <c r="I13" s="178">
        <v>29123358.670000002</v>
      </c>
      <c r="J13" s="178">
        <v>28904079.509999998</v>
      </c>
      <c r="K13" s="178">
        <v>69831580.900000006</v>
      </c>
      <c r="L13" s="178">
        <v>62548631.450000003</v>
      </c>
      <c r="M13" s="178">
        <v>184763099.15000001</v>
      </c>
      <c r="N13" s="283">
        <f t="shared" si="0"/>
        <v>414139464.00999999</v>
      </c>
    </row>
    <row r="14" spans="1:15" s="171" customFormat="1" ht="17.149999999999999" customHeight="1">
      <c r="A14" s="171" t="s">
        <v>335</v>
      </c>
      <c r="B14" s="970" t="s">
        <v>1015</v>
      </c>
      <c r="C14" s="178">
        <v>15624283.949999999</v>
      </c>
      <c r="D14" s="178">
        <v>36917436.32</v>
      </c>
      <c r="E14" s="178">
        <v>57997719.109999999</v>
      </c>
      <c r="F14" s="178">
        <v>74197649.890000001</v>
      </c>
      <c r="G14" s="178">
        <v>89858058.980000004</v>
      </c>
      <c r="H14" s="178">
        <v>107031876.69</v>
      </c>
      <c r="I14" s="178">
        <v>270903929.34000003</v>
      </c>
      <c r="J14" s="178">
        <v>313796585.72000003</v>
      </c>
      <c r="K14" s="178">
        <v>1133902757.8199999</v>
      </c>
      <c r="L14" s="178">
        <v>1356305123.2</v>
      </c>
      <c r="M14" s="178">
        <v>15941603689.82</v>
      </c>
      <c r="N14" s="283">
        <f t="shared" si="0"/>
        <v>19398139110.84</v>
      </c>
    </row>
    <row r="15" spans="1:15" s="171" customFormat="1" ht="17.149999999999999" customHeight="1">
      <c r="A15" s="171" t="s">
        <v>339</v>
      </c>
      <c r="B15" s="970" t="s">
        <v>1016</v>
      </c>
      <c r="C15" s="178">
        <v>4259251.05</v>
      </c>
      <c r="D15" s="178">
        <v>13892017.25</v>
      </c>
      <c r="E15" s="178">
        <v>24585751.289999999</v>
      </c>
      <c r="F15" s="178">
        <v>35087959.950000003</v>
      </c>
      <c r="G15" s="178">
        <v>43859899.840000004</v>
      </c>
      <c r="H15" s="178">
        <v>53316727.079999998</v>
      </c>
      <c r="I15" s="178">
        <v>136330539.19999999</v>
      </c>
      <c r="J15" s="178">
        <v>158180635.34</v>
      </c>
      <c r="K15" s="178">
        <v>375731305.92000002</v>
      </c>
      <c r="L15" s="178">
        <v>331676223.91000003</v>
      </c>
      <c r="M15" s="178">
        <v>1374030849.23</v>
      </c>
      <c r="N15" s="283">
        <f t="shared" si="0"/>
        <v>2550951160.0600004</v>
      </c>
    </row>
    <row r="16" spans="1:15" s="171" customFormat="1" ht="17.149999999999999" customHeight="1">
      <c r="A16" s="171" t="s">
        <v>343</v>
      </c>
      <c r="B16" s="970" t="s">
        <v>1017</v>
      </c>
      <c r="C16" s="178">
        <v>414360.17000000004</v>
      </c>
      <c r="D16" s="178">
        <v>1279620.6300000001</v>
      </c>
      <c r="E16" s="178">
        <v>1916282.6700000002</v>
      </c>
      <c r="F16" s="178">
        <v>2198604.29</v>
      </c>
      <c r="G16" s="178">
        <v>2925627.5</v>
      </c>
      <c r="H16" s="178">
        <v>4934362.9800000004</v>
      </c>
      <c r="I16" s="178">
        <v>10186756.68</v>
      </c>
      <c r="J16" s="178">
        <v>10091564.890000001</v>
      </c>
      <c r="K16" s="178">
        <v>20294122.010000002</v>
      </c>
      <c r="L16" s="178">
        <v>15567173.43</v>
      </c>
      <c r="M16" s="178">
        <v>69075081.879999995</v>
      </c>
      <c r="N16" s="283">
        <f t="shared" si="0"/>
        <v>138883557.13</v>
      </c>
    </row>
    <row r="17" spans="1:14" s="171" customFormat="1" ht="17.149999999999999" customHeight="1">
      <c r="A17" s="171" t="s">
        <v>721</v>
      </c>
      <c r="B17" s="970" t="s">
        <v>1018</v>
      </c>
      <c r="C17" s="178">
        <v>4846046.93</v>
      </c>
      <c r="D17" s="178">
        <v>14827802.220000001</v>
      </c>
      <c r="E17" s="178">
        <v>25150819</v>
      </c>
      <c r="F17" s="178">
        <v>33682624.659999996</v>
      </c>
      <c r="G17" s="178">
        <v>43333807.890000001</v>
      </c>
      <c r="H17" s="178">
        <v>53328355.090000004</v>
      </c>
      <c r="I17" s="178">
        <v>130137559.81999999</v>
      </c>
      <c r="J17" s="178">
        <v>142744829.77000001</v>
      </c>
      <c r="K17" s="178">
        <v>332122594.48000002</v>
      </c>
      <c r="L17" s="178">
        <v>302493484.47000003</v>
      </c>
      <c r="M17" s="178">
        <v>2524971569.7399998</v>
      </c>
      <c r="N17" s="283">
        <f t="shared" si="0"/>
        <v>3607639494.0699997</v>
      </c>
    </row>
    <row r="18" spans="1:14" s="171" customFormat="1" ht="34" customHeight="1">
      <c r="A18" s="171" t="s">
        <v>351</v>
      </c>
      <c r="B18" s="970" t="s">
        <v>1019</v>
      </c>
      <c r="C18" s="178">
        <v>442068.79</v>
      </c>
      <c r="D18" s="178">
        <v>915788.84000000008</v>
      </c>
      <c r="E18" s="178">
        <v>1957135.8400000003</v>
      </c>
      <c r="F18" s="178">
        <v>2427842.0699999998</v>
      </c>
      <c r="G18" s="178">
        <v>2786656.6</v>
      </c>
      <c r="H18" s="178">
        <v>3907815.91</v>
      </c>
      <c r="I18" s="178">
        <v>10634511.449999999</v>
      </c>
      <c r="J18" s="178">
        <v>12281985.690000001</v>
      </c>
      <c r="K18" s="178">
        <v>23037002.18</v>
      </c>
      <c r="L18" s="178">
        <v>21740634.719999999</v>
      </c>
      <c r="M18" s="178">
        <v>61687385.210000001</v>
      </c>
      <c r="N18" s="283">
        <f t="shared" si="0"/>
        <v>141818827.30000001</v>
      </c>
    </row>
    <row r="19" spans="1:14" s="171" customFormat="1" ht="17.149999999999999" customHeight="1">
      <c r="A19" s="171" t="s">
        <v>355</v>
      </c>
      <c r="B19" s="970" t="s">
        <v>1020</v>
      </c>
      <c r="C19" s="178">
        <v>1881484.73</v>
      </c>
      <c r="D19" s="178">
        <v>5976086.7199999997</v>
      </c>
      <c r="E19" s="178">
        <v>10082463.359999999</v>
      </c>
      <c r="F19" s="178">
        <v>13458378.539999999</v>
      </c>
      <c r="G19" s="178">
        <v>16430415.800000001</v>
      </c>
      <c r="H19" s="178">
        <v>19391417.23</v>
      </c>
      <c r="I19" s="178">
        <v>52777675.18</v>
      </c>
      <c r="J19" s="178">
        <v>57453025.759999998</v>
      </c>
      <c r="K19" s="178">
        <v>140974038.81</v>
      </c>
      <c r="L19" s="178">
        <v>136888886.33000001</v>
      </c>
      <c r="M19" s="178">
        <v>781248678.10000002</v>
      </c>
      <c r="N19" s="283">
        <f t="shared" si="0"/>
        <v>1236562550.5599999</v>
      </c>
    </row>
    <row r="20" spans="1:14" s="171" customFormat="1" ht="17.149999999999999" customHeight="1">
      <c r="A20" s="171" t="s">
        <v>359</v>
      </c>
      <c r="B20" s="970" t="s">
        <v>1021</v>
      </c>
      <c r="C20" s="178">
        <v>928958.85</v>
      </c>
      <c r="D20" s="178">
        <v>2987337.03</v>
      </c>
      <c r="E20" s="178">
        <v>6023625.4400000004</v>
      </c>
      <c r="F20" s="178">
        <v>8525363.7599999998</v>
      </c>
      <c r="G20" s="178">
        <v>10504412.51</v>
      </c>
      <c r="H20" s="178">
        <v>11564010.949999999</v>
      </c>
      <c r="I20" s="178">
        <v>26717863.98</v>
      </c>
      <c r="J20" s="178">
        <v>25466594</v>
      </c>
      <c r="K20" s="178">
        <v>54126908.920000002</v>
      </c>
      <c r="L20" s="178">
        <v>40916324.340000004</v>
      </c>
      <c r="M20" s="178">
        <v>125189625.29000001</v>
      </c>
      <c r="N20" s="283">
        <f t="shared" si="0"/>
        <v>312951025.06999999</v>
      </c>
    </row>
    <row r="21" spans="1:14" s="171" customFormat="1" ht="17.149999999999999" customHeight="1">
      <c r="A21" s="171" t="s">
        <v>363</v>
      </c>
      <c r="B21" s="970" t="s">
        <v>1022</v>
      </c>
      <c r="C21" s="178">
        <v>1019095.79</v>
      </c>
      <c r="D21" s="178">
        <v>3312562.39</v>
      </c>
      <c r="E21" s="178">
        <v>5610723.0300000012</v>
      </c>
      <c r="F21" s="178">
        <v>7301992.71</v>
      </c>
      <c r="G21" s="178">
        <v>9991303.5999999996</v>
      </c>
      <c r="H21" s="178">
        <v>12900127.960000001</v>
      </c>
      <c r="I21" s="178">
        <v>23621695.780000001</v>
      </c>
      <c r="J21" s="178">
        <v>24819972.240000002</v>
      </c>
      <c r="K21" s="178">
        <v>53688619.899999999</v>
      </c>
      <c r="L21" s="178">
        <v>49786604.060000002</v>
      </c>
      <c r="M21" s="178">
        <v>141847186.19999999</v>
      </c>
      <c r="N21" s="283">
        <f t="shared" si="0"/>
        <v>333899883.65999997</v>
      </c>
    </row>
    <row r="22" spans="1:14" s="171" customFormat="1" ht="17.149999999999999" customHeight="1">
      <c r="A22" s="171" t="s">
        <v>367</v>
      </c>
      <c r="B22" s="970" t="s">
        <v>1023</v>
      </c>
      <c r="C22" s="178">
        <v>898820.03</v>
      </c>
      <c r="D22" s="178">
        <v>2860980.46</v>
      </c>
      <c r="E22" s="178">
        <v>4635461</v>
      </c>
      <c r="F22" s="178">
        <v>6799537.21</v>
      </c>
      <c r="G22" s="178">
        <v>10050057.140000001</v>
      </c>
      <c r="H22" s="178">
        <v>11518601.48</v>
      </c>
      <c r="I22" s="178">
        <v>29515098.699999999</v>
      </c>
      <c r="J22" s="178">
        <v>29588743.009999998</v>
      </c>
      <c r="K22" s="178">
        <v>58994330.549999997</v>
      </c>
      <c r="L22" s="178">
        <v>41307685.18</v>
      </c>
      <c r="M22" s="178">
        <v>125188227.78</v>
      </c>
      <c r="N22" s="283">
        <f t="shared" si="0"/>
        <v>321357542.53999996</v>
      </c>
    </row>
    <row r="23" spans="1:14" s="171" customFormat="1" ht="34" customHeight="1">
      <c r="A23" s="171" t="s">
        <v>371</v>
      </c>
      <c r="B23" s="970" t="s">
        <v>1024</v>
      </c>
      <c r="C23" s="178">
        <v>3475497.29</v>
      </c>
      <c r="D23" s="178">
        <v>11265129.75</v>
      </c>
      <c r="E23" s="178">
        <v>19115128.82</v>
      </c>
      <c r="F23" s="178">
        <v>27510395.690000001</v>
      </c>
      <c r="G23" s="178">
        <v>32891308.039999999</v>
      </c>
      <c r="H23" s="178">
        <v>43231048.399999999</v>
      </c>
      <c r="I23" s="178">
        <v>103396108.94999999</v>
      </c>
      <c r="J23" s="178">
        <v>104894798.30000001</v>
      </c>
      <c r="K23" s="178">
        <v>219834105.74000001</v>
      </c>
      <c r="L23" s="178">
        <v>196010249.31</v>
      </c>
      <c r="M23" s="178">
        <v>674611745.39999998</v>
      </c>
      <c r="N23" s="283">
        <f t="shared" si="0"/>
        <v>1436235515.6900001</v>
      </c>
    </row>
    <row r="24" spans="1:14" s="171" customFormat="1" ht="17.149999999999999" customHeight="1">
      <c r="A24" s="171" t="s">
        <v>373</v>
      </c>
      <c r="B24" s="970" t="s">
        <v>1025</v>
      </c>
      <c r="C24" s="178">
        <v>1530664.8800000001</v>
      </c>
      <c r="D24" s="178">
        <v>5500064.8499999996</v>
      </c>
      <c r="E24" s="178">
        <v>9617311.4499999993</v>
      </c>
      <c r="F24" s="178">
        <v>13799459.32</v>
      </c>
      <c r="G24" s="178">
        <v>17774323.489999998</v>
      </c>
      <c r="H24" s="178">
        <v>21398654.539999999</v>
      </c>
      <c r="I24" s="178">
        <v>54730727.140000001</v>
      </c>
      <c r="J24" s="178">
        <v>63693540.689999998</v>
      </c>
      <c r="K24" s="178">
        <v>152068699</v>
      </c>
      <c r="L24" s="178">
        <v>137687825.94999999</v>
      </c>
      <c r="M24" s="178">
        <v>460762699.07999998</v>
      </c>
      <c r="N24" s="283">
        <f t="shared" si="0"/>
        <v>938563970.38999999</v>
      </c>
    </row>
    <row r="25" spans="1:14" s="171" customFormat="1" ht="17.149999999999999" customHeight="1">
      <c r="A25" s="171" t="s">
        <v>376</v>
      </c>
      <c r="B25" s="970" t="s">
        <v>1026</v>
      </c>
      <c r="C25" s="178">
        <v>1929086.23</v>
      </c>
      <c r="D25" s="178">
        <v>6388565.0200000005</v>
      </c>
      <c r="E25" s="178">
        <v>10943765.449999999</v>
      </c>
      <c r="F25" s="178">
        <v>15493118.27</v>
      </c>
      <c r="G25" s="178">
        <v>19209712.940000001</v>
      </c>
      <c r="H25" s="178">
        <v>25512146.91</v>
      </c>
      <c r="I25" s="178">
        <v>52622349.899999999</v>
      </c>
      <c r="J25" s="178">
        <v>52806563.479999997</v>
      </c>
      <c r="K25" s="178">
        <v>113290211.84</v>
      </c>
      <c r="L25" s="178">
        <v>89842977.969999999</v>
      </c>
      <c r="M25" s="178">
        <v>215062546.08000001</v>
      </c>
      <c r="N25" s="283">
        <f t="shared" si="0"/>
        <v>603101044.09000003</v>
      </c>
    </row>
    <row r="26" spans="1:14" s="171" customFormat="1" ht="17.149999999999999" customHeight="1">
      <c r="A26" s="171" t="s">
        <v>379</v>
      </c>
      <c r="B26" s="970" t="s">
        <v>1027</v>
      </c>
      <c r="C26" s="178">
        <v>359769.02</v>
      </c>
      <c r="D26" s="178">
        <v>1550339.63</v>
      </c>
      <c r="E26" s="178">
        <v>2435726.4500000002</v>
      </c>
      <c r="F26" s="178">
        <v>3378882.23</v>
      </c>
      <c r="G26" s="178">
        <v>4335463.72</v>
      </c>
      <c r="H26" s="178">
        <v>6345559.3600000003</v>
      </c>
      <c r="I26" s="178">
        <v>14202151.57</v>
      </c>
      <c r="J26" s="178">
        <v>14266883.5</v>
      </c>
      <c r="K26" s="178">
        <v>34338995.119999997</v>
      </c>
      <c r="L26" s="178">
        <v>27042400.670000002</v>
      </c>
      <c r="M26" s="178">
        <v>168487031.08000001</v>
      </c>
      <c r="N26" s="283">
        <f t="shared" si="0"/>
        <v>276743202.35000002</v>
      </c>
    </row>
    <row r="27" spans="1:14" s="171" customFormat="1" ht="17.149999999999999" customHeight="1">
      <c r="A27" s="171" t="s">
        <v>382</v>
      </c>
      <c r="B27" s="970" t="s">
        <v>1028</v>
      </c>
      <c r="C27" s="178">
        <v>636646.38</v>
      </c>
      <c r="D27" s="178">
        <v>2316341.2999999998</v>
      </c>
      <c r="E27" s="178">
        <v>4794311.1099999994</v>
      </c>
      <c r="F27" s="178">
        <v>6258650.54</v>
      </c>
      <c r="G27" s="178">
        <v>7729302.2199999997</v>
      </c>
      <c r="H27" s="178">
        <v>8810511.5500000007</v>
      </c>
      <c r="I27" s="178">
        <v>22169670.02</v>
      </c>
      <c r="J27" s="178">
        <v>22971165.560000002</v>
      </c>
      <c r="K27" s="178">
        <v>44246659.140000001</v>
      </c>
      <c r="L27" s="178">
        <v>32609886.899999999</v>
      </c>
      <c r="M27" s="178">
        <v>103664543.02</v>
      </c>
      <c r="N27" s="283">
        <f t="shared" si="0"/>
        <v>256207687.74000001</v>
      </c>
    </row>
    <row r="28" spans="1:14" s="171" customFormat="1" ht="34" customHeight="1">
      <c r="A28" s="171" t="s">
        <v>384</v>
      </c>
      <c r="B28" s="970" t="s">
        <v>1029</v>
      </c>
      <c r="C28" s="178">
        <v>20582071.200000003</v>
      </c>
      <c r="D28" s="178">
        <v>63474972.650000006</v>
      </c>
      <c r="E28" s="178">
        <v>109534339.16</v>
      </c>
      <c r="F28" s="178">
        <v>144199665.53</v>
      </c>
      <c r="G28" s="178">
        <v>180531522.59999999</v>
      </c>
      <c r="H28" s="178">
        <v>218077132.65000001</v>
      </c>
      <c r="I28" s="178">
        <v>572896977.00999999</v>
      </c>
      <c r="J28" s="178">
        <v>647635184.98000002</v>
      </c>
      <c r="K28" s="178">
        <v>1626945221.74</v>
      </c>
      <c r="L28" s="178">
        <v>1506468498.97</v>
      </c>
      <c r="M28" s="178">
        <v>10208813374.09</v>
      </c>
      <c r="N28" s="283">
        <f t="shared" si="0"/>
        <v>15299158960.58</v>
      </c>
    </row>
    <row r="29" spans="1:14" s="171" customFormat="1" ht="17.149999999999999" customHeight="1">
      <c r="A29" s="171" t="s">
        <v>387</v>
      </c>
      <c r="B29" s="970" t="s">
        <v>1030</v>
      </c>
      <c r="C29" s="178">
        <v>962768.87</v>
      </c>
      <c r="D29" s="178">
        <v>2840082.33</v>
      </c>
      <c r="E29" s="178">
        <v>4279084.17</v>
      </c>
      <c r="F29" s="178">
        <v>5411233.5999999996</v>
      </c>
      <c r="G29" s="178">
        <v>6693281.1299999999</v>
      </c>
      <c r="H29" s="178">
        <v>8915317.5999999996</v>
      </c>
      <c r="I29" s="178">
        <v>22107352.350000001</v>
      </c>
      <c r="J29" s="178">
        <v>24342502.57</v>
      </c>
      <c r="K29" s="178">
        <v>64083498.990000002</v>
      </c>
      <c r="L29" s="178">
        <v>63512039.479999997</v>
      </c>
      <c r="M29" s="178">
        <v>579101467.63999999</v>
      </c>
      <c r="N29" s="283">
        <f t="shared" si="0"/>
        <v>782248628.73000002</v>
      </c>
    </row>
    <row r="30" spans="1:14" s="171" customFormat="1" ht="17.149999999999999" customHeight="1">
      <c r="A30" s="171" t="s">
        <v>389</v>
      </c>
      <c r="B30" s="970" t="s">
        <v>1031</v>
      </c>
      <c r="C30" s="178">
        <v>325146.79000000004</v>
      </c>
      <c r="D30" s="178">
        <v>985178.83000000007</v>
      </c>
      <c r="E30" s="178">
        <v>1464709.99</v>
      </c>
      <c r="F30" s="178">
        <v>2435971.36</v>
      </c>
      <c r="G30" s="178">
        <v>2523795.25</v>
      </c>
      <c r="H30" s="178">
        <v>3600362</v>
      </c>
      <c r="I30" s="178">
        <v>10193575.699999999</v>
      </c>
      <c r="J30" s="178">
        <v>10062138.129999999</v>
      </c>
      <c r="K30" s="178">
        <v>22474245.739999998</v>
      </c>
      <c r="L30" s="178">
        <v>18275634.609999999</v>
      </c>
      <c r="M30" s="178">
        <v>55171065.640000001</v>
      </c>
      <c r="N30" s="283">
        <f t="shared" si="0"/>
        <v>127511824.04000001</v>
      </c>
    </row>
    <row r="31" spans="1:14" s="171" customFormat="1" ht="17.149999999999999" customHeight="1">
      <c r="A31" s="171" t="s">
        <v>392</v>
      </c>
      <c r="B31" s="970" t="s">
        <v>1032</v>
      </c>
      <c r="C31" s="178">
        <v>3208498.5900000003</v>
      </c>
      <c r="D31" s="178">
        <v>9227942.5099999998</v>
      </c>
      <c r="E31" s="178">
        <v>17363999.240000002</v>
      </c>
      <c r="F31" s="178">
        <v>21532107.300000001</v>
      </c>
      <c r="G31" s="178">
        <v>27026686.510000002</v>
      </c>
      <c r="H31" s="178">
        <v>34478079.200000003</v>
      </c>
      <c r="I31" s="178">
        <v>81520828.019999996</v>
      </c>
      <c r="J31" s="178">
        <v>85585988.979999989</v>
      </c>
      <c r="K31" s="178">
        <v>219720932.91999999</v>
      </c>
      <c r="L31" s="178">
        <v>206468114.66</v>
      </c>
      <c r="M31" s="178">
        <v>1169645134.5599999</v>
      </c>
      <c r="N31" s="283">
        <f t="shared" si="0"/>
        <v>1875778312.4899998</v>
      </c>
    </row>
    <row r="32" spans="1:14" s="171" customFormat="1" ht="17.149999999999999" customHeight="1">
      <c r="A32" s="171" t="s">
        <v>395</v>
      </c>
      <c r="B32" s="970" t="s">
        <v>1033</v>
      </c>
      <c r="C32" s="178">
        <v>487372.67000000004</v>
      </c>
      <c r="D32" s="178">
        <v>1787059.54</v>
      </c>
      <c r="E32" s="178">
        <v>3402370.83</v>
      </c>
      <c r="F32" s="178">
        <v>4517574.74</v>
      </c>
      <c r="G32" s="178">
        <v>5966041.6900000004</v>
      </c>
      <c r="H32" s="178">
        <v>8726949.5500000007</v>
      </c>
      <c r="I32" s="178">
        <v>19096883.759999998</v>
      </c>
      <c r="J32" s="178">
        <v>18942763.149999999</v>
      </c>
      <c r="K32" s="178">
        <v>43252633.32</v>
      </c>
      <c r="L32" s="178">
        <v>30432662.800000001</v>
      </c>
      <c r="M32" s="178">
        <v>89289845.450000003</v>
      </c>
      <c r="N32" s="283">
        <f t="shared" si="0"/>
        <v>225902157.5</v>
      </c>
    </row>
    <row r="33" spans="1:14" s="171" customFormat="1" ht="34" customHeight="1">
      <c r="A33" s="171" t="s">
        <v>398</v>
      </c>
      <c r="B33" s="970" t="s">
        <v>1034</v>
      </c>
      <c r="C33" s="178">
        <v>804773.04</v>
      </c>
      <c r="D33" s="178">
        <v>2511022.46</v>
      </c>
      <c r="E33" s="178">
        <v>4324620.97</v>
      </c>
      <c r="F33" s="178">
        <v>5867928.7400000002</v>
      </c>
      <c r="G33" s="178">
        <v>7625615.1399999997</v>
      </c>
      <c r="H33" s="178">
        <v>9293832.2200000007</v>
      </c>
      <c r="I33" s="178">
        <v>18762294.82</v>
      </c>
      <c r="J33" s="178">
        <v>18202509.490000002</v>
      </c>
      <c r="K33" s="178">
        <v>39878523.759999998</v>
      </c>
      <c r="L33" s="178">
        <v>40157727.719999999</v>
      </c>
      <c r="M33" s="178">
        <v>80937137.159999996</v>
      </c>
      <c r="N33" s="283">
        <f t="shared" si="0"/>
        <v>228365985.51999998</v>
      </c>
    </row>
    <row r="34" spans="1:14" s="171" customFormat="1" ht="17.149999999999999" customHeight="1">
      <c r="A34" s="171" t="s">
        <v>401</v>
      </c>
      <c r="B34" s="970" t="s">
        <v>1035</v>
      </c>
      <c r="C34" s="178">
        <v>1300117.33</v>
      </c>
      <c r="D34" s="178">
        <v>4681483.12</v>
      </c>
      <c r="E34" s="178">
        <v>8657116.1799999997</v>
      </c>
      <c r="F34" s="178">
        <v>14102938.199999999</v>
      </c>
      <c r="G34" s="178">
        <v>16913524.449999999</v>
      </c>
      <c r="H34" s="178">
        <v>20197405.649999999</v>
      </c>
      <c r="I34" s="178">
        <v>51131702.82</v>
      </c>
      <c r="J34" s="178">
        <v>55646510.379999995</v>
      </c>
      <c r="K34" s="178">
        <v>129373019.65000001</v>
      </c>
      <c r="L34" s="178">
        <v>108768928.61</v>
      </c>
      <c r="M34" s="178">
        <v>367913807.30000001</v>
      </c>
      <c r="N34" s="283">
        <f t="shared" si="0"/>
        <v>778686553.69000006</v>
      </c>
    </row>
    <row r="35" spans="1:14" s="171" customFormat="1" ht="17.149999999999999" customHeight="1">
      <c r="A35" s="171" t="s">
        <v>404</v>
      </c>
      <c r="B35" s="970" t="s">
        <v>1036</v>
      </c>
      <c r="C35" s="178">
        <v>818565.99</v>
      </c>
      <c r="D35" s="178">
        <v>2093661.23</v>
      </c>
      <c r="E35" s="178">
        <v>3825191.85</v>
      </c>
      <c r="F35" s="178">
        <v>5733983.2599999998</v>
      </c>
      <c r="G35" s="178">
        <v>6944245.0999999996</v>
      </c>
      <c r="H35" s="178">
        <v>9035815.3000000007</v>
      </c>
      <c r="I35" s="178">
        <v>23033457.390000001</v>
      </c>
      <c r="J35" s="178">
        <v>22507642.969999999</v>
      </c>
      <c r="K35" s="178">
        <v>47979127.460000001</v>
      </c>
      <c r="L35" s="178">
        <v>38846087.32</v>
      </c>
      <c r="M35" s="178">
        <v>161334318.75</v>
      </c>
      <c r="N35" s="283">
        <f t="shared" si="0"/>
        <v>322152096.62</v>
      </c>
    </row>
    <row r="36" spans="1:14" s="171" customFormat="1" ht="17.149999999999999" customHeight="1">
      <c r="A36" s="171" t="s">
        <v>722</v>
      </c>
      <c r="B36" s="970" t="s">
        <v>1037</v>
      </c>
      <c r="C36" s="178">
        <v>76291716.519999996</v>
      </c>
      <c r="D36" s="178">
        <v>191255009.86000001</v>
      </c>
      <c r="E36" s="178">
        <v>301665798.47000003</v>
      </c>
      <c r="F36" s="178">
        <v>363974731.23000002</v>
      </c>
      <c r="G36" s="178">
        <v>425010754.36000001</v>
      </c>
      <c r="H36" s="178">
        <v>519085885.33999997</v>
      </c>
      <c r="I36" s="178">
        <v>1237443987.8399999</v>
      </c>
      <c r="J36" s="178">
        <v>1381296253.1700001</v>
      </c>
      <c r="K36" s="178">
        <v>3999998842.5900002</v>
      </c>
      <c r="L36" s="178">
        <v>4381975140.3400002</v>
      </c>
      <c r="M36" s="178">
        <v>69485427517.580002</v>
      </c>
      <c r="N36" s="283">
        <f t="shared" si="0"/>
        <v>82363425637.300003</v>
      </c>
    </row>
    <row r="37" spans="1:14" s="171" customFormat="1" ht="17.149999999999999" customHeight="1">
      <c r="A37" s="171" t="s">
        <v>410</v>
      </c>
      <c r="B37" s="970" t="s">
        <v>1038</v>
      </c>
      <c r="C37" s="178">
        <v>4185715.87</v>
      </c>
      <c r="D37" s="178">
        <v>12031365.73</v>
      </c>
      <c r="E37" s="178">
        <v>19981659.509999998</v>
      </c>
      <c r="F37" s="178">
        <v>25814016.949999999</v>
      </c>
      <c r="G37" s="178">
        <v>30694366.920000002</v>
      </c>
      <c r="H37" s="178">
        <v>37562173.840000004</v>
      </c>
      <c r="I37" s="178">
        <v>95700921.560000002</v>
      </c>
      <c r="J37" s="178">
        <v>106330750.16</v>
      </c>
      <c r="K37" s="178">
        <v>287733353.02999997</v>
      </c>
      <c r="L37" s="178">
        <v>283499628.76999998</v>
      </c>
      <c r="M37" s="178">
        <v>3418736749.8299999</v>
      </c>
      <c r="N37" s="283">
        <f t="shared" si="0"/>
        <v>4322270702.1700001</v>
      </c>
    </row>
    <row r="38" spans="1:14" s="171" customFormat="1" ht="34" customHeight="1">
      <c r="A38" s="171" t="s">
        <v>413</v>
      </c>
      <c r="B38" s="970" t="s">
        <v>1039</v>
      </c>
      <c r="C38" s="178">
        <v>999632.42999999993</v>
      </c>
      <c r="D38" s="178">
        <v>3292624.87</v>
      </c>
      <c r="E38" s="178">
        <v>5654178.9299999997</v>
      </c>
      <c r="F38" s="178">
        <v>7436304.9699999997</v>
      </c>
      <c r="G38" s="178">
        <v>9196262.5899999999</v>
      </c>
      <c r="H38" s="178">
        <v>11423633.310000001</v>
      </c>
      <c r="I38" s="178">
        <v>27000351.140000001</v>
      </c>
      <c r="J38" s="178">
        <v>27442927.920000002</v>
      </c>
      <c r="K38" s="178">
        <v>63045889.200000003</v>
      </c>
      <c r="L38" s="178">
        <v>58807745.829999998</v>
      </c>
      <c r="M38" s="178">
        <v>239130367.53</v>
      </c>
      <c r="N38" s="283">
        <f t="shared" si="0"/>
        <v>453429918.72000003</v>
      </c>
    </row>
    <row r="39" spans="1:14" s="171" customFormat="1" ht="17.149999999999999" customHeight="1">
      <c r="A39" s="171" t="s">
        <v>415</v>
      </c>
      <c r="B39" s="970" t="s">
        <v>1040</v>
      </c>
      <c r="C39" s="178">
        <v>1379293</v>
      </c>
      <c r="D39" s="178">
        <v>4619413.7200000007</v>
      </c>
      <c r="E39" s="178">
        <v>7963723.9699999997</v>
      </c>
      <c r="F39" s="178">
        <v>10320605.91</v>
      </c>
      <c r="G39" s="178">
        <v>12432750.890000001</v>
      </c>
      <c r="H39" s="178">
        <v>17320439.129999999</v>
      </c>
      <c r="I39" s="178">
        <v>45294068.609999999</v>
      </c>
      <c r="J39" s="178">
        <v>52458007.25</v>
      </c>
      <c r="K39" s="178">
        <v>126876020.43000001</v>
      </c>
      <c r="L39" s="178">
        <v>116579093.23999999</v>
      </c>
      <c r="M39" s="178">
        <v>519866991</v>
      </c>
      <c r="N39" s="283">
        <f t="shared" si="0"/>
        <v>915110407.1500001</v>
      </c>
    </row>
    <row r="40" spans="1:14" s="171" customFormat="1" ht="17.149999999999999" customHeight="1">
      <c r="A40" s="171" t="s">
        <v>418</v>
      </c>
      <c r="B40" s="970" t="s">
        <v>1041</v>
      </c>
      <c r="C40" s="178">
        <v>3316411.98</v>
      </c>
      <c r="D40" s="178">
        <v>10266578.48</v>
      </c>
      <c r="E40" s="178">
        <v>18151815</v>
      </c>
      <c r="F40" s="178">
        <v>24876457.27</v>
      </c>
      <c r="G40" s="178">
        <v>30692291.77</v>
      </c>
      <c r="H40" s="178">
        <v>39076901.369999997</v>
      </c>
      <c r="I40" s="178">
        <v>98106217.890000001</v>
      </c>
      <c r="J40" s="178">
        <v>103353175.89</v>
      </c>
      <c r="K40" s="178">
        <v>209255508.68000001</v>
      </c>
      <c r="L40" s="178">
        <v>192021501.09999999</v>
      </c>
      <c r="M40" s="178">
        <v>889982725.14999998</v>
      </c>
      <c r="N40" s="283">
        <f t="shared" si="0"/>
        <v>1619099584.5799999</v>
      </c>
    </row>
    <row r="41" spans="1:14" s="171" customFormat="1" ht="17.149999999999999" customHeight="1">
      <c r="A41" s="171" t="s">
        <v>420</v>
      </c>
      <c r="B41" s="970" t="s">
        <v>1042</v>
      </c>
      <c r="C41" s="178">
        <v>5865302.1199999992</v>
      </c>
      <c r="D41" s="178">
        <v>17590134.770000003</v>
      </c>
      <c r="E41" s="178">
        <v>29624884.210000001</v>
      </c>
      <c r="F41" s="178">
        <v>39835693.899999999</v>
      </c>
      <c r="G41" s="178">
        <v>47253416.600000001</v>
      </c>
      <c r="H41" s="178">
        <v>59167991.659999996</v>
      </c>
      <c r="I41" s="178">
        <v>157533559.40000001</v>
      </c>
      <c r="J41" s="178">
        <v>171671237.52999997</v>
      </c>
      <c r="K41" s="178">
        <v>417428963.24000001</v>
      </c>
      <c r="L41" s="178">
        <v>410600570.54000002</v>
      </c>
      <c r="M41" s="178">
        <v>2358502696.3099999</v>
      </c>
      <c r="N41" s="283">
        <f t="shared" si="0"/>
        <v>3715074450.2799997</v>
      </c>
    </row>
    <row r="42" spans="1:14" s="171" customFormat="1" ht="17.149999999999999" customHeight="1">
      <c r="A42" s="171" t="s">
        <v>423</v>
      </c>
      <c r="B42" s="970" t="s">
        <v>1043</v>
      </c>
      <c r="C42" s="178">
        <v>950426.44</v>
      </c>
      <c r="D42" s="178">
        <v>3204962.67</v>
      </c>
      <c r="E42" s="178">
        <v>5835007.8899999997</v>
      </c>
      <c r="F42" s="178">
        <v>8678403.5</v>
      </c>
      <c r="G42" s="178">
        <v>10094972.99</v>
      </c>
      <c r="H42" s="178">
        <v>12205776.9</v>
      </c>
      <c r="I42" s="178">
        <v>28972304.440000001</v>
      </c>
      <c r="J42" s="178">
        <v>32977170.52</v>
      </c>
      <c r="K42" s="178">
        <v>74828245.180000007</v>
      </c>
      <c r="L42" s="178">
        <v>61843070.32</v>
      </c>
      <c r="M42" s="178">
        <v>183811531.09</v>
      </c>
      <c r="N42" s="283">
        <f t="shared" si="0"/>
        <v>423401871.94</v>
      </c>
    </row>
    <row r="43" spans="1:14" ht="18">
      <c r="A43" s="172" t="s">
        <v>590</v>
      </c>
      <c r="B43" s="1002"/>
      <c r="C43" s="174"/>
      <c r="D43" s="174"/>
      <c r="E43" s="174"/>
      <c r="F43" s="174"/>
      <c r="G43" s="174"/>
      <c r="H43" s="174"/>
      <c r="I43" s="174"/>
      <c r="J43" s="174"/>
      <c r="K43" s="174"/>
      <c r="L43" s="174"/>
      <c r="M43" s="174"/>
      <c r="N43" s="508"/>
    </row>
    <row r="44" spans="1:14" ht="17.149999999999999" customHeight="1">
      <c r="A44" s="175" t="s">
        <v>588</v>
      </c>
      <c r="B44" s="1003"/>
      <c r="C44" s="174"/>
      <c r="D44" s="174"/>
      <c r="E44" s="174"/>
      <c r="F44" s="174"/>
      <c r="G44" s="174"/>
      <c r="H44" s="174"/>
      <c r="I44" s="174"/>
      <c r="J44" s="174"/>
      <c r="K44" s="174"/>
      <c r="L44" s="174"/>
      <c r="M44" s="174"/>
      <c r="N44" s="508"/>
    </row>
    <row r="45" spans="1:14" ht="17.149999999999999" customHeight="1">
      <c r="A45" s="176" t="str">
        <f>A3</f>
        <v>Taxable Year 2022</v>
      </c>
      <c r="B45" s="1004"/>
      <c r="C45" s="174"/>
      <c r="D45" s="174"/>
      <c r="E45" s="174"/>
      <c r="F45" s="174"/>
      <c r="G45" s="174"/>
      <c r="H45" s="174"/>
      <c r="I45" s="174"/>
      <c r="J45" s="174"/>
      <c r="K45" s="174"/>
      <c r="L45" s="174"/>
      <c r="M45" s="174"/>
      <c r="N45" s="508"/>
    </row>
    <row r="46" spans="1:14" ht="2" customHeight="1">
      <c r="C46" s="179">
        <f t="shared" ref="C46:N46" si="1">SUM(C8:C37)</f>
        <v>163360169.05000001</v>
      </c>
      <c r="D46" s="179">
        <f t="shared" si="1"/>
        <v>445629959.44000006</v>
      </c>
      <c r="E46" s="179">
        <f t="shared" si="1"/>
        <v>733335980.85000014</v>
      </c>
      <c r="F46" s="179">
        <f t="shared" si="1"/>
        <v>944542666.59000003</v>
      </c>
      <c r="G46" s="179">
        <f t="shared" si="1"/>
        <v>1142432673.9100003</v>
      </c>
      <c r="H46" s="179">
        <f t="shared" si="1"/>
        <v>1407547362.1699998</v>
      </c>
      <c r="I46" s="179">
        <f t="shared" si="1"/>
        <v>3443395350.75</v>
      </c>
      <c r="J46" s="179">
        <f t="shared" si="1"/>
        <v>3798239548.3599997</v>
      </c>
      <c r="K46" s="179">
        <f t="shared" si="1"/>
        <v>10165603240.410002</v>
      </c>
      <c r="L46" s="179">
        <f t="shared" si="1"/>
        <v>10253700760.82</v>
      </c>
      <c r="M46" s="179">
        <f t="shared" si="1"/>
        <v>115321046990.67001</v>
      </c>
      <c r="N46" s="509">
        <f t="shared" si="1"/>
        <v>147818834703.02002</v>
      </c>
    </row>
    <row r="47" spans="1:14" s="171" customFormat="1" ht="2" customHeight="1">
      <c r="A47" s="176"/>
      <c r="B47" s="1004"/>
      <c r="C47" s="173"/>
      <c r="D47" s="177"/>
      <c r="E47" s="177"/>
      <c r="F47" s="177"/>
      <c r="G47" s="177"/>
      <c r="H47" s="177"/>
      <c r="I47" s="177"/>
      <c r="J47" s="177"/>
      <c r="K47" s="177"/>
      <c r="L47" s="177"/>
      <c r="M47" s="177"/>
      <c r="N47" s="995"/>
    </row>
    <row r="48" spans="1:14" s="171" customFormat="1" ht="2" customHeight="1" thickBot="1">
      <c r="A48" s="175"/>
      <c r="B48" s="1003"/>
      <c r="C48" s="173"/>
      <c r="D48" s="996"/>
      <c r="E48" s="996"/>
      <c r="F48" s="996"/>
      <c r="G48" s="996"/>
      <c r="H48" s="996"/>
      <c r="I48" s="996"/>
      <c r="J48" s="996"/>
      <c r="K48" s="996"/>
      <c r="L48" s="996"/>
      <c r="M48" s="996"/>
      <c r="N48" s="997"/>
    </row>
    <row r="49" spans="1:14" s="171" customFormat="1" ht="26">
      <c r="A49" s="999" t="s">
        <v>18</v>
      </c>
      <c r="B49" s="1001" t="s">
        <v>910</v>
      </c>
      <c r="C49" s="1000" t="s">
        <v>589</v>
      </c>
      <c r="D49" s="998" t="s">
        <v>1146</v>
      </c>
      <c r="E49" s="998" t="s">
        <v>1147</v>
      </c>
      <c r="F49" s="998" t="s">
        <v>1148</v>
      </c>
      <c r="G49" s="998" t="s">
        <v>1149</v>
      </c>
      <c r="H49" s="998" t="s">
        <v>1150</v>
      </c>
      <c r="I49" s="998" t="s">
        <v>1151</v>
      </c>
      <c r="J49" s="998" t="s">
        <v>1152</v>
      </c>
      <c r="K49" s="998" t="s">
        <v>1153</v>
      </c>
      <c r="L49" s="998" t="s">
        <v>1154</v>
      </c>
      <c r="M49" s="998" t="s">
        <v>1155</v>
      </c>
      <c r="N49" s="998" t="s">
        <v>1156</v>
      </c>
    </row>
    <row r="50" spans="1:14" s="171" customFormat="1" ht="34" customHeight="1">
      <c r="A50" s="171" t="s">
        <v>426</v>
      </c>
      <c r="B50" s="970" t="s">
        <v>1044</v>
      </c>
      <c r="C50" s="149">
        <v>1834879.4100000001</v>
      </c>
      <c r="D50" s="149">
        <v>6461140.6500000004</v>
      </c>
      <c r="E50" s="149">
        <v>12243392.109999999</v>
      </c>
      <c r="F50" s="149">
        <v>17343824.920000002</v>
      </c>
      <c r="G50" s="149">
        <v>21200325.190000001</v>
      </c>
      <c r="H50" s="149">
        <v>26927951.48</v>
      </c>
      <c r="I50" s="149">
        <v>66254962.380000003</v>
      </c>
      <c r="J50" s="149">
        <v>71458079.710000008</v>
      </c>
      <c r="K50" s="149">
        <v>181265668.16999999</v>
      </c>
      <c r="L50" s="149">
        <v>167333459.49000001</v>
      </c>
      <c r="M50" s="149">
        <v>687916247.58000004</v>
      </c>
      <c r="N50" s="234">
        <f t="shared" ref="N50:N84" si="2">SUM(C50:M50)</f>
        <v>1260239931.0900002</v>
      </c>
    </row>
    <row r="51" spans="1:14" s="171" customFormat="1" ht="17.149999999999999" customHeight="1">
      <c r="A51" s="171" t="s">
        <v>428</v>
      </c>
      <c r="B51" s="970" t="s">
        <v>1045</v>
      </c>
      <c r="C51" s="178">
        <v>1450913.46</v>
      </c>
      <c r="D51" s="178">
        <v>4148010.12</v>
      </c>
      <c r="E51" s="178">
        <v>6288578.6400000006</v>
      </c>
      <c r="F51" s="178">
        <v>8150358.3099999996</v>
      </c>
      <c r="G51" s="178">
        <v>11076504.710000001</v>
      </c>
      <c r="H51" s="178">
        <v>12475101.4</v>
      </c>
      <c r="I51" s="178">
        <v>31867839.369999997</v>
      </c>
      <c r="J51" s="178">
        <v>36426133.869999997</v>
      </c>
      <c r="K51" s="178">
        <v>103617689.77</v>
      </c>
      <c r="L51" s="178">
        <v>99118886.680000007</v>
      </c>
      <c r="M51" s="178">
        <v>1838274655.8599999</v>
      </c>
      <c r="N51" s="283">
        <f t="shared" si="2"/>
        <v>2152894672.1900001</v>
      </c>
    </row>
    <row r="52" spans="1:14" s="171" customFormat="1" ht="17.149999999999999" customHeight="1">
      <c r="A52" s="171" t="s">
        <v>430</v>
      </c>
      <c r="B52" s="970" t="s">
        <v>1046</v>
      </c>
      <c r="C52" s="178">
        <v>1085965.96</v>
      </c>
      <c r="D52" s="178">
        <v>3233441.89</v>
      </c>
      <c r="E52" s="178">
        <v>5792032.8400000008</v>
      </c>
      <c r="F52" s="178">
        <v>7939975.29</v>
      </c>
      <c r="G52" s="178">
        <v>9958885.6099999994</v>
      </c>
      <c r="H52" s="178">
        <v>13370938.050000001</v>
      </c>
      <c r="I52" s="178">
        <v>28149701.77</v>
      </c>
      <c r="J52" s="178">
        <v>27033127.969999999</v>
      </c>
      <c r="K52" s="178">
        <v>58575272.700000003</v>
      </c>
      <c r="L52" s="178">
        <v>45191145.719999999</v>
      </c>
      <c r="M52" s="178">
        <v>104139849.31999999</v>
      </c>
      <c r="N52" s="283">
        <f t="shared" si="2"/>
        <v>304470337.12</v>
      </c>
    </row>
    <row r="53" spans="1:14" s="171" customFormat="1" ht="17.149999999999999" customHeight="1">
      <c r="A53" s="171" t="s">
        <v>433</v>
      </c>
      <c r="B53" s="970" t="s">
        <v>1047</v>
      </c>
      <c r="C53" s="178">
        <v>1055477.42</v>
      </c>
      <c r="D53" s="178">
        <v>3552985.0100000002</v>
      </c>
      <c r="E53" s="178">
        <v>6125776.9299999997</v>
      </c>
      <c r="F53" s="178">
        <v>8696503.2300000004</v>
      </c>
      <c r="G53" s="178">
        <v>10530790.07</v>
      </c>
      <c r="H53" s="178">
        <v>13727330.119999999</v>
      </c>
      <c r="I53" s="178">
        <v>35289644.269999996</v>
      </c>
      <c r="J53" s="178">
        <v>41988987.560000002</v>
      </c>
      <c r="K53" s="178">
        <v>87870380.010000005</v>
      </c>
      <c r="L53" s="178">
        <v>83159593.670000002</v>
      </c>
      <c r="M53" s="178">
        <v>342652170.5</v>
      </c>
      <c r="N53" s="283">
        <f t="shared" si="2"/>
        <v>634649638.78999996</v>
      </c>
    </row>
    <row r="54" spans="1:14" s="171" customFormat="1" ht="17.149999999999999" customHeight="1">
      <c r="A54" s="171" t="s">
        <v>436</v>
      </c>
      <c r="B54" s="970" t="s">
        <v>1048</v>
      </c>
      <c r="C54" s="178">
        <v>747938.53</v>
      </c>
      <c r="D54" s="178">
        <v>2854658.5</v>
      </c>
      <c r="E54" s="178">
        <v>5108800.88</v>
      </c>
      <c r="F54" s="178">
        <v>6501121.75</v>
      </c>
      <c r="G54" s="178">
        <v>8678955.7699999996</v>
      </c>
      <c r="H54" s="178">
        <v>9575668.1500000004</v>
      </c>
      <c r="I54" s="178">
        <v>19617883.25</v>
      </c>
      <c r="J54" s="178">
        <v>21885093.109999999</v>
      </c>
      <c r="K54" s="178">
        <v>43627694.57</v>
      </c>
      <c r="L54" s="178">
        <v>27800304.640000001</v>
      </c>
      <c r="M54" s="178">
        <v>84147252.329999998</v>
      </c>
      <c r="N54" s="283">
        <f t="shared" si="2"/>
        <v>230545371.47999996</v>
      </c>
    </row>
    <row r="55" spans="1:14" s="171" customFormat="1" ht="34" customHeight="1">
      <c r="A55" s="171" t="s">
        <v>312</v>
      </c>
      <c r="B55" s="970" t="s">
        <v>1049</v>
      </c>
      <c r="C55" s="178">
        <v>2223345.2599999998</v>
      </c>
      <c r="D55" s="145">
        <v>7507399.7299999995</v>
      </c>
      <c r="E55" s="178">
        <v>13734032.83</v>
      </c>
      <c r="F55" s="178">
        <v>18947218.359999999</v>
      </c>
      <c r="G55" s="178">
        <v>22938188.539999999</v>
      </c>
      <c r="H55" s="178">
        <v>27628543.690000001</v>
      </c>
      <c r="I55" s="178">
        <v>62804401.579999998</v>
      </c>
      <c r="J55" s="178">
        <v>70341229.539999992</v>
      </c>
      <c r="K55" s="145">
        <v>131457361.01000001</v>
      </c>
      <c r="L55" s="178">
        <v>97062358.569999993</v>
      </c>
      <c r="M55" s="178">
        <v>343749510.02999997</v>
      </c>
      <c r="N55" s="283">
        <f t="shared" si="2"/>
        <v>798393589.13999999</v>
      </c>
    </row>
    <row r="56" spans="1:14" s="171" customFormat="1" ht="17.149999999999999" customHeight="1">
      <c r="A56" s="171" t="s">
        <v>316</v>
      </c>
      <c r="B56" s="970" t="s">
        <v>1050</v>
      </c>
      <c r="C56" s="178">
        <v>6732229.8399999999</v>
      </c>
      <c r="D56" s="178">
        <v>19845617.899999999</v>
      </c>
      <c r="E56" s="178">
        <v>29989894.390000001</v>
      </c>
      <c r="F56" s="178">
        <v>39504904.420000002</v>
      </c>
      <c r="G56" s="178">
        <v>45604451.890000001</v>
      </c>
      <c r="H56" s="178">
        <v>59980316.030000001</v>
      </c>
      <c r="I56" s="178">
        <v>160320209.16</v>
      </c>
      <c r="J56" s="178">
        <v>179429733.48000002</v>
      </c>
      <c r="K56" s="145">
        <v>476846730.10000002</v>
      </c>
      <c r="L56" s="178">
        <v>456949990.54000002</v>
      </c>
      <c r="M56" s="178">
        <v>3984280612.5300002</v>
      </c>
      <c r="N56" s="283">
        <f t="shared" si="2"/>
        <v>5459484690.2800007</v>
      </c>
    </row>
    <row r="57" spans="1:14" s="171" customFormat="1" ht="17.149999999999999" customHeight="1">
      <c r="A57" s="171" t="s">
        <v>320</v>
      </c>
      <c r="B57" s="970" t="s">
        <v>1051</v>
      </c>
      <c r="C57" s="178">
        <v>19335030.18</v>
      </c>
      <c r="D57" s="178">
        <v>61250231.699999996</v>
      </c>
      <c r="E57" s="178">
        <v>109295304.8</v>
      </c>
      <c r="F57" s="178">
        <v>143518054.53999999</v>
      </c>
      <c r="G57" s="178">
        <v>176826850.30000001</v>
      </c>
      <c r="H57" s="178">
        <v>217364227.13</v>
      </c>
      <c r="I57" s="178">
        <v>578123137.0999999</v>
      </c>
      <c r="J57" s="178">
        <v>627383343.3499999</v>
      </c>
      <c r="K57" s="145">
        <v>1512669241.45</v>
      </c>
      <c r="L57" s="178">
        <v>1233219914.95</v>
      </c>
      <c r="M57" s="178">
        <v>10012997428.08</v>
      </c>
      <c r="N57" s="283">
        <f t="shared" si="2"/>
        <v>14691982763.58</v>
      </c>
    </row>
    <row r="58" spans="1:14" s="171" customFormat="1" ht="17.149999999999999" customHeight="1">
      <c r="A58" s="171" t="s">
        <v>324</v>
      </c>
      <c r="B58" s="970" t="s">
        <v>1052</v>
      </c>
      <c r="C58" s="178">
        <v>3353187.4899999998</v>
      </c>
      <c r="D58" s="178">
        <v>10608785.280000001</v>
      </c>
      <c r="E58" s="178">
        <v>20122766.259999998</v>
      </c>
      <c r="F58" s="178">
        <v>28334682.129999999</v>
      </c>
      <c r="G58" s="178">
        <v>36232461.659999996</v>
      </c>
      <c r="H58" s="178">
        <v>44089021.82</v>
      </c>
      <c r="I58" s="178">
        <v>112162126.25999999</v>
      </c>
      <c r="J58" s="178">
        <v>102798037.00999999</v>
      </c>
      <c r="K58" s="145">
        <v>191849898.53</v>
      </c>
      <c r="L58" s="178">
        <v>144103144.16</v>
      </c>
      <c r="M58" s="178">
        <v>378867708.54000002</v>
      </c>
      <c r="N58" s="283">
        <f t="shared" si="2"/>
        <v>1072521819.1399999</v>
      </c>
    </row>
    <row r="59" spans="1:14" s="171" customFormat="1" ht="17.149999999999999" customHeight="1">
      <c r="A59" s="171" t="s">
        <v>328</v>
      </c>
      <c r="B59" s="970" t="s">
        <v>1053</v>
      </c>
      <c r="C59" s="178">
        <v>163058.21</v>
      </c>
      <c r="D59" s="178">
        <v>517384.41999999993</v>
      </c>
      <c r="E59" s="178">
        <v>962042.53</v>
      </c>
      <c r="F59" s="178">
        <v>1075183.2</v>
      </c>
      <c r="G59" s="178">
        <v>1319291.7</v>
      </c>
      <c r="H59" s="178">
        <v>2132978.1</v>
      </c>
      <c r="I59" s="178">
        <v>4347142.5299999993</v>
      </c>
      <c r="J59" s="178">
        <v>4139481.9699999997</v>
      </c>
      <c r="K59" s="178">
        <v>10198451.699999999</v>
      </c>
      <c r="L59" s="178">
        <v>7337675.9699999997</v>
      </c>
      <c r="M59" s="178">
        <v>25825165</v>
      </c>
      <c r="N59" s="283">
        <f t="shared" si="2"/>
        <v>58017855.329999998</v>
      </c>
    </row>
    <row r="60" spans="1:14" s="171" customFormat="1" ht="34" customHeight="1">
      <c r="A60" s="171" t="s">
        <v>332</v>
      </c>
      <c r="B60" s="970" t="s">
        <v>1054</v>
      </c>
      <c r="C60" s="178">
        <v>2022703.29</v>
      </c>
      <c r="D60" s="178">
        <v>6436403.2199999997</v>
      </c>
      <c r="E60" s="178">
        <v>11344246.460000001</v>
      </c>
      <c r="F60" s="178">
        <v>15387759.109999999</v>
      </c>
      <c r="G60" s="178">
        <v>18596083.530000001</v>
      </c>
      <c r="H60" s="178">
        <v>23905522.670000002</v>
      </c>
      <c r="I60" s="178">
        <v>57307940.840000004</v>
      </c>
      <c r="J60" s="178">
        <v>62885521.219999999</v>
      </c>
      <c r="K60" s="178">
        <v>169081297.62</v>
      </c>
      <c r="L60" s="178">
        <v>158175220.49000001</v>
      </c>
      <c r="M60" s="178">
        <v>957137303.46000004</v>
      </c>
      <c r="N60" s="283">
        <f t="shared" si="2"/>
        <v>1482280001.9100001</v>
      </c>
    </row>
    <row r="61" spans="1:14" s="171" customFormat="1" ht="17.149999999999999" customHeight="1">
      <c r="A61" s="171" t="s">
        <v>336</v>
      </c>
      <c r="B61" s="970" t="s">
        <v>1055</v>
      </c>
      <c r="C61" s="178">
        <v>4802220.93</v>
      </c>
      <c r="D61" s="178">
        <v>13863575.130000001</v>
      </c>
      <c r="E61" s="178">
        <v>22960151.23</v>
      </c>
      <c r="F61" s="178">
        <v>30123414.620000001</v>
      </c>
      <c r="G61" s="178">
        <v>37074072.299999997</v>
      </c>
      <c r="H61" s="178">
        <v>43719629.07</v>
      </c>
      <c r="I61" s="178">
        <v>111493274.48999999</v>
      </c>
      <c r="J61" s="178">
        <v>120296284.37</v>
      </c>
      <c r="K61" s="178">
        <v>315455039.75</v>
      </c>
      <c r="L61" s="178">
        <v>325021977.5</v>
      </c>
      <c r="M61" s="178">
        <v>2915012194.4699998</v>
      </c>
      <c r="N61" s="283">
        <f t="shared" si="2"/>
        <v>3939821833.8599997</v>
      </c>
    </row>
    <row r="62" spans="1:14" s="171" customFormat="1" ht="17.149999999999999" customHeight="1">
      <c r="A62" s="171" t="s">
        <v>340</v>
      </c>
      <c r="B62" s="970" t="s">
        <v>1056</v>
      </c>
      <c r="C62" s="178">
        <v>397932.20999999996</v>
      </c>
      <c r="D62" s="178">
        <v>1367411.78</v>
      </c>
      <c r="E62" s="178">
        <v>2309447.08</v>
      </c>
      <c r="F62" s="178">
        <v>3453473.11</v>
      </c>
      <c r="G62" s="178">
        <v>4379265.18</v>
      </c>
      <c r="H62" s="178">
        <v>5834544.0499999998</v>
      </c>
      <c r="I62" s="178">
        <v>14283579.859999999</v>
      </c>
      <c r="J62" s="178">
        <v>14509598.59</v>
      </c>
      <c r="K62" s="178">
        <v>34063842.039999999</v>
      </c>
      <c r="L62" s="178">
        <v>25586585.350000001</v>
      </c>
      <c r="M62" s="178">
        <v>101343750.02</v>
      </c>
      <c r="N62" s="283">
        <f t="shared" si="2"/>
        <v>207529429.26999998</v>
      </c>
    </row>
    <row r="63" spans="1:14" s="171" customFormat="1" ht="17.149999999999999" customHeight="1">
      <c r="A63" s="171" t="s">
        <v>344</v>
      </c>
      <c r="B63" s="970" t="s">
        <v>1057</v>
      </c>
      <c r="C63" s="178">
        <v>1492643.94</v>
      </c>
      <c r="D63" s="178">
        <v>4593383.34</v>
      </c>
      <c r="E63" s="178">
        <v>7497696.5299999993</v>
      </c>
      <c r="F63" s="178">
        <v>10017138.560000001</v>
      </c>
      <c r="G63" s="178">
        <v>12084075.800000001</v>
      </c>
      <c r="H63" s="178">
        <v>13919318.85</v>
      </c>
      <c r="I63" s="178">
        <v>36243716.159999996</v>
      </c>
      <c r="J63" s="178">
        <v>37975329.890000001</v>
      </c>
      <c r="K63" s="178">
        <v>102206356.94</v>
      </c>
      <c r="L63" s="178">
        <v>111758061.88</v>
      </c>
      <c r="M63" s="178">
        <v>763921670.12</v>
      </c>
      <c r="N63" s="283">
        <f t="shared" si="2"/>
        <v>1101709392.01</v>
      </c>
    </row>
    <row r="64" spans="1:14" s="171" customFormat="1" ht="17.149999999999999" customHeight="1">
      <c r="A64" s="171" t="s">
        <v>348</v>
      </c>
      <c r="B64" s="970" t="s">
        <v>1058</v>
      </c>
      <c r="C64" s="178">
        <v>881169.28</v>
      </c>
      <c r="D64" s="178">
        <v>3127530.2800000003</v>
      </c>
      <c r="E64" s="178">
        <v>5330746.63</v>
      </c>
      <c r="F64" s="178">
        <v>7091965.6799999997</v>
      </c>
      <c r="G64" s="178">
        <v>9433127.6699999999</v>
      </c>
      <c r="H64" s="178">
        <v>11560622.550000001</v>
      </c>
      <c r="I64" s="178">
        <v>33008839.770000003</v>
      </c>
      <c r="J64" s="178">
        <v>35826683.130000003</v>
      </c>
      <c r="K64" s="178">
        <v>96616811.5</v>
      </c>
      <c r="L64" s="178">
        <v>87612519.890000001</v>
      </c>
      <c r="M64" s="178">
        <v>320733687.10000002</v>
      </c>
      <c r="N64" s="283">
        <f t="shared" si="2"/>
        <v>611223703.48000002</v>
      </c>
    </row>
    <row r="65" spans="1:14" s="171" customFormat="1" ht="34" customHeight="1">
      <c r="A65" s="171" t="s">
        <v>352</v>
      </c>
      <c r="B65" s="970" t="s">
        <v>1059</v>
      </c>
      <c r="C65" s="178">
        <v>639709.77</v>
      </c>
      <c r="D65" s="145">
        <v>2353043.5599999996</v>
      </c>
      <c r="E65" s="178">
        <v>4185542.7</v>
      </c>
      <c r="F65" s="145">
        <v>5341826.3099999996</v>
      </c>
      <c r="G65" s="178">
        <v>6966662.2400000002</v>
      </c>
      <c r="H65" s="145">
        <v>9037450.4800000004</v>
      </c>
      <c r="I65" s="178">
        <v>22604959.030000001</v>
      </c>
      <c r="J65" s="145">
        <v>19254360.899999999</v>
      </c>
      <c r="K65" s="178">
        <v>45332568.920000002</v>
      </c>
      <c r="L65" s="178">
        <v>39157533.619999997</v>
      </c>
      <c r="M65" s="178">
        <v>328023746.72000003</v>
      </c>
      <c r="N65" s="283">
        <f t="shared" si="2"/>
        <v>482897404.25</v>
      </c>
    </row>
    <row r="66" spans="1:14" s="171" customFormat="1" ht="17.149999999999999" customHeight="1">
      <c r="A66" s="171" t="s">
        <v>356</v>
      </c>
      <c r="B66" s="970" t="s">
        <v>1060</v>
      </c>
      <c r="C66" s="178">
        <v>1264983.96</v>
      </c>
      <c r="D66" s="178">
        <v>4185037.58</v>
      </c>
      <c r="E66" s="178">
        <v>7295307.96</v>
      </c>
      <c r="F66" s="178">
        <v>9902598.7300000004</v>
      </c>
      <c r="G66" s="178">
        <v>11969074.91</v>
      </c>
      <c r="H66" s="178">
        <v>15877345.16</v>
      </c>
      <c r="I66" s="178">
        <v>35466568.68</v>
      </c>
      <c r="J66" s="178">
        <v>28769187.390000001</v>
      </c>
      <c r="K66" s="178">
        <v>67673845.829999998</v>
      </c>
      <c r="L66" s="178">
        <v>50986281.299999997</v>
      </c>
      <c r="M66" s="178">
        <v>106320570.94</v>
      </c>
      <c r="N66" s="283">
        <f t="shared" si="2"/>
        <v>339710802.44</v>
      </c>
    </row>
    <row r="67" spans="1:14" s="171" customFormat="1" ht="17.149999999999999" customHeight="1">
      <c r="A67" s="171" t="s">
        <v>360</v>
      </c>
      <c r="B67" s="970" t="s">
        <v>1061</v>
      </c>
      <c r="C67" s="178">
        <v>27879022.219999999</v>
      </c>
      <c r="D67" s="178">
        <v>70810892.950000003</v>
      </c>
      <c r="E67" s="178">
        <v>99587456.299999997</v>
      </c>
      <c r="F67" s="178">
        <v>113823016.72</v>
      </c>
      <c r="G67" s="178">
        <v>136742591.75</v>
      </c>
      <c r="H67" s="178">
        <v>160149877.71000001</v>
      </c>
      <c r="I67" s="178">
        <v>398918793.44999999</v>
      </c>
      <c r="J67" s="178">
        <v>457185067.31</v>
      </c>
      <c r="K67" s="178">
        <v>1307237271.47</v>
      </c>
      <c r="L67" s="178">
        <v>1443780238.1199999</v>
      </c>
      <c r="M67" s="178">
        <v>25446082651.389999</v>
      </c>
      <c r="N67" s="283">
        <f t="shared" si="2"/>
        <v>29662196879.389999</v>
      </c>
    </row>
    <row r="68" spans="1:14" s="171" customFormat="1" ht="17.149999999999999" customHeight="1">
      <c r="A68" s="171" t="s">
        <v>364</v>
      </c>
      <c r="B68" s="970" t="s">
        <v>1062</v>
      </c>
      <c r="C68" s="178">
        <v>1798104.17</v>
      </c>
      <c r="D68" s="178">
        <v>6859522.2600000007</v>
      </c>
      <c r="E68" s="178">
        <v>11521639.249999998</v>
      </c>
      <c r="F68" s="178">
        <v>16202810.84</v>
      </c>
      <c r="G68" s="178">
        <v>20104264.199999999</v>
      </c>
      <c r="H68" s="178">
        <v>27281130.82</v>
      </c>
      <c r="I68" s="178">
        <v>64060005.769999996</v>
      </c>
      <c r="J68" s="178">
        <v>76994091.419999987</v>
      </c>
      <c r="K68" s="178">
        <v>171966876.02000001</v>
      </c>
      <c r="L68" s="178">
        <v>159497782.55000001</v>
      </c>
      <c r="M68" s="178">
        <v>798266301.57000005</v>
      </c>
      <c r="N68" s="283">
        <f t="shared" si="2"/>
        <v>1354552528.8699999</v>
      </c>
    </row>
    <row r="69" spans="1:14" s="171" customFormat="1" ht="17.149999999999999" customHeight="1">
      <c r="A69" s="171" t="s">
        <v>368</v>
      </c>
      <c r="B69" s="970" t="s">
        <v>1063</v>
      </c>
      <c r="C69" s="178">
        <v>610724.12</v>
      </c>
      <c r="D69" s="178">
        <v>2028861.31</v>
      </c>
      <c r="E69" s="178">
        <v>4317584.42</v>
      </c>
      <c r="F69" s="178">
        <v>5944214.3799999999</v>
      </c>
      <c r="G69" s="178">
        <v>6217741.9400000004</v>
      </c>
      <c r="H69" s="178">
        <v>8248679.5700000003</v>
      </c>
      <c r="I69" s="178">
        <v>21056555.16</v>
      </c>
      <c r="J69" s="178">
        <v>20764227.509999998</v>
      </c>
      <c r="K69" s="178">
        <v>43063772.460000001</v>
      </c>
      <c r="L69" s="178">
        <v>30554316.210000001</v>
      </c>
      <c r="M69" s="178">
        <v>84763207.049999997</v>
      </c>
      <c r="N69" s="283">
        <f t="shared" si="2"/>
        <v>227569884.13</v>
      </c>
    </row>
    <row r="70" spans="1:14" s="171" customFormat="1" ht="34" customHeight="1">
      <c r="A70" s="171" t="s">
        <v>372</v>
      </c>
      <c r="B70" s="970" t="s">
        <v>1064</v>
      </c>
      <c r="C70" s="178">
        <v>891138.21</v>
      </c>
      <c r="D70" s="178">
        <v>2385772.75</v>
      </c>
      <c r="E70" s="178">
        <v>3980693.9699999997</v>
      </c>
      <c r="F70" s="178">
        <v>5654656.1699999999</v>
      </c>
      <c r="G70" s="178">
        <v>7182081.8799999999</v>
      </c>
      <c r="H70" s="178">
        <v>8897604.8100000005</v>
      </c>
      <c r="I70" s="178">
        <v>21901309.640000001</v>
      </c>
      <c r="J70" s="178">
        <v>24238670.719999999</v>
      </c>
      <c r="K70" s="178">
        <v>59362488.119999997</v>
      </c>
      <c r="L70" s="178">
        <v>52385733.859999999</v>
      </c>
      <c r="M70" s="178">
        <v>314375372.82999998</v>
      </c>
      <c r="N70" s="283">
        <f t="shared" si="2"/>
        <v>501255522.95999998</v>
      </c>
    </row>
    <row r="71" spans="1:14" s="171" customFormat="1" ht="17.149999999999999" customHeight="1">
      <c r="A71" s="171" t="s">
        <v>374</v>
      </c>
      <c r="B71" s="970" t="s">
        <v>1065</v>
      </c>
      <c r="C71" s="178">
        <v>489765.89999999997</v>
      </c>
      <c r="D71" s="178">
        <v>1708963.4700000002</v>
      </c>
      <c r="E71" s="178">
        <v>2957971.31</v>
      </c>
      <c r="F71" s="178">
        <v>3981191.68</v>
      </c>
      <c r="G71" s="178">
        <v>5492018.1500000004</v>
      </c>
      <c r="H71" s="178">
        <v>6449174.2599999998</v>
      </c>
      <c r="I71" s="178">
        <v>14343319.07</v>
      </c>
      <c r="J71" s="178">
        <v>16068937.68</v>
      </c>
      <c r="K71" s="178">
        <v>38958393.579999998</v>
      </c>
      <c r="L71" s="178">
        <v>36544317.630000003</v>
      </c>
      <c r="M71" s="178">
        <v>181871714.03999999</v>
      </c>
      <c r="N71" s="283">
        <f t="shared" si="2"/>
        <v>308865766.76999998</v>
      </c>
    </row>
    <row r="72" spans="1:14" s="171" customFormat="1" ht="17.149999999999999" customHeight="1">
      <c r="A72" s="171" t="s">
        <v>377</v>
      </c>
      <c r="B72" s="970" t="s">
        <v>1066</v>
      </c>
      <c r="C72" s="178">
        <v>2297826.29</v>
      </c>
      <c r="D72" s="178">
        <v>6874032.2999999998</v>
      </c>
      <c r="E72" s="178">
        <v>12340497.789999999</v>
      </c>
      <c r="F72" s="178">
        <v>17826085.219999999</v>
      </c>
      <c r="G72" s="178">
        <v>21519111.469999999</v>
      </c>
      <c r="H72" s="178">
        <v>27493031.039999999</v>
      </c>
      <c r="I72" s="178">
        <v>62026583.629999995</v>
      </c>
      <c r="J72" s="178">
        <v>59698322.170000002</v>
      </c>
      <c r="K72" s="178">
        <v>128534512.91</v>
      </c>
      <c r="L72" s="178">
        <v>91183115.859999999</v>
      </c>
      <c r="M72" s="178">
        <v>382306283.82999998</v>
      </c>
      <c r="N72" s="283">
        <f t="shared" si="2"/>
        <v>812099402.50999999</v>
      </c>
    </row>
    <row r="73" spans="1:14" s="171" customFormat="1" ht="17.149999999999999" customHeight="1">
      <c r="A73" s="171" t="s">
        <v>380</v>
      </c>
      <c r="B73" s="970" t="s">
        <v>1067</v>
      </c>
      <c r="C73" s="178">
        <v>584425.88</v>
      </c>
      <c r="D73" s="178">
        <v>2135032.3400000003</v>
      </c>
      <c r="E73" s="178">
        <v>3743826.74</v>
      </c>
      <c r="F73" s="178">
        <v>5177154.21</v>
      </c>
      <c r="G73" s="178">
        <v>6815294.0700000003</v>
      </c>
      <c r="H73" s="178">
        <v>8188598.8099999996</v>
      </c>
      <c r="I73" s="178">
        <v>18384821.969999999</v>
      </c>
      <c r="J73" s="178">
        <v>21200567.700000003</v>
      </c>
      <c r="K73" s="178">
        <v>44360247.969999999</v>
      </c>
      <c r="L73" s="178">
        <v>40747747.57</v>
      </c>
      <c r="M73" s="178">
        <v>224154370.47999999</v>
      </c>
      <c r="N73" s="283">
        <f t="shared" si="2"/>
        <v>375492087.74000001</v>
      </c>
    </row>
    <row r="74" spans="1:14" s="171" customFormat="1" ht="17.149999999999999" customHeight="1">
      <c r="A74" s="171" t="s">
        <v>383</v>
      </c>
      <c r="B74" s="970" t="s">
        <v>1068</v>
      </c>
      <c r="C74" s="178">
        <v>6283128.9499999993</v>
      </c>
      <c r="D74" s="178">
        <v>18347476.73</v>
      </c>
      <c r="E74" s="178">
        <v>29844930.359999999</v>
      </c>
      <c r="F74" s="178">
        <v>36419428.609999999</v>
      </c>
      <c r="G74" s="178">
        <v>46269696.729999997</v>
      </c>
      <c r="H74" s="178">
        <v>70022955.900000006</v>
      </c>
      <c r="I74" s="178">
        <v>136102703.55000001</v>
      </c>
      <c r="J74" s="178">
        <v>138968449.09999999</v>
      </c>
      <c r="K74" s="178">
        <v>307617123.67000002</v>
      </c>
      <c r="L74" s="178">
        <v>274424862</v>
      </c>
      <c r="M74" s="178">
        <v>1953654427.05</v>
      </c>
      <c r="N74" s="283">
        <f t="shared" si="2"/>
        <v>3017955182.6500001</v>
      </c>
    </row>
    <row r="75" spans="1:14" s="171" customFormat="1" ht="34" customHeight="1">
      <c r="A75" s="171" t="s">
        <v>385</v>
      </c>
      <c r="B75" s="970" t="s">
        <v>1069</v>
      </c>
      <c r="C75" s="178">
        <v>947201.49</v>
      </c>
      <c r="D75" s="178">
        <v>3084283.3200000003</v>
      </c>
      <c r="E75" s="178">
        <v>5279223.95</v>
      </c>
      <c r="F75" s="178">
        <v>7117941.4000000004</v>
      </c>
      <c r="G75" s="178">
        <v>8638365.6500000004</v>
      </c>
      <c r="H75" s="178">
        <v>11687625.49</v>
      </c>
      <c r="I75" s="178">
        <v>28502674.550000001</v>
      </c>
      <c r="J75" s="178">
        <v>30517191.630000003</v>
      </c>
      <c r="K75" s="178">
        <v>66848447.75</v>
      </c>
      <c r="L75" s="178">
        <v>53410329.460000001</v>
      </c>
      <c r="M75" s="178">
        <v>301715794.58999997</v>
      </c>
      <c r="N75" s="283">
        <f t="shared" si="2"/>
        <v>517749079.27999997</v>
      </c>
    </row>
    <row r="76" spans="1:14" s="171" customFormat="1" ht="17.149999999999999" customHeight="1">
      <c r="A76" s="171" t="s">
        <v>388</v>
      </c>
      <c r="B76" s="970" t="s">
        <v>1070</v>
      </c>
      <c r="C76" s="178">
        <v>1325052.96</v>
      </c>
      <c r="D76" s="178">
        <v>3731176.76</v>
      </c>
      <c r="E76" s="178">
        <v>6237491.9100000001</v>
      </c>
      <c r="F76" s="178">
        <v>8406010.1799999997</v>
      </c>
      <c r="G76" s="178">
        <v>11379805.220000001</v>
      </c>
      <c r="H76" s="178">
        <v>14216179.92</v>
      </c>
      <c r="I76" s="178">
        <v>37850233.079999998</v>
      </c>
      <c r="J76" s="178">
        <v>40965154.030000001</v>
      </c>
      <c r="K76" s="178">
        <v>113832629.12</v>
      </c>
      <c r="L76" s="178">
        <v>115998383.3</v>
      </c>
      <c r="M76" s="178">
        <v>750458924.53999996</v>
      </c>
      <c r="N76" s="283">
        <f t="shared" si="2"/>
        <v>1104401041.02</v>
      </c>
    </row>
    <row r="77" spans="1:14" s="171" customFormat="1" ht="17.149999999999999" customHeight="1">
      <c r="A77" s="171" t="s">
        <v>390</v>
      </c>
      <c r="B77" s="970" t="s">
        <v>1071</v>
      </c>
      <c r="C77" s="178">
        <v>1042165.62</v>
      </c>
      <c r="D77" s="178">
        <v>2752758.35</v>
      </c>
      <c r="E77" s="178">
        <v>5273376.58</v>
      </c>
      <c r="F77" s="178">
        <v>7213719.5800000001</v>
      </c>
      <c r="G77" s="178">
        <v>8577408.3000000007</v>
      </c>
      <c r="H77" s="178">
        <v>9940939.7699999996</v>
      </c>
      <c r="I77" s="178">
        <v>25271026.48</v>
      </c>
      <c r="J77" s="178">
        <v>23686485.059999999</v>
      </c>
      <c r="K77" s="178">
        <v>41091686.240000002</v>
      </c>
      <c r="L77" s="178">
        <v>31628827.210000001</v>
      </c>
      <c r="M77" s="178">
        <v>236839451.81999999</v>
      </c>
      <c r="N77" s="283">
        <f t="shared" si="2"/>
        <v>393317845.00999999</v>
      </c>
    </row>
    <row r="78" spans="1:14" s="171" customFormat="1" ht="17.149999999999999" customHeight="1">
      <c r="A78" s="171" t="s">
        <v>393</v>
      </c>
      <c r="B78" s="970" t="s">
        <v>1072</v>
      </c>
      <c r="C78" s="178">
        <v>735433.76</v>
      </c>
      <c r="D78" s="178">
        <v>2354014.9300000002</v>
      </c>
      <c r="E78" s="178">
        <v>4414056.03</v>
      </c>
      <c r="F78" s="178">
        <v>5791577.2199999997</v>
      </c>
      <c r="G78" s="178">
        <v>7904915.5700000003</v>
      </c>
      <c r="H78" s="178">
        <v>8529378.3800000008</v>
      </c>
      <c r="I78" s="178">
        <v>23543014.43</v>
      </c>
      <c r="J78" s="178">
        <v>23265592.369999997</v>
      </c>
      <c r="K78" s="178">
        <v>55351981.049999997</v>
      </c>
      <c r="L78" s="178">
        <v>44949510.399999999</v>
      </c>
      <c r="M78" s="178">
        <v>308558267.20999998</v>
      </c>
      <c r="N78" s="283">
        <f t="shared" si="2"/>
        <v>485397741.34999996</v>
      </c>
    </row>
    <row r="79" spans="1:14" s="171" customFormat="1" ht="17.149999999999999" customHeight="1">
      <c r="A79" s="171" t="s">
        <v>396</v>
      </c>
      <c r="B79" s="970" t="s">
        <v>1073</v>
      </c>
      <c r="C79" s="178">
        <v>712186.84000000008</v>
      </c>
      <c r="D79" s="178">
        <v>2663762.65</v>
      </c>
      <c r="E79" s="178">
        <v>5049756.49</v>
      </c>
      <c r="F79" s="178">
        <v>8061310.21</v>
      </c>
      <c r="G79" s="178">
        <v>8915778.0800000001</v>
      </c>
      <c r="H79" s="178">
        <v>10685776.73</v>
      </c>
      <c r="I79" s="178">
        <v>26130525.719999999</v>
      </c>
      <c r="J79" s="178">
        <v>26993504.530000001</v>
      </c>
      <c r="K79" s="178">
        <v>50008665.57</v>
      </c>
      <c r="L79" s="178">
        <v>39294179.609999999</v>
      </c>
      <c r="M79" s="178">
        <v>117424749.38</v>
      </c>
      <c r="N79" s="283">
        <f t="shared" si="2"/>
        <v>295940195.81</v>
      </c>
    </row>
    <row r="80" spans="1:14" s="171" customFormat="1" ht="34" customHeight="1">
      <c r="A80" s="171" t="s">
        <v>399</v>
      </c>
      <c r="B80" s="970" t="s">
        <v>1074</v>
      </c>
      <c r="C80" s="178">
        <v>1936895.65</v>
      </c>
      <c r="D80" s="178">
        <v>6373805.75</v>
      </c>
      <c r="E80" s="178">
        <v>11651903.51</v>
      </c>
      <c r="F80" s="178">
        <v>16583956.99</v>
      </c>
      <c r="G80" s="178">
        <v>20478210.449999999</v>
      </c>
      <c r="H80" s="178">
        <v>26807403.629999999</v>
      </c>
      <c r="I80" s="178">
        <v>68634830.090000004</v>
      </c>
      <c r="J80" s="178">
        <v>75786662.460000008</v>
      </c>
      <c r="K80" s="178">
        <v>181298046.69</v>
      </c>
      <c r="L80" s="178">
        <v>167316648.72999999</v>
      </c>
      <c r="M80" s="178">
        <v>760738283.49000001</v>
      </c>
      <c r="N80" s="283">
        <f t="shared" si="2"/>
        <v>1337606647.4400001</v>
      </c>
    </row>
    <row r="81" spans="1:14" s="171" customFormat="1" ht="17.149999999999999" customHeight="1">
      <c r="A81" s="171" t="s">
        <v>402</v>
      </c>
      <c r="B81" s="970" t="s">
        <v>1075</v>
      </c>
      <c r="C81" s="178">
        <v>1459866.6800000002</v>
      </c>
      <c r="D81" s="178">
        <v>5208503.66</v>
      </c>
      <c r="E81" s="178">
        <v>8014368.2699999996</v>
      </c>
      <c r="F81" s="178">
        <v>11923973.869999999</v>
      </c>
      <c r="G81" s="178">
        <v>13797694.439999999</v>
      </c>
      <c r="H81" s="178">
        <v>18012602.07</v>
      </c>
      <c r="I81" s="178">
        <v>45692019.620000005</v>
      </c>
      <c r="J81" s="178">
        <v>48366140.269999996</v>
      </c>
      <c r="K81" s="178">
        <v>98101070.079999998</v>
      </c>
      <c r="L81" s="178">
        <v>85418685.379999995</v>
      </c>
      <c r="M81" s="178">
        <v>252361778.13</v>
      </c>
      <c r="N81" s="283">
        <f t="shared" si="2"/>
        <v>588356702.47000003</v>
      </c>
    </row>
    <row r="82" spans="1:14" s="171" customFormat="1" ht="17.149999999999999" customHeight="1">
      <c r="A82" s="171" t="s">
        <v>405</v>
      </c>
      <c r="B82" s="970" t="s">
        <v>1076</v>
      </c>
      <c r="C82" s="178">
        <v>1189917.43</v>
      </c>
      <c r="D82" s="178">
        <v>3277722.4099999997</v>
      </c>
      <c r="E82" s="178">
        <v>5084459.4300000006</v>
      </c>
      <c r="F82" s="178">
        <v>8269527.3399999999</v>
      </c>
      <c r="G82" s="178">
        <v>11608129.550000001</v>
      </c>
      <c r="H82" s="178">
        <v>15024686.15</v>
      </c>
      <c r="I82" s="178">
        <v>33875453.950000003</v>
      </c>
      <c r="J82" s="178">
        <v>30539246.549999997</v>
      </c>
      <c r="K82" s="178">
        <v>62881312.689999998</v>
      </c>
      <c r="L82" s="178">
        <v>47699752.719999999</v>
      </c>
      <c r="M82" s="178">
        <v>151036011.66999999</v>
      </c>
      <c r="N82" s="283">
        <f t="shared" si="2"/>
        <v>370486219.88999999</v>
      </c>
    </row>
    <row r="83" spans="1:14" s="171" customFormat="1" ht="17.149999999999999" customHeight="1">
      <c r="A83" s="171" t="s">
        <v>408</v>
      </c>
      <c r="B83" s="970" t="s">
        <v>1077</v>
      </c>
      <c r="C83" s="178">
        <v>3203252.08</v>
      </c>
      <c r="D83" s="178">
        <v>11554503.640000001</v>
      </c>
      <c r="E83" s="178">
        <v>22496737.439999998</v>
      </c>
      <c r="F83" s="178">
        <v>31598335.050000001</v>
      </c>
      <c r="G83" s="178">
        <v>40731453.390000001</v>
      </c>
      <c r="H83" s="178">
        <v>46866690.399999999</v>
      </c>
      <c r="I83" s="178">
        <v>115972797</v>
      </c>
      <c r="J83" s="178">
        <v>122195611.88</v>
      </c>
      <c r="K83" s="178">
        <v>249220817.13999999</v>
      </c>
      <c r="L83" s="178">
        <v>197009084.24000001</v>
      </c>
      <c r="M83" s="178">
        <v>662331500.14999998</v>
      </c>
      <c r="N83" s="283">
        <f t="shared" si="2"/>
        <v>1503180782.4099998</v>
      </c>
    </row>
    <row r="84" spans="1:14" s="171" customFormat="1" ht="17.149999999999999" customHeight="1">
      <c r="A84" s="171" t="s">
        <v>411</v>
      </c>
      <c r="B84" s="970" t="s">
        <v>1078</v>
      </c>
      <c r="C84" s="178">
        <v>1583056.33</v>
      </c>
      <c r="D84" s="178">
        <v>5277621.6500000004</v>
      </c>
      <c r="E84" s="178">
        <v>7833536.3300000001</v>
      </c>
      <c r="F84" s="178">
        <v>10582089.529999999</v>
      </c>
      <c r="G84" s="178">
        <v>13036098.83</v>
      </c>
      <c r="H84" s="178">
        <v>18124200.699999999</v>
      </c>
      <c r="I84" s="178">
        <v>44139243.420000002</v>
      </c>
      <c r="J84" s="178">
        <v>46589247.07</v>
      </c>
      <c r="K84" s="178">
        <v>123295695.92</v>
      </c>
      <c r="L84" s="178">
        <v>123731595.23999999</v>
      </c>
      <c r="M84" s="178">
        <v>1132069660.52</v>
      </c>
      <c r="N84" s="283">
        <f t="shared" si="2"/>
        <v>1526262045.54</v>
      </c>
    </row>
    <row r="85" spans="1:14" ht="18" customHeight="1">
      <c r="A85" s="172" t="s">
        <v>590</v>
      </c>
      <c r="B85" s="1002"/>
      <c r="C85" s="174"/>
      <c r="D85" s="174"/>
      <c r="E85" s="174"/>
      <c r="F85" s="174"/>
      <c r="G85" s="174"/>
      <c r="H85" s="174"/>
      <c r="I85" s="174"/>
      <c r="J85" s="174"/>
      <c r="K85" s="174"/>
      <c r="L85" s="174"/>
      <c r="M85" s="174"/>
      <c r="N85" s="508"/>
    </row>
    <row r="86" spans="1:14" ht="17.149999999999999" customHeight="1">
      <c r="A86" s="175" t="s">
        <v>588</v>
      </c>
      <c r="B86" s="1003"/>
      <c r="C86" s="174"/>
      <c r="D86" s="174"/>
      <c r="E86" s="174"/>
      <c r="F86" s="174"/>
      <c r="G86" s="174"/>
      <c r="H86" s="174"/>
      <c r="I86" s="174"/>
      <c r="J86" s="174"/>
      <c r="K86" s="174"/>
      <c r="L86" s="174"/>
      <c r="M86" s="174"/>
      <c r="N86" s="508"/>
    </row>
    <row r="87" spans="1:14" ht="17.149999999999999" customHeight="1">
      <c r="A87" s="176" t="str">
        <f>A3</f>
        <v>Taxable Year 2022</v>
      </c>
      <c r="B87" s="1004"/>
      <c r="C87" s="174"/>
      <c r="D87" s="174"/>
      <c r="E87" s="174"/>
      <c r="F87" s="174"/>
      <c r="G87" s="174"/>
      <c r="H87" s="174"/>
      <c r="I87" s="174"/>
      <c r="J87" s="174"/>
      <c r="K87" s="174"/>
      <c r="L87" s="174"/>
      <c r="M87" s="174"/>
      <c r="N87" s="508"/>
    </row>
    <row r="88" spans="1:14" ht="2" customHeight="1">
      <c r="C88" s="179">
        <f t="shared" ref="C88:N88" si="3">SUM(C38:C74)</f>
        <v>266188759.90000004</v>
      </c>
      <c r="D88" s="179">
        <f t="shared" si="3"/>
        <v>751660268.14999998</v>
      </c>
      <c r="E88" s="179">
        <f t="shared" si="3"/>
        <v>1239445951.7900002</v>
      </c>
      <c r="F88" s="179">
        <f t="shared" si="3"/>
        <v>1602048692.2399998</v>
      </c>
      <c r="G88" s="179">
        <f t="shared" si="3"/>
        <v>1947314236.0100007</v>
      </c>
      <c r="H88" s="179">
        <f t="shared" si="3"/>
        <v>2414599666.2600002</v>
      </c>
      <c r="I88" s="179">
        <f t="shared" si="3"/>
        <v>5946441870.9700003</v>
      </c>
      <c r="J88" s="179">
        <f t="shared" si="3"/>
        <v>6503660614.1400023</v>
      </c>
      <c r="K88" s="179">
        <f t="shared" si="3"/>
        <v>16786546703.950006</v>
      </c>
      <c r="L88" s="179">
        <f t="shared" si="3"/>
        <v>16382245510.069998</v>
      </c>
      <c r="M88" s="179">
        <f t="shared" si="3"/>
        <v>172193159152.58997</v>
      </c>
      <c r="N88" s="509">
        <f t="shared" si="3"/>
        <v>226033311426.07004</v>
      </c>
    </row>
    <row r="89" spans="1:14" ht="2" customHeight="1">
      <c r="A89" s="176"/>
      <c r="B89" s="1004"/>
      <c r="D89" s="177"/>
      <c r="E89" s="177"/>
      <c r="F89" s="177"/>
      <c r="G89" s="177"/>
      <c r="H89" s="177"/>
      <c r="I89" s="177"/>
      <c r="J89" s="177"/>
      <c r="K89" s="177"/>
      <c r="L89" s="177"/>
      <c r="M89" s="177"/>
      <c r="N89" s="995"/>
    </row>
    <row r="90" spans="1:14" ht="2" customHeight="1" thickBot="1">
      <c r="A90" s="175"/>
      <c r="B90" s="1003"/>
      <c r="D90" s="996"/>
      <c r="E90" s="996"/>
      <c r="F90" s="996"/>
      <c r="G90" s="996"/>
      <c r="H90" s="996"/>
      <c r="I90" s="996"/>
      <c r="J90" s="996"/>
      <c r="K90" s="996"/>
      <c r="L90" s="996"/>
      <c r="M90" s="996"/>
      <c r="N90" s="997"/>
    </row>
    <row r="91" spans="1:14" ht="26">
      <c r="A91" s="999" t="s">
        <v>18</v>
      </c>
      <c r="B91" s="1001" t="s">
        <v>910</v>
      </c>
      <c r="C91" s="1000" t="s">
        <v>589</v>
      </c>
      <c r="D91" s="998" t="s">
        <v>1146</v>
      </c>
      <c r="E91" s="998" t="s">
        <v>1147</v>
      </c>
      <c r="F91" s="998" t="s">
        <v>1148</v>
      </c>
      <c r="G91" s="998" t="s">
        <v>1149</v>
      </c>
      <c r="H91" s="998" t="s">
        <v>1150</v>
      </c>
      <c r="I91" s="998" t="s">
        <v>1151</v>
      </c>
      <c r="J91" s="998" t="s">
        <v>1152</v>
      </c>
      <c r="K91" s="998" t="s">
        <v>1153</v>
      </c>
      <c r="L91" s="998" t="s">
        <v>1154</v>
      </c>
      <c r="M91" s="998" t="s">
        <v>1155</v>
      </c>
      <c r="N91" s="998" t="s">
        <v>1156</v>
      </c>
    </row>
    <row r="92" spans="1:14" s="171" customFormat="1" ht="34" customHeight="1">
      <c r="A92" s="171" t="s">
        <v>414</v>
      </c>
      <c r="B92" s="970" t="s">
        <v>1079</v>
      </c>
      <c r="C92" s="150">
        <v>1043650.04</v>
      </c>
      <c r="D92" s="149">
        <v>3729337.9799999995</v>
      </c>
      <c r="E92" s="149">
        <v>7284295.0899999999</v>
      </c>
      <c r="F92" s="150">
        <v>9364227.4399999995</v>
      </c>
      <c r="G92" s="150">
        <v>12170452.09</v>
      </c>
      <c r="H92" s="149">
        <v>14932209.27</v>
      </c>
      <c r="I92" s="149">
        <v>34061944.719999999</v>
      </c>
      <c r="J92" s="149">
        <v>35598261.329999998</v>
      </c>
      <c r="K92" s="149">
        <v>70998096.170000002</v>
      </c>
      <c r="L92" s="149">
        <v>51259998.350000001</v>
      </c>
      <c r="M92" s="149">
        <v>220516140.72999999</v>
      </c>
      <c r="N92" s="234">
        <f t="shared" ref="N92:N116" si="4">SUM(C92:M92)</f>
        <v>460958613.20999998</v>
      </c>
    </row>
    <row r="93" spans="1:14" s="171" customFormat="1" ht="17.149999999999999" customHeight="1">
      <c r="A93" s="171" t="s">
        <v>416</v>
      </c>
      <c r="B93" s="970" t="s">
        <v>1080</v>
      </c>
      <c r="C93" s="178">
        <v>1815049.12</v>
      </c>
      <c r="D93" s="178">
        <v>6094669.6400000006</v>
      </c>
      <c r="E93" s="178">
        <v>10931178.060000001</v>
      </c>
      <c r="F93" s="178">
        <v>14134421.640000001</v>
      </c>
      <c r="G93" s="178">
        <v>18442857.059999999</v>
      </c>
      <c r="H93" s="178">
        <v>22415561.030000001</v>
      </c>
      <c r="I93" s="178">
        <v>56427682.769999996</v>
      </c>
      <c r="J93" s="178">
        <v>56533136.670000002</v>
      </c>
      <c r="K93" s="178">
        <v>135768770.31999999</v>
      </c>
      <c r="L93" s="178">
        <v>124373617.31</v>
      </c>
      <c r="M93" s="178">
        <v>491586446.5</v>
      </c>
      <c r="N93" s="283">
        <f t="shared" si="4"/>
        <v>938523390.12</v>
      </c>
    </row>
    <row r="94" spans="1:14" s="171" customFormat="1" ht="17.149999999999999" customHeight="1">
      <c r="A94" s="171" t="s">
        <v>419</v>
      </c>
      <c r="B94" s="970" t="s">
        <v>1081</v>
      </c>
      <c r="C94" s="178">
        <v>29149587.959999997</v>
      </c>
      <c r="D94" s="178">
        <v>83461114.900000006</v>
      </c>
      <c r="E94" s="178">
        <v>144977660.54000002</v>
      </c>
      <c r="F94" s="178">
        <v>186602981.53</v>
      </c>
      <c r="G94" s="178">
        <v>222327046.16</v>
      </c>
      <c r="H94" s="178">
        <v>264585906.56</v>
      </c>
      <c r="I94" s="178">
        <v>637407678.83000004</v>
      </c>
      <c r="J94" s="178">
        <v>709168388.41000009</v>
      </c>
      <c r="K94" s="178">
        <v>1955962901.3</v>
      </c>
      <c r="L94" s="178">
        <v>1918340853.4200001</v>
      </c>
      <c r="M94" s="178">
        <v>14420116263.77</v>
      </c>
      <c r="N94" s="283">
        <f t="shared" si="4"/>
        <v>20572100383.380001</v>
      </c>
    </row>
    <row r="95" spans="1:14" s="171" customFormat="1" ht="17.149999999999999" customHeight="1">
      <c r="A95" s="171" t="s">
        <v>421</v>
      </c>
      <c r="B95" s="970" t="s">
        <v>1082</v>
      </c>
      <c r="C95" s="178">
        <v>1626528.83</v>
      </c>
      <c r="D95" s="178">
        <v>6158578.6999999993</v>
      </c>
      <c r="E95" s="178">
        <v>10620353.76</v>
      </c>
      <c r="F95" s="178">
        <v>15690872.720000001</v>
      </c>
      <c r="G95" s="178">
        <v>18580572.859999999</v>
      </c>
      <c r="H95" s="178">
        <v>25294409.710000001</v>
      </c>
      <c r="I95" s="178">
        <v>59886872.310000002</v>
      </c>
      <c r="J95" s="178">
        <v>64691446.760000005</v>
      </c>
      <c r="K95" s="178">
        <v>141097324.65000001</v>
      </c>
      <c r="L95" s="178">
        <v>113775507.7</v>
      </c>
      <c r="M95" s="178">
        <v>357485851.42000002</v>
      </c>
      <c r="N95" s="283">
        <f t="shared" si="4"/>
        <v>814908319.41999996</v>
      </c>
    </row>
    <row r="96" spans="1:14" s="171" customFormat="1" ht="17.149999999999999" customHeight="1">
      <c r="A96" s="171" t="s">
        <v>424</v>
      </c>
      <c r="B96" s="970" t="s">
        <v>1083</v>
      </c>
      <c r="C96" s="178">
        <v>458852.82999999996</v>
      </c>
      <c r="D96" s="178">
        <v>1371335.3299999998</v>
      </c>
      <c r="E96" s="178">
        <v>2084834.5199999998</v>
      </c>
      <c r="F96" s="178">
        <v>2962956.86</v>
      </c>
      <c r="G96" s="178">
        <v>3432560.22</v>
      </c>
      <c r="H96" s="178">
        <v>5242088.8</v>
      </c>
      <c r="I96" s="178">
        <v>11116081.75</v>
      </c>
      <c r="J96" s="178">
        <v>14568333.460000001</v>
      </c>
      <c r="K96" s="178">
        <v>29958415.949999999</v>
      </c>
      <c r="L96" s="178">
        <v>28868796.440000001</v>
      </c>
      <c r="M96" s="178">
        <v>389513953.57999998</v>
      </c>
      <c r="N96" s="283">
        <f t="shared" si="4"/>
        <v>489578209.74000001</v>
      </c>
    </row>
    <row r="97" spans="1:15" s="171" customFormat="1" ht="34" customHeight="1">
      <c r="A97" s="171" t="s">
        <v>354</v>
      </c>
      <c r="B97" s="970" t="s">
        <v>1084</v>
      </c>
      <c r="C97" s="178">
        <v>1763310.3900000001</v>
      </c>
      <c r="D97" s="178">
        <v>3556063.3299999996</v>
      </c>
      <c r="E97" s="178">
        <v>5103123.95</v>
      </c>
      <c r="F97" s="178">
        <v>6417679.3499999996</v>
      </c>
      <c r="G97" s="178">
        <v>7694398.46</v>
      </c>
      <c r="H97" s="178">
        <v>8780393.5899999999</v>
      </c>
      <c r="I97" s="178">
        <v>20206617.91</v>
      </c>
      <c r="J97" s="178">
        <v>20315734.149999999</v>
      </c>
      <c r="K97" s="178">
        <v>44596989.969999999</v>
      </c>
      <c r="L97" s="178">
        <v>33622369.159999996</v>
      </c>
      <c r="M97" s="178">
        <v>335579117.56</v>
      </c>
      <c r="N97" s="283">
        <f t="shared" si="4"/>
        <v>487635797.81999999</v>
      </c>
    </row>
    <row r="98" spans="1:15" s="171" customFormat="1" ht="17.149999999999999" customHeight="1">
      <c r="A98" s="171" t="s">
        <v>358</v>
      </c>
      <c r="B98" s="970" t="s">
        <v>1085</v>
      </c>
      <c r="C98" s="178">
        <v>6009544.2999999998</v>
      </c>
      <c r="D98" s="178">
        <v>18564521.07</v>
      </c>
      <c r="E98" s="178">
        <v>30792647.830000002</v>
      </c>
      <c r="F98" s="178">
        <v>41367283.899999999</v>
      </c>
      <c r="G98" s="178">
        <v>52543967.079999998</v>
      </c>
      <c r="H98" s="178">
        <v>67156963.019999996</v>
      </c>
      <c r="I98" s="178">
        <v>171036880.03999999</v>
      </c>
      <c r="J98" s="178">
        <v>187192180.88</v>
      </c>
      <c r="K98" s="178">
        <v>435876002.35000002</v>
      </c>
      <c r="L98" s="178">
        <v>396497516.58999997</v>
      </c>
      <c r="M98" s="178">
        <v>2169561419.98</v>
      </c>
      <c r="N98" s="283">
        <f t="shared" si="4"/>
        <v>3576598927.04</v>
      </c>
    </row>
    <row r="99" spans="1:15" s="171" customFormat="1" ht="17.149999999999999" customHeight="1">
      <c r="A99" s="171" t="s">
        <v>431</v>
      </c>
      <c r="B99" s="970" t="s">
        <v>1086</v>
      </c>
      <c r="C99" s="178">
        <v>1465506.02</v>
      </c>
      <c r="D99" s="178">
        <v>4517857.41</v>
      </c>
      <c r="E99" s="178">
        <v>6698218.96</v>
      </c>
      <c r="F99" s="178">
        <v>9719885.2100000009</v>
      </c>
      <c r="G99" s="178">
        <v>13289832.35</v>
      </c>
      <c r="H99" s="178">
        <v>16161678.91</v>
      </c>
      <c r="I99" s="178">
        <v>38894835.439999998</v>
      </c>
      <c r="J99" s="178">
        <v>40837618.510000005</v>
      </c>
      <c r="K99" s="178">
        <v>86947152.540000007</v>
      </c>
      <c r="L99" s="178">
        <v>74954723.829999998</v>
      </c>
      <c r="M99" s="178">
        <v>369074250.44999999</v>
      </c>
      <c r="N99" s="283">
        <f t="shared" si="4"/>
        <v>662561559.63</v>
      </c>
    </row>
    <row r="100" spans="1:15" s="171" customFormat="1" ht="17.149999999999999" customHeight="1">
      <c r="A100" s="171" t="s">
        <v>434</v>
      </c>
      <c r="B100" s="970" t="s">
        <v>1087</v>
      </c>
      <c r="C100" s="178">
        <v>4936115.1100000003</v>
      </c>
      <c r="D100" s="178">
        <v>16168221.41</v>
      </c>
      <c r="E100" s="178">
        <v>27961335.410000004</v>
      </c>
      <c r="F100" s="178">
        <v>36508338.799999997</v>
      </c>
      <c r="G100" s="178">
        <v>45251814.490000002</v>
      </c>
      <c r="H100" s="178">
        <v>58709645.57</v>
      </c>
      <c r="I100" s="178">
        <v>153763840.18000001</v>
      </c>
      <c r="J100" s="178">
        <v>169717622.78999999</v>
      </c>
      <c r="K100" s="178">
        <v>388649935.69999999</v>
      </c>
      <c r="L100" s="178">
        <v>348122441.64999998</v>
      </c>
      <c r="M100" s="178">
        <v>1591268595.98</v>
      </c>
      <c r="N100" s="283">
        <f t="shared" si="4"/>
        <v>2841057907.0900002</v>
      </c>
    </row>
    <row r="101" spans="1:15" s="171" customFormat="1" ht="17.149999999999999" customHeight="1">
      <c r="A101" s="171" t="s">
        <v>437</v>
      </c>
      <c r="B101" s="970" t="s">
        <v>1088</v>
      </c>
      <c r="C101" s="178">
        <v>1357481.98</v>
      </c>
      <c r="D101" s="178">
        <v>4757160.6500000004</v>
      </c>
      <c r="E101" s="178">
        <v>8396197.9500000011</v>
      </c>
      <c r="F101" s="178">
        <v>11518769.09</v>
      </c>
      <c r="G101" s="178">
        <v>14913654.59</v>
      </c>
      <c r="H101" s="178">
        <v>17155198.280000001</v>
      </c>
      <c r="I101" s="178">
        <v>36374835.590000004</v>
      </c>
      <c r="J101" s="178">
        <v>39220363.609999999</v>
      </c>
      <c r="K101" s="178">
        <v>90896406.579999998</v>
      </c>
      <c r="L101" s="178">
        <v>76128479.670000002</v>
      </c>
      <c r="M101" s="178">
        <v>205987354.40000001</v>
      </c>
      <c r="N101" s="283">
        <f t="shared" si="4"/>
        <v>506705902.38999999</v>
      </c>
    </row>
    <row r="102" spans="1:15" s="171" customFormat="1" ht="34" customHeight="1">
      <c r="A102" s="171" t="s">
        <v>313</v>
      </c>
      <c r="B102" s="970" t="s">
        <v>1089</v>
      </c>
      <c r="C102" s="178">
        <v>1356545.89</v>
      </c>
      <c r="D102" s="178">
        <v>4342373.79</v>
      </c>
      <c r="E102" s="145">
        <v>8200386.0200000005</v>
      </c>
      <c r="F102" s="178">
        <v>10693325.35</v>
      </c>
      <c r="G102" s="178">
        <v>13003286.48</v>
      </c>
      <c r="H102" s="145">
        <v>15197736.85</v>
      </c>
      <c r="I102" s="145">
        <v>35945940.049999997</v>
      </c>
      <c r="J102" s="178">
        <v>35587973.859999999</v>
      </c>
      <c r="K102" s="178">
        <v>76083649.040000007</v>
      </c>
      <c r="L102" s="178">
        <v>57583621.829999998</v>
      </c>
      <c r="M102" s="178">
        <v>169674225.00999999</v>
      </c>
      <c r="N102" s="283">
        <f t="shared" si="4"/>
        <v>427669064.17000002</v>
      </c>
    </row>
    <row r="103" spans="1:15" s="171" customFormat="1" ht="17.149999999999999" customHeight="1">
      <c r="A103" s="171" t="s">
        <v>317</v>
      </c>
      <c r="B103" s="970" t="s">
        <v>1090</v>
      </c>
      <c r="C103" s="145">
        <v>2921271.5999999996</v>
      </c>
      <c r="D103" s="178">
        <v>8559942.0199999996</v>
      </c>
      <c r="E103" s="178">
        <v>14025683.959999999</v>
      </c>
      <c r="F103" s="178">
        <v>19751288.530000001</v>
      </c>
      <c r="G103" s="178">
        <v>26577635.469999999</v>
      </c>
      <c r="H103" s="178">
        <v>33874346.530000001</v>
      </c>
      <c r="I103" s="178">
        <v>86447648.650000006</v>
      </c>
      <c r="J103" s="178">
        <v>97955945.789999992</v>
      </c>
      <c r="K103" s="178">
        <v>216288755.97999999</v>
      </c>
      <c r="L103" s="178">
        <v>180844759.13999999</v>
      </c>
      <c r="M103" s="178">
        <v>738458012.24000001</v>
      </c>
      <c r="N103" s="283">
        <f t="shared" si="4"/>
        <v>1425705289.9099998</v>
      </c>
    </row>
    <row r="104" spans="1:15" s="171" customFormat="1" ht="17.149999999999999" customHeight="1">
      <c r="A104" s="171" t="s">
        <v>321</v>
      </c>
      <c r="B104" s="970" t="s">
        <v>1091</v>
      </c>
      <c r="C104" s="178">
        <v>1893955.1500000001</v>
      </c>
      <c r="D104" s="178">
        <v>6049745.9900000002</v>
      </c>
      <c r="E104" s="178">
        <v>10514159.42</v>
      </c>
      <c r="F104" s="178">
        <v>15335543.77</v>
      </c>
      <c r="G104" s="178">
        <v>19210919.18</v>
      </c>
      <c r="H104" s="178">
        <v>23399856.170000002</v>
      </c>
      <c r="I104" s="178">
        <v>54710024.109999999</v>
      </c>
      <c r="J104" s="178">
        <v>58533438.090000004</v>
      </c>
      <c r="K104" s="178">
        <v>108986795.28</v>
      </c>
      <c r="L104" s="178">
        <v>86679043.120000005</v>
      </c>
      <c r="M104" s="178">
        <v>238518664.87</v>
      </c>
      <c r="N104" s="283">
        <f t="shared" si="4"/>
        <v>623832145.14999998</v>
      </c>
    </row>
    <row r="105" spans="1:15" s="171" customFormat="1" ht="17.149999999999999" customHeight="1">
      <c r="A105" s="171" t="s">
        <v>325</v>
      </c>
      <c r="B105" s="970" t="s">
        <v>1092</v>
      </c>
      <c r="C105" s="178">
        <v>933038.5</v>
      </c>
      <c r="D105" s="178">
        <v>3587782.09</v>
      </c>
      <c r="E105" s="178">
        <v>6091540.1300000008</v>
      </c>
      <c r="F105" s="178">
        <v>9163409.9100000001</v>
      </c>
      <c r="G105" s="178">
        <v>11598428.449999999</v>
      </c>
      <c r="H105" s="178">
        <v>13522053.060000001</v>
      </c>
      <c r="I105" s="178">
        <v>29676560.149999999</v>
      </c>
      <c r="J105" s="178">
        <v>32819753.02</v>
      </c>
      <c r="K105" s="178">
        <v>77411528.120000005</v>
      </c>
      <c r="L105" s="178">
        <v>64649737.409999996</v>
      </c>
      <c r="M105" s="178">
        <v>230675163.72999999</v>
      </c>
      <c r="N105" s="283">
        <f t="shared" si="4"/>
        <v>480128994.56999999</v>
      </c>
    </row>
    <row r="106" spans="1:15" s="171" customFormat="1" ht="17.149999999999999" customHeight="1">
      <c r="A106" s="171" t="s">
        <v>329</v>
      </c>
      <c r="B106" s="970" t="s">
        <v>1093</v>
      </c>
      <c r="C106" s="178">
        <v>7762972.5</v>
      </c>
      <c r="D106" s="178">
        <v>25274467.399999999</v>
      </c>
      <c r="E106" s="178">
        <v>45027723.880000003</v>
      </c>
      <c r="F106" s="178">
        <v>59203696.670000002</v>
      </c>
      <c r="G106" s="178">
        <v>74102920.420000002</v>
      </c>
      <c r="H106" s="178">
        <v>90379072.930000007</v>
      </c>
      <c r="I106" s="178">
        <v>208136390.24000001</v>
      </c>
      <c r="J106" s="178">
        <v>230808542.69999999</v>
      </c>
      <c r="K106" s="178">
        <v>592327844.86000001</v>
      </c>
      <c r="L106" s="178">
        <v>578802986.76999998</v>
      </c>
      <c r="M106" s="178">
        <v>3574014454.9699998</v>
      </c>
      <c r="N106" s="283">
        <f t="shared" si="4"/>
        <v>5485841073.3400002</v>
      </c>
    </row>
    <row r="107" spans="1:15" s="171" customFormat="1" ht="34" customHeight="1">
      <c r="A107" s="171" t="s">
        <v>333</v>
      </c>
      <c r="B107" s="970" t="s">
        <v>1094</v>
      </c>
      <c r="C107" s="178">
        <v>8489958.2899999991</v>
      </c>
      <c r="D107" s="178">
        <v>25855763.400000002</v>
      </c>
      <c r="E107" s="178">
        <v>42136750.490000002</v>
      </c>
      <c r="F107" s="178">
        <v>54524137.420000002</v>
      </c>
      <c r="G107" s="178">
        <v>69352834.120000005</v>
      </c>
      <c r="H107" s="178">
        <v>78936073.670000002</v>
      </c>
      <c r="I107" s="178">
        <v>190061985.06999999</v>
      </c>
      <c r="J107" s="178">
        <v>201797888.75</v>
      </c>
      <c r="K107" s="178">
        <v>561910628.49000001</v>
      </c>
      <c r="L107" s="178">
        <v>585514722.13</v>
      </c>
      <c r="M107" s="178">
        <v>4653927025.5100002</v>
      </c>
      <c r="N107" s="283">
        <f t="shared" si="4"/>
        <v>6472507767.3400002</v>
      </c>
    </row>
    <row r="108" spans="1:15" s="171" customFormat="1" ht="17.149999999999999" customHeight="1">
      <c r="A108" s="171" t="s">
        <v>337</v>
      </c>
      <c r="B108" s="970" t="s">
        <v>1095</v>
      </c>
      <c r="C108" s="178">
        <v>461379.45</v>
      </c>
      <c r="D108" s="178">
        <v>1533398.69</v>
      </c>
      <c r="E108" s="178">
        <v>2666475.2800000003</v>
      </c>
      <c r="F108" s="178">
        <v>3836094.85</v>
      </c>
      <c r="G108" s="178">
        <v>4599597.33</v>
      </c>
      <c r="H108" s="178">
        <v>5450764.7199999997</v>
      </c>
      <c r="I108" s="178">
        <v>13171432.73</v>
      </c>
      <c r="J108" s="178">
        <v>13537760.84</v>
      </c>
      <c r="K108" s="178">
        <v>31733769.57</v>
      </c>
      <c r="L108" s="178">
        <v>26466016.170000002</v>
      </c>
      <c r="M108" s="178">
        <v>78959555.159999996</v>
      </c>
      <c r="N108" s="283">
        <f t="shared" si="4"/>
        <v>182416244.79000002</v>
      </c>
    </row>
    <row r="109" spans="1:15" s="171" customFormat="1" ht="17.149999999999999" customHeight="1">
      <c r="A109" s="171" t="s">
        <v>341</v>
      </c>
      <c r="B109" s="970" t="s">
        <v>1096</v>
      </c>
      <c r="C109" s="178">
        <v>527152.38</v>
      </c>
      <c r="D109" s="178">
        <v>1958373.08</v>
      </c>
      <c r="E109" s="178">
        <v>3545140.37</v>
      </c>
      <c r="F109" s="178">
        <v>4627182.88</v>
      </c>
      <c r="G109" s="178">
        <v>5419158.5300000003</v>
      </c>
      <c r="H109" s="178">
        <v>8012043.9800000004</v>
      </c>
      <c r="I109" s="178">
        <v>17619140.52</v>
      </c>
      <c r="J109" s="178">
        <v>16287142.960000001</v>
      </c>
      <c r="K109" s="178">
        <v>34268230.57</v>
      </c>
      <c r="L109" s="178">
        <v>25887448.66</v>
      </c>
      <c r="M109" s="178">
        <v>81834877.319999993</v>
      </c>
      <c r="N109" s="283">
        <f t="shared" si="4"/>
        <v>199985891.25</v>
      </c>
    </row>
    <row r="110" spans="1:15" s="171" customFormat="1" ht="17.149999999999999" customHeight="1">
      <c r="A110" s="171" t="s">
        <v>345</v>
      </c>
      <c r="B110" s="970" t="s">
        <v>1097</v>
      </c>
      <c r="C110" s="178">
        <v>2261276.98</v>
      </c>
      <c r="D110" s="178">
        <v>7513127.8799999999</v>
      </c>
      <c r="E110" s="178">
        <v>13513338.810000001</v>
      </c>
      <c r="F110" s="178">
        <v>19393091.399999999</v>
      </c>
      <c r="G110" s="178">
        <v>22351003.48</v>
      </c>
      <c r="H110" s="178">
        <v>29407706.969999999</v>
      </c>
      <c r="I110" s="178">
        <v>64304247.489999995</v>
      </c>
      <c r="J110" s="178">
        <v>63367895.980000004</v>
      </c>
      <c r="K110" s="178">
        <v>127418016.88</v>
      </c>
      <c r="L110" s="178">
        <v>120262376.84</v>
      </c>
      <c r="M110" s="178">
        <v>395406003.63</v>
      </c>
      <c r="N110" s="283">
        <f t="shared" si="4"/>
        <v>865198086.34000003</v>
      </c>
    </row>
    <row r="111" spans="1:15" s="171" customFormat="1" ht="17.149999999999999" customHeight="1">
      <c r="A111" s="171" t="s">
        <v>349</v>
      </c>
      <c r="B111" s="970" t="s">
        <v>1098</v>
      </c>
      <c r="C111" s="178">
        <v>2407914.7999999998</v>
      </c>
      <c r="D111" s="178">
        <v>7428394.7200000007</v>
      </c>
      <c r="E111" s="178">
        <v>13258386.460000001</v>
      </c>
      <c r="F111" s="178">
        <v>18167658.07</v>
      </c>
      <c r="G111" s="178">
        <v>22173399.100000001</v>
      </c>
      <c r="H111" s="178">
        <v>27761527.149999999</v>
      </c>
      <c r="I111" s="178">
        <v>70293287.840000004</v>
      </c>
      <c r="J111" s="178">
        <v>73790551.170000002</v>
      </c>
      <c r="K111" s="178">
        <v>183257810.71000001</v>
      </c>
      <c r="L111" s="178">
        <v>163407524.97999999</v>
      </c>
      <c r="M111" s="178">
        <v>818608090.04999995</v>
      </c>
      <c r="N111" s="283">
        <f t="shared" si="4"/>
        <v>1400554545.05</v>
      </c>
    </row>
    <row r="112" spans="1:15" s="181" customFormat="1" ht="34" customHeight="1">
      <c r="A112" s="150" t="s">
        <v>353</v>
      </c>
      <c r="B112" s="988" t="s">
        <v>1099</v>
      </c>
      <c r="C112" s="178">
        <v>4327270.82</v>
      </c>
      <c r="D112" s="178">
        <v>12325845.09</v>
      </c>
      <c r="E112" s="178">
        <v>21790388.109999999</v>
      </c>
      <c r="F112" s="178">
        <v>28238657.399999999</v>
      </c>
      <c r="G112" s="178">
        <v>36850360.259999998</v>
      </c>
      <c r="H112" s="178">
        <v>43595886.310000002</v>
      </c>
      <c r="I112" s="178">
        <v>107808295.08</v>
      </c>
      <c r="J112" s="178">
        <v>106209993.24000001</v>
      </c>
      <c r="K112" s="178">
        <v>221132972.25</v>
      </c>
      <c r="L112" s="178">
        <v>188517060.03</v>
      </c>
      <c r="M112" s="178">
        <v>849845352.26999998</v>
      </c>
      <c r="N112" s="283">
        <f t="shared" si="4"/>
        <v>1620642080.8599999</v>
      </c>
      <c r="O112" s="171"/>
    </row>
    <row r="113" spans="1:14" ht="17.149999999999999" customHeight="1">
      <c r="A113" s="171" t="s">
        <v>357</v>
      </c>
      <c r="B113" s="970" t="s">
        <v>1100</v>
      </c>
      <c r="C113" s="178">
        <v>1070171.28</v>
      </c>
      <c r="D113" s="178">
        <v>3342886.75</v>
      </c>
      <c r="E113" s="178">
        <v>6273322.4400000004</v>
      </c>
      <c r="F113" s="178">
        <v>9610819.8100000005</v>
      </c>
      <c r="G113" s="178">
        <v>12352126.85</v>
      </c>
      <c r="H113" s="178">
        <v>13586767.18</v>
      </c>
      <c r="I113" s="178">
        <v>33971092.609999999</v>
      </c>
      <c r="J113" s="178">
        <v>37703512.549999997</v>
      </c>
      <c r="K113" s="178">
        <v>79223289.480000004</v>
      </c>
      <c r="L113" s="178">
        <v>75172592.549999997</v>
      </c>
      <c r="M113" s="178">
        <v>307575370.45999998</v>
      </c>
      <c r="N113" s="283">
        <f t="shared" si="4"/>
        <v>579881951.96000004</v>
      </c>
    </row>
    <row r="114" spans="1:14" ht="17.149999999999999" customHeight="1">
      <c r="A114" s="171" t="s">
        <v>361</v>
      </c>
      <c r="B114" s="970" t="s">
        <v>1101</v>
      </c>
      <c r="C114" s="178">
        <v>2212677.04</v>
      </c>
      <c r="D114" s="178">
        <v>6591878.3900000006</v>
      </c>
      <c r="E114" s="178">
        <v>12667969.57</v>
      </c>
      <c r="F114" s="178">
        <v>16770239.68</v>
      </c>
      <c r="G114" s="178">
        <v>19535520.739999998</v>
      </c>
      <c r="H114" s="178">
        <v>23963983.800000001</v>
      </c>
      <c r="I114" s="178">
        <v>55319824.209999993</v>
      </c>
      <c r="J114" s="178">
        <v>52812817.369999997</v>
      </c>
      <c r="K114" s="178">
        <v>107700068.44</v>
      </c>
      <c r="L114" s="178">
        <v>96018098.489999995</v>
      </c>
      <c r="M114" s="178">
        <v>273085359.67000002</v>
      </c>
      <c r="N114" s="283">
        <f t="shared" si="4"/>
        <v>666678437.4000001</v>
      </c>
    </row>
    <row r="115" spans="1:14" ht="17.149999999999999" customHeight="1">
      <c r="A115" s="171" t="s">
        <v>365</v>
      </c>
      <c r="B115" s="970" t="s">
        <v>1102</v>
      </c>
      <c r="C115" s="178">
        <v>1835296.45</v>
      </c>
      <c r="D115" s="178">
        <v>5605116.5900000008</v>
      </c>
      <c r="E115" s="178">
        <v>9835554.3900000006</v>
      </c>
      <c r="F115" s="178">
        <v>14424899.48</v>
      </c>
      <c r="G115" s="178">
        <v>18080771.66</v>
      </c>
      <c r="H115" s="178">
        <v>21555850.800000001</v>
      </c>
      <c r="I115" s="178">
        <v>52910679.519999996</v>
      </c>
      <c r="J115" s="178">
        <v>54813547.400000006</v>
      </c>
      <c r="K115" s="178">
        <v>115064203.62</v>
      </c>
      <c r="L115" s="178">
        <v>98603423.090000004</v>
      </c>
      <c r="M115" s="178">
        <v>287687499.68000001</v>
      </c>
      <c r="N115" s="283">
        <f t="shared" si="4"/>
        <v>680416842.68000007</v>
      </c>
    </row>
    <row r="116" spans="1:14" ht="17.149999999999999" customHeight="1">
      <c r="A116" s="171" t="s">
        <v>369</v>
      </c>
      <c r="B116" s="970" t="s">
        <v>1103</v>
      </c>
      <c r="C116" s="178">
        <v>4235207.8900000006</v>
      </c>
      <c r="D116" s="178">
        <v>11134682.719999999</v>
      </c>
      <c r="E116" s="178">
        <v>18383124.359999999</v>
      </c>
      <c r="F116" s="178">
        <v>23038455.09</v>
      </c>
      <c r="G116" s="178">
        <v>29732036.510000002</v>
      </c>
      <c r="H116" s="178">
        <v>35770943.170000002</v>
      </c>
      <c r="I116" s="178">
        <v>87255882.930000007</v>
      </c>
      <c r="J116" s="178">
        <v>97409644.269999996</v>
      </c>
      <c r="K116" s="178">
        <v>252797393.96000001</v>
      </c>
      <c r="L116" s="178">
        <v>260791134.93000001</v>
      </c>
      <c r="M116" s="178">
        <v>1949605472.24</v>
      </c>
      <c r="N116" s="283">
        <f t="shared" si="4"/>
        <v>2770153978.0699997</v>
      </c>
    </row>
    <row r="117" spans="1:14" ht="17.149999999999999" customHeight="1">
      <c r="A117" s="171"/>
      <c r="B117" s="970"/>
      <c r="C117" s="178"/>
      <c r="D117" s="178"/>
      <c r="E117" s="178"/>
      <c r="F117" s="178"/>
      <c r="G117" s="178"/>
      <c r="H117" s="178"/>
      <c r="I117" s="178"/>
      <c r="J117" s="178"/>
      <c r="K117" s="178"/>
      <c r="L117" s="178"/>
      <c r="M117" s="178"/>
      <c r="N117" s="208"/>
    </row>
    <row r="118" spans="1:14" s="184" customFormat="1" ht="17.149999999999999" customHeight="1">
      <c r="A118" s="182" t="s">
        <v>19</v>
      </c>
      <c r="B118" s="989"/>
      <c r="C118" s="183">
        <f>SUM(C8:C42)+SUM(C50:C84)+SUM(C92:C116)</f>
        <v>372645504.34000009</v>
      </c>
      <c r="D118" s="183">
        <f t="shared" ref="D118:N118" si="5">SUM(D8:D42)+SUM(D50:D84)+SUM(D92:D116)</f>
        <v>1077421060.2900002</v>
      </c>
      <c r="E118" s="183">
        <f t="shared" si="5"/>
        <v>1803560651.4900002</v>
      </c>
      <c r="F118" s="183">
        <f t="shared" si="5"/>
        <v>2358663050.46</v>
      </c>
      <c r="G118" s="183">
        <f t="shared" si="5"/>
        <v>2885969249.4300008</v>
      </c>
      <c r="H118" s="183">
        <f t="shared" si="5"/>
        <v>3559343817.5299997</v>
      </c>
      <c r="I118" s="183">
        <f t="shared" si="5"/>
        <v>8722863390.0499992</v>
      </c>
      <c r="J118" s="183">
        <f t="shared" si="5"/>
        <v>9483844944.5499992</v>
      </c>
      <c r="K118" s="183">
        <f t="shared" si="5"/>
        <v>23994834008.980003</v>
      </c>
      <c r="L118" s="183">
        <f t="shared" si="5"/>
        <v>23063847356.619999</v>
      </c>
      <c r="M118" s="183">
        <f t="shared" si="5"/>
        <v>212065258095.26999</v>
      </c>
      <c r="N118" s="183">
        <f t="shared" si="5"/>
        <v>289388251129.00995</v>
      </c>
    </row>
    <row r="119" spans="1:14" s="180" customFormat="1" ht="17.149999999999999" customHeight="1">
      <c r="A119" s="184"/>
      <c r="B119" s="985"/>
      <c r="C119" s="185"/>
      <c r="D119" s="185"/>
      <c r="E119" s="185"/>
      <c r="F119" s="185"/>
      <c r="G119" s="185"/>
      <c r="H119" s="185"/>
      <c r="I119" s="185"/>
      <c r="J119" s="185"/>
      <c r="K119" s="185"/>
      <c r="L119" s="185"/>
      <c r="M119" s="185"/>
      <c r="N119" s="210"/>
    </row>
    <row r="120" spans="1:14" s="180" customFormat="1" ht="17.149999999999999" customHeight="1">
      <c r="A120" s="173"/>
      <c r="B120" s="968"/>
      <c r="C120" s="173"/>
      <c r="D120" s="173"/>
      <c r="E120" s="173"/>
      <c r="F120" s="173"/>
      <c r="G120" s="173"/>
      <c r="H120" s="173"/>
      <c r="I120" s="173"/>
      <c r="J120" s="173"/>
      <c r="K120" s="173"/>
      <c r="L120" s="173"/>
      <c r="M120" s="173"/>
      <c r="N120" s="209"/>
    </row>
    <row r="121" spans="1:14" s="187" customFormat="1" ht="18">
      <c r="A121" s="172" t="s">
        <v>590</v>
      </c>
      <c r="B121" s="1002"/>
      <c r="C121" s="186"/>
      <c r="D121" s="186"/>
      <c r="E121" s="186"/>
      <c r="F121" s="186"/>
      <c r="G121" s="186"/>
      <c r="H121" s="186"/>
      <c r="I121" s="186"/>
      <c r="J121" s="186"/>
      <c r="K121" s="186"/>
      <c r="L121" s="186"/>
      <c r="M121" s="186"/>
      <c r="N121" s="211"/>
    </row>
    <row r="122" spans="1:14" ht="17.149999999999999" customHeight="1">
      <c r="A122" s="175" t="s">
        <v>588</v>
      </c>
      <c r="B122" s="1003"/>
      <c r="C122" s="188"/>
      <c r="D122" s="188"/>
      <c r="E122" s="188"/>
      <c r="F122" s="188"/>
      <c r="G122" s="188"/>
      <c r="H122" s="188"/>
      <c r="I122" s="188"/>
      <c r="J122" s="188"/>
      <c r="K122" s="188"/>
      <c r="L122" s="188"/>
      <c r="M122" s="188"/>
      <c r="N122" s="212"/>
    </row>
    <row r="123" spans="1:14" ht="17.149999999999999" customHeight="1">
      <c r="A123" s="176" t="str">
        <f>A3</f>
        <v>Taxable Year 2022</v>
      </c>
      <c r="B123" s="1004"/>
      <c r="C123" s="188"/>
      <c r="D123" s="188"/>
      <c r="E123" s="188"/>
      <c r="F123" s="188"/>
      <c r="G123" s="188"/>
      <c r="H123" s="188"/>
      <c r="I123" s="188"/>
      <c r="J123" s="188"/>
      <c r="K123" s="188"/>
      <c r="L123" s="188"/>
      <c r="M123" s="188"/>
      <c r="N123" s="212"/>
    </row>
    <row r="124" spans="1:14" ht="2" customHeight="1">
      <c r="C124" s="179">
        <f t="shared" ref="C124:N124" si="6">SUM(C128:C147)</f>
        <v>65513842.04999999</v>
      </c>
      <c r="D124" s="179">
        <f t="shared" si="6"/>
        <v>198696896.53999996</v>
      </c>
      <c r="E124" s="179">
        <f t="shared" si="6"/>
        <v>351517228.18999994</v>
      </c>
      <c r="F124" s="179">
        <f t="shared" si="6"/>
        <v>459391907.70000005</v>
      </c>
      <c r="G124" s="179">
        <f t="shared" si="6"/>
        <v>560731687.02999997</v>
      </c>
      <c r="H124" s="179">
        <f t="shared" si="6"/>
        <v>673608727.88000011</v>
      </c>
      <c r="I124" s="179">
        <f t="shared" si="6"/>
        <v>1611461196.5699999</v>
      </c>
      <c r="J124" s="179">
        <f t="shared" si="6"/>
        <v>1677991681.95</v>
      </c>
      <c r="K124" s="179">
        <f t="shared" si="6"/>
        <v>3982338409.1700001</v>
      </c>
      <c r="L124" s="179">
        <f t="shared" si="6"/>
        <v>3522198884.02</v>
      </c>
      <c r="M124" s="179">
        <f t="shared" si="6"/>
        <v>23822711557.650002</v>
      </c>
      <c r="N124" s="179">
        <f t="shared" si="6"/>
        <v>36926162018.75</v>
      </c>
    </row>
    <row r="125" spans="1:14" ht="2" customHeight="1">
      <c r="A125" s="176"/>
      <c r="B125" s="1004"/>
      <c r="D125" s="177"/>
      <c r="E125" s="177"/>
      <c r="F125" s="177"/>
      <c r="G125" s="177"/>
      <c r="H125" s="177"/>
      <c r="I125" s="177"/>
      <c r="J125" s="177"/>
      <c r="K125" s="177"/>
      <c r="L125" s="177"/>
      <c r="M125" s="177"/>
      <c r="N125" s="995"/>
    </row>
    <row r="126" spans="1:14" ht="2" customHeight="1" thickBot="1">
      <c r="A126" s="175"/>
      <c r="B126" s="1003"/>
      <c r="D126" s="996"/>
      <c r="E126" s="996"/>
      <c r="F126" s="996"/>
      <c r="G126" s="996"/>
      <c r="H126" s="996"/>
      <c r="I126" s="996"/>
      <c r="J126" s="996"/>
      <c r="K126" s="996"/>
      <c r="L126" s="996"/>
      <c r="M126" s="996"/>
      <c r="N126" s="997"/>
    </row>
    <row r="127" spans="1:14" ht="26">
      <c r="A127" s="999" t="s">
        <v>20</v>
      </c>
      <c r="B127" s="1001" t="s">
        <v>910</v>
      </c>
      <c r="C127" s="1000" t="s">
        <v>589</v>
      </c>
      <c r="D127" s="998" t="s">
        <v>1146</v>
      </c>
      <c r="E127" s="998" t="s">
        <v>1147</v>
      </c>
      <c r="F127" s="998" t="s">
        <v>1148</v>
      </c>
      <c r="G127" s="998" t="s">
        <v>1149</v>
      </c>
      <c r="H127" s="998" t="s">
        <v>1150</v>
      </c>
      <c r="I127" s="998" t="s">
        <v>1151</v>
      </c>
      <c r="J127" s="998" t="s">
        <v>1152</v>
      </c>
      <c r="K127" s="998" t="s">
        <v>1153</v>
      </c>
      <c r="L127" s="998" t="s">
        <v>1154</v>
      </c>
      <c r="M127" s="998" t="s">
        <v>1155</v>
      </c>
      <c r="N127" s="998" t="s">
        <v>1156</v>
      </c>
    </row>
    <row r="128" spans="1:14" s="171" customFormat="1" ht="21" customHeight="1">
      <c r="A128" s="171" t="s">
        <v>386</v>
      </c>
      <c r="B128" s="970" t="s">
        <v>1104</v>
      </c>
      <c r="C128" s="149">
        <v>10605373.559999999</v>
      </c>
      <c r="D128" s="149">
        <v>28962479.09</v>
      </c>
      <c r="E128" s="149">
        <v>49498857.489999995</v>
      </c>
      <c r="F128" s="149">
        <v>60411559</v>
      </c>
      <c r="G128" s="149">
        <v>74269279.769999996</v>
      </c>
      <c r="H128" s="149">
        <v>90434762.640000001</v>
      </c>
      <c r="I128" s="149">
        <v>206317081.78</v>
      </c>
      <c r="J128" s="149">
        <v>228434904.56999999</v>
      </c>
      <c r="K128" s="149">
        <v>730388320.54999995</v>
      </c>
      <c r="L128" s="149">
        <v>835027437.94000006</v>
      </c>
      <c r="M128" s="149">
        <v>9063993622.3199997</v>
      </c>
      <c r="N128" s="234">
        <f t="shared" ref="N128:N156" si="7">SUM(C128:M128)</f>
        <v>11378343678.709999</v>
      </c>
    </row>
    <row r="129" spans="1:14" s="171" customFormat="1" ht="14.15" customHeight="1">
      <c r="A129" s="171" t="s">
        <v>391</v>
      </c>
      <c r="B129" s="970" t="s">
        <v>1105</v>
      </c>
      <c r="C129" s="178">
        <v>3284274.18</v>
      </c>
      <c r="D129" s="178">
        <v>8113613.6899999995</v>
      </c>
      <c r="E129" s="178">
        <v>13157408.68</v>
      </c>
      <c r="F129" s="178">
        <v>16024542.76</v>
      </c>
      <c r="G129" s="178">
        <v>18689045.789999999</v>
      </c>
      <c r="H129" s="178">
        <v>23009070.670000002</v>
      </c>
      <c r="I129" s="178">
        <v>49752666.490000002</v>
      </c>
      <c r="J129" s="178">
        <v>45054652.960000001</v>
      </c>
      <c r="K129" s="178">
        <v>74843664.359999999</v>
      </c>
      <c r="L129" s="178">
        <v>53289381.579999998</v>
      </c>
      <c r="M129" s="178">
        <v>155818717.12</v>
      </c>
      <c r="N129" s="283">
        <f t="shared" si="7"/>
        <v>461037038.27999997</v>
      </c>
    </row>
    <row r="130" spans="1:14" s="171" customFormat="1" ht="14.15" customHeight="1">
      <c r="A130" s="171" t="s">
        <v>394</v>
      </c>
      <c r="B130" s="970" t="s">
        <v>1106</v>
      </c>
      <c r="C130" s="178">
        <v>519135.25</v>
      </c>
      <c r="D130" s="178">
        <v>1685254.95</v>
      </c>
      <c r="E130" s="178">
        <v>2588847.73</v>
      </c>
      <c r="F130" s="178">
        <v>3341494.87</v>
      </c>
      <c r="G130" s="178">
        <v>4274505.97</v>
      </c>
      <c r="H130" s="178">
        <v>5365465.33</v>
      </c>
      <c r="I130" s="178">
        <v>13680487.850000001</v>
      </c>
      <c r="J130" s="178">
        <v>12568569.48</v>
      </c>
      <c r="K130" s="178">
        <v>24123620.949999999</v>
      </c>
      <c r="L130" s="178">
        <v>19624213.579999998</v>
      </c>
      <c r="M130" s="178">
        <v>39330477.57</v>
      </c>
      <c r="N130" s="283">
        <f t="shared" si="7"/>
        <v>127102073.53</v>
      </c>
    </row>
    <row r="131" spans="1:14" s="171" customFormat="1" ht="14.15" customHeight="1">
      <c r="A131" s="171" t="s">
        <v>397</v>
      </c>
      <c r="B131" s="970" t="s">
        <v>1107</v>
      </c>
      <c r="C131" s="178">
        <v>3642725.5700000003</v>
      </c>
      <c r="D131" s="178">
        <v>9797932.879999999</v>
      </c>
      <c r="E131" s="178">
        <v>16090991.360000001</v>
      </c>
      <c r="F131" s="178">
        <v>19910862.359999999</v>
      </c>
      <c r="G131" s="178">
        <v>26334576.77</v>
      </c>
      <c r="H131" s="178">
        <v>31462866.890000001</v>
      </c>
      <c r="I131" s="178">
        <v>78151480.319999993</v>
      </c>
      <c r="J131" s="178">
        <v>72310269.75999999</v>
      </c>
      <c r="K131" s="178">
        <v>169233811.27000001</v>
      </c>
      <c r="L131" s="178">
        <v>132256736.76000001</v>
      </c>
      <c r="M131" s="178">
        <v>1507087926.9100001</v>
      </c>
      <c r="N131" s="283">
        <f t="shared" si="7"/>
        <v>2066280180.8499999</v>
      </c>
    </row>
    <row r="132" spans="1:14" s="171" customFormat="1" ht="14.15" customHeight="1">
      <c r="A132" s="171" t="s">
        <v>400</v>
      </c>
      <c r="B132" s="970" t="s">
        <v>1108</v>
      </c>
      <c r="C132" s="178">
        <v>13258749.52</v>
      </c>
      <c r="D132" s="178">
        <v>43342528.579999998</v>
      </c>
      <c r="E132" s="178">
        <v>76692386.019999996</v>
      </c>
      <c r="F132" s="178">
        <v>102041552.23999999</v>
      </c>
      <c r="G132" s="178">
        <v>127410899.36</v>
      </c>
      <c r="H132" s="178">
        <v>153648529.90000001</v>
      </c>
      <c r="I132" s="178">
        <v>384982996.75999999</v>
      </c>
      <c r="J132" s="178">
        <v>404282215.73000002</v>
      </c>
      <c r="K132" s="178">
        <v>1012258737.65</v>
      </c>
      <c r="L132" s="178">
        <v>919136050.67999995</v>
      </c>
      <c r="M132" s="178">
        <v>5001138823.0600004</v>
      </c>
      <c r="N132" s="283">
        <f t="shared" si="7"/>
        <v>8238193469.5</v>
      </c>
    </row>
    <row r="133" spans="1:14" s="171" customFormat="1" ht="21" customHeight="1">
      <c r="A133" s="171" t="s">
        <v>403</v>
      </c>
      <c r="B133" s="970" t="s">
        <v>1109</v>
      </c>
      <c r="C133" s="178">
        <v>1058709.58</v>
      </c>
      <c r="D133" s="178">
        <v>3677645.36</v>
      </c>
      <c r="E133" s="178">
        <v>6331937.6099999994</v>
      </c>
      <c r="F133" s="178">
        <v>9006621.3900000006</v>
      </c>
      <c r="G133" s="178">
        <v>11454420.83</v>
      </c>
      <c r="H133" s="178">
        <v>15509281.07</v>
      </c>
      <c r="I133" s="178">
        <v>38213598.629999995</v>
      </c>
      <c r="J133" s="178">
        <v>40403368.969999999</v>
      </c>
      <c r="K133" s="178">
        <v>87234697.150000006</v>
      </c>
      <c r="L133" s="178">
        <v>68366452.700000003</v>
      </c>
      <c r="M133" s="178">
        <v>194834122.22999999</v>
      </c>
      <c r="N133" s="283">
        <f t="shared" si="7"/>
        <v>476090855.51999998</v>
      </c>
    </row>
    <row r="134" spans="1:14" s="171" customFormat="1" ht="14.15" customHeight="1">
      <c r="A134" s="171" t="s">
        <v>406</v>
      </c>
      <c r="B134" s="970" t="s">
        <v>1110</v>
      </c>
      <c r="C134" s="178">
        <v>549850.63</v>
      </c>
      <c r="D134" s="178">
        <v>1354958.9300000002</v>
      </c>
      <c r="E134" s="178">
        <v>2515550.13</v>
      </c>
      <c r="F134" s="178">
        <v>3123432.19</v>
      </c>
      <c r="G134" s="178">
        <v>4783371.82</v>
      </c>
      <c r="H134" s="178">
        <v>5954168.6100000003</v>
      </c>
      <c r="I134" s="178">
        <v>12529157.190000001</v>
      </c>
      <c r="J134" s="178">
        <v>12063368.620000001</v>
      </c>
      <c r="K134" s="178">
        <v>22936323.030000001</v>
      </c>
      <c r="L134" s="178">
        <v>18531133.489999998</v>
      </c>
      <c r="M134" s="178">
        <v>38881344.039999999</v>
      </c>
      <c r="N134" s="283">
        <f t="shared" si="7"/>
        <v>123222658.68000001</v>
      </c>
    </row>
    <row r="135" spans="1:14" s="171" customFormat="1" ht="14.15" customHeight="1">
      <c r="A135" s="171" t="s">
        <v>409</v>
      </c>
      <c r="B135" s="970" t="s">
        <v>1111</v>
      </c>
      <c r="C135" s="178">
        <v>3231838.47</v>
      </c>
      <c r="D135" s="178">
        <v>11723633.359999999</v>
      </c>
      <c r="E135" s="178">
        <v>22753718.609999999</v>
      </c>
      <c r="F135" s="178">
        <v>31361226.23</v>
      </c>
      <c r="G135" s="178">
        <v>34586011.520000003</v>
      </c>
      <c r="H135" s="178">
        <v>40424188.369999997</v>
      </c>
      <c r="I135" s="178">
        <v>86970934.960000008</v>
      </c>
      <c r="J135" s="178">
        <v>79372570.549999997</v>
      </c>
      <c r="K135" s="178">
        <v>142199457.91</v>
      </c>
      <c r="L135" s="178">
        <v>98523587.629999995</v>
      </c>
      <c r="M135" s="178">
        <v>376723639.13</v>
      </c>
      <c r="N135" s="283">
        <f t="shared" si="7"/>
        <v>927870806.74000001</v>
      </c>
    </row>
    <row r="136" spans="1:14" s="171" customFormat="1" ht="14.15" customHeight="1">
      <c r="A136" s="171" t="s">
        <v>412</v>
      </c>
      <c r="B136" s="970" t="s">
        <v>1112</v>
      </c>
      <c r="C136" s="178">
        <v>510041.22</v>
      </c>
      <c r="D136" s="178">
        <v>1666529.34</v>
      </c>
      <c r="E136" s="145">
        <v>3046287.12</v>
      </c>
      <c r="F136" s="145">
        <v>4243355.83</v>
      </c>
      <c r="G136" s="178">
        <v>4359507.8899999997</v>
      </c>
      <c r="H136" s="178">
        <v>5150212.95</v>
      </c>
      <c r="I136" s="178">
        <v>11304083.16</v>
      </c>
      <c r="J136" s="178">
        <v>8638700.3300000001</v>
      </c>
      <c r="K136" s="178">
        <v>18558294.16</v>
      </c>
      <c r="L136" s="178">
        <v>9484229.7400000002</v>
      </c>
      <c r="M136" s="178">
        <v>24641710.469999999</v>
      </c>
      <c r="N136" s="283">
        <f t="shared" si="7"/>
        <v>91602952.210000008</v>
      </c>
    </row>
    <row r="137" spans="1:14" s="171" customFormat="1" ht="14.15" customHeight="1">
      <c r="A137" s="171" t="s">
        <v>407</v>
      </c>
      <c r="B137" s="970" t="s">
        <v>1113</v>
      </c>
      <c r="C137" s="178">
        <v>3116992.1500000004</v>
      </c>
      <c r="D137" s="178">
        <v>7332542.3300000001</v>
      </c>
      <c r="E137" s="178">
        <v>10193474.59</v>
      </c>
      <c r="F137" s="178">
        <v>12194757.529999999</v>
      </c>
      <c r="G137" s="178">
        <v>14876526.4</v>
      </c>
      <c r="H137" s="178">
        <v>16086103.470000001</v>
      </c>
      <c r="I137" s="178">
        <v>37816315.510000005</v>
      </c>
      <c r="J137" s="178">
        <v>43137154</v>
      </c>
      <c r="K137" s="178">
        <v>113764190.2</v>
      </c>
      <c r="L137" s="178">
        <v>119573504.84999999</v>
      </c>
      <c r="M137" s="178">
        <v>1336984096.52</v>
      </c>
      <c r="N137" s="283">
        <f t="shared" si="7"/>
        <v>1715075657.55</v>
      </c>
    </row>
    <row r="138" spans="1:14" s="171" customFormat="1" ht="21" customHeight="1">
      <c r="A138" s="171" t="s">
        <v>417</v>
      </c>
      <c r="B138" s="970" t="s">
        <v>1114</v>
      </c>
      <c r="C138" s="178">
        <v>1234738.9500000002</v>
      </c>
      <c r="D138" s="178">
        <v>2710368.75</v>
      </c>
      <c r="E138" s="178">
        <v>4400189.75</v>
      </c>
      <c r="F138" s="178">
        <v>4547752.93</v>
      </c>
      <c r="G138" s="178">
        <v>5161166.29</v>
      </c>
      <c r="H138" s="178">
        <v>7132971.7800000003</v>
      </c>
      <c r="I138" s="178">
        <v>14045625.41</v>
      </c>
      <c r="J138" s="178">
        <v>17399852.640000001</v>
      </c>
      <c r="K138" s="178">
        <v>57968374.18</v>
      </c>
      <c r="L138" s="178">
        <v>65104152.270000003</v>
      </c>
      <c r="M138" s="178">
        <v>1262317937.5599999</v>
      </c>
      <c r="N138" s="283">
        <f t="shared" si="7"/>
        <v>1442023130.51</v>
      </c>
    </row>
    <row r="139" spans="1:14" s="171" customFormat="1" ht="14.15" customHeight="1">
      <c r="A139" s="171" t="s">
        <v>21</v>
      </c>
      <c r="B139" s="970" t="s">
        <v>1115</v>
      </c>
      <c r="C139" s="145">
        <v>607669.33000000007</v>
      </c>
      <c r="D139" s="145">
        <v>2033626.98</v>
      </c>
      <c r="E139" s="145">
        <v>4068436.8800000004</v>
      </c>
      <c r="F139" s="145">
        <v>5088425.8099999996</v>
      </c>
      <c r="G139" s="145">
        <v>6057797.4400000004</v>
      </c>
      <c r="H139" s="145">
        <v>6544138.1500000004</v>
      </c>
      <c r="I139" s="145">
        <v>15122550.17</v>
      </c>
      <c r="J139" s="145">
        <v>14310941.67</v>
      </c>
      <c r="K139" s="145">
        <v>30813161.440000001</v>
      </c>
      <c r="L139" s="145">
        <v>19695946.899999999</v>
      </c>
      <c r="M139" s="145">
        <v>67643929.200000003</v>
      </c>
      <c r="N139" s="283">
        <f t="shared" si="7"/>
        <v>171986623.97000003</v>
      </c>
    </row>
    <row r="140" spans="1:14" s="171" customFormat="1" ht="14.15" customHeight="1">
      <c r="A140" s="171" t="s">
        <v>422</v>
      </c>
      <c r="B140" s="970" t="s">
        <v>1116</v>
      </c>
      <c r="C140" s="145">
        <v>1938091.4900000002</v>
      </c>
      <c r="D140" s="145">
        <v>6106363.7899999991</v>
      </c>
      <c r="E140" s="145">
        <v>10453146.129999999</v>
      </c>
      <c r="F140" s="145">
        <v>13897980.92</v>
      </c>
      <c r="G140" s="145">
        <v>19692020.030000001</v>
      </c>
      <c r="H140" s="145">
        <v>20604093.289999999</v>
      </c>
      <c r="I140" s="145">
        <v>50248987.539999999</v>
      </c>
      <c r="J140" s="145">
        <v>51801340.420000002</v>
      </c>
      <c r="K140" s="145">
        <v>125065271.69</v>
      </c>
      <c r="L140" s="145">
        <v>107925041.27</v>
      </c>
      <c r="M140" s="145">
        <v>855807604.63999999</v>
      </c>
      <c r="N140" s="283">
        <f t="shared" si="7"/>
        <v>1263539941.21</v>
      </c>
    </row>
    <row r="141" spans="1:14" s="171" customFormat="1" ht="14.15" customHeight="1">
      <c r="A141" s="171" t="s">
        <v>425</v>
      </c>
      <c r="B141" s="970" t="s">
        <v>1117</v>
      </c>
      <c r="C141" s="145">
        <v>590693.19000000006</v>
      </c>
      <c r="D141" s="145">
        <v>1901456.92</v>
      </c>
      <c r="E141" s="145">
        <v>3299793.5900000003</v>
      </c>
      <c r="F141" s="145">
        <v>4323670.47</v>
      </c>
      <c r="G141" s="145">
        <v>5610104.7300000004</v>
      </c>
      <c r="H141" s="145">
        <v>7287726.5999999996</v>
      </c>
      <c r="I141" s="145">
        <v>14875806.6</v>
      </c>
      <c r="J141" s="145">
        <v>13977929.809999999</v>
      </c>
      <c r="K141" s="145">
        <v>27510384.800000001</v>
      </c>
      <c r="L141" s="145">
        <v>18694735.18</v>
      </c>
      <c r="M141" s="145">
        <v>54053357.979999997</v>
      </c>
      <c r="N141" s="283">
        <f t="shared" si="7"/>
        <v>152125659.86999997</v>
      </c>
    </row>
    <row r="142" spans="1:14" s="171" customFormat="1" ht="14.15" customHeight="1">
      <c r="A142" s="171" t="s">
        <v>427</v>
      </c>
      <c r="B142" s="970" t="s">
        <v>1118</v>
      </c>
      <c r="C142" s="145">
        <v>7002281.4700000007</v>
      </c>
      <c r="D142" s="145">
        <v>25268803.689999998</v>
      </c>
      <c r="E142" s="145">
        <v>51063074.519999996</v>
      </c>
      <c r="F142" s="145">
        <v>68444195.689999998</v>
      </c>
      <c r="G142" s="145">
        <v>83657165.480000004</v>
      </c>
      <c r="H142" s="145">
        <v>98678118.109999999</v>
      </c>
      <c r="I142" s="145">
        <v>240332955.91</v>
      </c>
      <c r="J142" s="145">
        <v>262100888.80000001</v>
      </c>
      <c r="K142" s="145">
        <v>577185860.84000003</v>
      </c>
      <c r="L142" s="145">
        <v>440428848.36000001</v>
      </c>
      <c r="M142" s="145">
        <v>1265820415.8900001</v>
      </c>
      <c r="N142" s="283">
        <f t="shared" si="7"/>
        <v>3119982608.7600002</v>
      </c>
    </row>
    <row r="143" spans="1:14" s="171" customFormat="1" ht="21" customHeight="1">
      <c r="A143" s="171" t="s">
        <v>429</v>
      </c>
      <c r="B143" s="970" t="s">
        <v>1119</v>
      </c>
      <c r="C143" s="145">
        <v>3340510.76</v>
      </c>
      <c r="D143" s="145">
        <v>10410654.32</v>
      </c>
      <c r="E143" s="145">
        <v>17169700.419999998</v>
      </c>
      <c r="F143" s="145">
        <v>21804351.359999999</v>
      </c>
      <c r="G143" s="145">
        <v>26603777.23</v>
      </c>
      <c r="H143" s="145">
        <v>30816138.390000001</v>
      </c>
      <c r="I143" s="145">
        <v>83728583.020000011</v>
      </c>
      <c r="J143" s="145">
        <v>86978881.159999996</v>
      </c>
      <c r="K143" s="145">
        <v>170999077.75</v>
      </c>
      <c r="L143" s="145">
        <v>119183658.48</v>
      </c>
      <c r="M143" s="145">
        <v>425006480.07999998</v>
      </c>
      <c r="N143" s="283">
        <f t="shared" si="7"/>
        <v>996041812.97000003</v>
      </c>
    </row>
    <row r="144" spans="1:14" s="171" customFormat="1" ht="14.15" customHeight="1">
      <c r="A144" s="145" t="s">
        <v>432</v>
      </c>
      <c r="B144" s="964" t="s">
        <v>1120</v>
      </c>
      <c r="C144" s="145">
        <v>1233942.75</v>
      </c>
      <c r="D144" s="145">
        <v>5531301.5300000003</v>
      </c>
      <c r="E144" s="145">
        <v>9645127.9199999999</v>
      </c>
      <c r="F144" s="145">
        <v>14182567.58</v>
      </c>
      <c r="G144" s="145">
        <v>16943558.699999999</v>
      </c>
      <c r="H144" s="145">
        <v>21553902.140000001</v>
      </c>
      <c r="I144" s="145">
        <v>50113332.799999997</v>
      </c>
      <c r="J144" s="145">
        <v>47803329.969999999</v>
      </c>
      <c r="K144" s="145">
        <v>88328584.5</v>
      </c>
      <c r="L144" s="145">
        <v>53816836.640000001</v>
      </c>
      <c r="M144" s="145">
        <v>109358759.84999999</v>
      </c>
      <c r="N144" s="283">
        <f t="shared" si="7"/>
        <v>418511244.38</v>
      </c>
    </row>
    <row r="145" spans="1:14" s="171" customFormat="1" ht="14.15" customHeight="1">
      <c r="A145" s="171" t="s">
        <v>435</v>
      </c>
      <c r="B145" s="970" t="s">
        <v>1121</v>
      </c>
      <c r="C145" s="145">
        <v>541136.31999999995</v>
      </c>
      <c r="D145" s="145">
        <v>1128486.03</v>
      </c>
      <c r="E145" s="145">
        <v>1653853.8399999999</v>
      </c>
      <c r="F145" s="145">
        <v>2389267.54</v>
      </c>
      <c r="G145" s="145">
        <v>3070583.09</v>
      </c>
      <c r="H145" s="145">
        <v>3830752.47</v>
      </c>
      <c r="I145" s="145">
        <v>8599587.0199999996</v>
      </c>
      <c r="J145" s="145">
        <v>9735389.5099999998</v>
      </c>
      <c r="K145" s="145">
        <v>20539430.300000001</v>
      </c>
      <c r="L145" s="145">
        <v>18978717.030000001</v>
      </c>
      <c r="M145" s="145">
        <v>129661766.52</v>
      </c>
      <c r="N145" s="283">
        <f t="shared" si="7"/>
        <v>200128969.67000002</v>
      </c>
    </row>
    <row r="146" spans="1:14" s="171" customFormat="1" ht="14.15" customHeight="1">
      <c r="A146" s="171" t="s">
        <v>438</v>
      </c>
      <c r="B146" s="970" t="s">
        <v>1122</v>
      </c>
      <c r="C146" s="145">
        <v>6203892.8300000001</v>
      </c>
      <c r="D146" s="145">
        <v>17489432.629999999</v>
      </c>
      <c r="E146" s="145">
        <v>30923212.580000002</v>
      </c>
      <c r="F146" s="145">
        <v>42017479.880000003</v>
      </c>
      <c r="G146" s="145">
        <v>47123418.619999997</v>
      </c>
      <c r="H146" s="145">
        <v>58517289.560000002</v>
      </c>
      <c r="I146" s="145">
        <v>140065002.53999999</v>
      </c>
      <c r="J146" s="145">
        <v>143785514.56</v>
      </c>
      <c r="K146" s="145">
        <v>269409656.94999999</v>
      </c>
      <c r="L146" s="145">
        <v>218617257.03</v>
      </c>
      <c r="M146" s="145">
        <v>1120653225.8099999</v>
      </c>
      <c r="N146" s="283">
        <f t="shared" si="7"/>
        <v>2094805382.9899998</v>
      </c>
    </row>
    <row r="147" spans="1:14" s="171" customFormat="1" ht="14.15" customHeight="1">
      <c r="A147" s="171" t="s">
        <v>314</v>
      </c>
      <c r="B147" s="970" t="s">
        <v>1123</v>
      </c>
      <c r="C147" s="145">
        <v>3043194.83</v>
      </c>
      <c r="D147" s="145">
        <v>8459283.3900000006</v>
      </c>
      <c r="E147" s="145">
        <v>15971233.219999999</v>
      </c>
      <c r="F147" s="145">
        <v>21036811.120000001</v>
      </c>
      <c r="G147" s="145">
        <v>25773949.300000001</v>
      </c>
      <c r="H147" s="145">
        <v>31598947.489999998</v>
      </c>
      <c r="I147" s="145">
        <v>74609962.909999996</v>
      </c>
      <c r="J147" s="145">
        <v>83831838.439999998</v>
      </c>
      <c r="K147" s="145">
        <v>218977489.49000001</v>
      </c>
      <c r="L147" s="145">
        <v>185940961.91</v>
      </c>
      <c r="M147" s="145">
        <v>792953600.75</v>
      </c>
      <c r="N147" s="283">
        <f t="shared" si="7"/>
        <v>1462197272.8499999</v>
      </c>
    </row>
    <row r="148" spans="1:14" s="171" customFormat="1" ht="21" customHeight="1">
      <c r="A148" s="171" t="s">
        <v>318</v>
      </c>
      <c r="B148" s="970" t="s">
        <v>1124</v>
      </c>
      <c r="C148" s="145">
        <v>1255126.6599999999</v>
      </c>
      <c r="D148" s="145">
        <v>3872073.0500000003</v>
      </c>
      <c r="E148" s="145">
        <v>7140990.4699999997</v>
      </c>
      <c r="F148" s="145">
        <v>8732264.4399999995</v>
      </c>
      <c r="G148" s="145">
        <v>11841819.300000001</v>
      </c>
      <c r="H148" s="145">
        <v>13026761.789999999</v>
      </c>
      <c r="I148" s="145">
        <v>33351900.189999998</v>
      </c>
      <c r="J148" s="145">
        <v>35468744.060000002</v>
      </c>
      <c r="K148" s="145">
        <v>90210918.719999999</v>
      </c>
      <c r="L148" s="145">
        <v>81034255.189999998</v>
      </c>
      <c r="M148" s="145">
        <v>283694318.50999999</v>
      </c>
      <c r="N148" s="283">
        <f t="shared" si="7"/>
        <v>569629172.38</v>
      </c>
    </row>
    <row r="149" spans="1:14" s="171" customFormat="1" ht="14.15" customHeight="1">
      <c r="A149" s="171" t="s">
        <v>322</v>
      </c>
      <c r="B149" s="970" t="s">
        <v>1125</v>
      </c>
      <c r="C149" s="145">
        <v>1143560.27</v>
      </c>
      <c r="D149" s="145">
        <v>3571822.8299999996</v>
      </c>
      <c r="E149" s="145">
        <v>6197966.8400000008</v>
      </c>
      <c r="F149" s="145">
        <v>8398216.9800000004</v>
      </c>
      <c r="G149" s="145">
        <v>10475346.01</v>
      </c>
      <c r="H149" s="145">
        <v>14316990.27</v>
      </c>
      <c r="I149" s="145">
        <v>30485785.939999998</v>
      </c>
      <c r="J149" s="145">
        <v>27857803.039999999</v>
      </c>
      <c r="K149" s="145">
        <v>43945816.109999999</v>
      </c>
      <c r="L149" s="145">
        <v>29575322.190000001</v>
      </c>
      <c r="M149" s="145">
        <v>118670549.19</v>
      </c>
      <c r="N149" s="283">
        <f t="shared" si="7"/>
        <v>294639179.67000002</v>
      </c>
    </row>
    <row r="150" spans="1:14" s="171" customFormat="1" ht="14.15" customHeight="1">
      <c r="A150" s="171" t="s">
        <v>326</v>
      </c>
      <c r="B150" s="970" t="s">
        <v>1126</v>
      </c>
      <c r="C150" s="145">
        <v>9569757.1700000018</v>
      </c>
      <c r="D150" s="145">
        <v>33866574.200000003</v>
      </c>
      <c r="E150" s="145">
        <v>72107033.799999997</v>
      </c>
      <c r="F150" s="145">
        <v>94933299.640000001</v>
      </c>
      <c r="G150" s="145">
        <v>113822838.43000001</v>
      </c>
      <c r="H150" s="145">
        <v>139923973.75999999</v>
      </c>
      <c r="I150" s="145">
        <v>333331346.71000004</v>
      </c>
      <c r="J150" s="145">
        <v>338733386.87</v>
      </c>
      <c r="K150" s="145">
        <v>757996748.03999996</v>
      </c>
      <c r="L150" s="145">
        <v>576065361.5</v>
      </c>
      <c r="M150" s="145">
        <v>1838399572.0699999</v>
      </c>
      <c r="N150" s="283">
        <f t="shared" si="7"/>
        <v>4308749892.1899996</v>
      </c>
    </row>
    <row r="151" spans="1:14" s="171" customFormat="1" ht="14.15" customHeight="1">
      <c r="A151" s="171" t="s">
        <v>330</v>
      </c>
      <c r="B151" s="970" t="s">
        <v>1127</v>
      </c>
      <c r="C151" s="145">
        <v>12842642.24</v>
      </c>
      <c r="D151" s="145">
        <v>43117721.170000002</v>
      </c>
      <c r="E151" s="145">
        <v>89229714.400000006</v>
      </c>
      <c r="F151" s="145">
        <v>118211078.58</v>
      </c>
      <c r="G151" s="145">
        <v>139152155.56999999</v>
      </c>
      <c r="H151" s="145">
        <v>164795177.27000001</v>
      </c>
      <c r="I151" s="145">
        <v>379466938.67000002</v>
      </c>
      <c r="J151" s="145">
        <v>361895002.64999998</v>
      </c>
      <c r="K151" s="145">
        <v>783248470.04999995</v>
      </c>
      <c r="L151" s="145">
        <v>581413824.40999997</v>
      </c>
      <c r="M151" s="145">
        <v>2957569999.1399999</v>
      </c>
      <c r="N151" s="283">
        <f t="shared" si="7"/>
        <v>5630942724.1499996</v>
      </c>
    </row>
    <row r="152" spans="1:14" s="171" customFormat="1" ht="14.15" customHeight="1">
      <c r="A152" s="171" t="s">
        <v>334</v>
      </c>
      <c r="B152" s="970" t="s">
        <v>1128</v>
      </c>
      <c r="C152" s="145">
        <v>252137.75999999998</v>
      </c>
      <c r="D152" s="145">
        <v>975199.5</v>
      </c>
      <c r="E152" s="145">
        <v>1794141.7600000002</v>
      </c>
      <c r="F152" s="145">
        <v>2273405.7000000002</v>
      </c>
      <c r="G152" s="145">
        <v>2519487.63</v>
      </c>
      <c r="H152" s="145">
        <v>3218039.42</v>
      </c>
      <c r="I152" s="145">
        <v>8032224.4100000001</v>
      </c>
      <c r="J152" s="145">
        <v>6890958.4399999995</v>
      </c>
      <c r="K152" s="145">
        <v>14165873.210000001</v>
      </c>
      <c r="L152" s="145">
        <v>10724901.41</v>
      </c>
      <c r="M152" s="145">
        <v>28377240.149999999</v>
      </c>
      <c r="N152" s="283">
        <f t="shared" si="7"/>
        <v>79223609.389999986</v>
      </c>
    </row>
    <row r="153" spans="1:14" s="171" customFormat="1" ht="21" customHeight="1">
      <c r="A153" s="171" t="s">
        <v>338</v>
      </c>
      <c r="B153" s="970" t="s">
        <v>1129</v>
      </c>
      <c r="C153" s="145">
        <v>2271074.85</v>
      </c>
      <c r="D153" s="145">
        <v>7870316.3100000005</v>
      </c>
      <c r="E153" s="145">
        <v>16170389.069999998</v>
      </c>
      <c r="F153" s="145">
        <v>22568624.57</v>
      </c>
      <c r="G153" s="145">
        <v>25407765.809999999</v>
      </c>
      <c r="H153" s="145">
        <v>32332036.239999998</v>
      </c>
      <c r="I153" s="145">
        <v>71808975.840000004</v>
      </c>
      <c r="J153" s="145">
        <v>63841045.049999997</v>
      </c>
      <c r="K153" s="145">
        <v>108873533.76000001</v>
      </c>
      <c r="L153" s="145">
        <v>63152116.479999997</v>
      </c>
      <c r="M153" s="145">
        <v>115308027.23999999</v>
      </c>
      <c r="N153" s="283">
        <f t="shared" si="7"/>
        <v>529603905.22000003</v>
      </c>
    </row>
    <row r="154" spans="1:14" s="171" customFormat="1" ht="14.15" customHeight="1">
      <c r="A154" s="171" t="s">
        <v>342</v>
      </c>
      <c r="B154" s="970" t="s">
        <v>1130</v>
      </c>
      <c r="C154" s="145">
        <v>636638.38</v>
      </c>
      <c r="D154" s="145">
        <v>1936366.2700000003</v>
      </c>
      <c r="E154" s="145">
        <v>2811284.4400000004</v>
      </c>
      <c r="F154" s="145">
        <v>3867385.16</v>
      </c>
      <c r="G154" s="145">
        <v>4598292.68</v>
      </c>
      <c r="H154" s="145">
        <v>6597040.8799999999</v>
      </c>
      <c r="I154" s="145">
        <v>14033650</v>
      </c>
      <c r="J154" s="145">
        <v>16837458.23</v>
      </c>
      <c r="K154" s="145">
        <v>49668081.329999998</v>
      </c>
      <c r="L154" s="145">
        <v>52250116.359999999</v>
      </c>
      <c r="M154" s="145">
        <v>409567729.69999999</v>
      </c>
      <c r="N154" s="283">
        <f t="shared" si="7"/>
        <v>562804043.43000007</v>
      </c>
    </row>
    <row r="155" spans="1:14" s="171" customFormat="1" ht="14.15" customHeight="1">
      <c r="A155" s="171" t="s">
        <v>346</v>
      </c>
      <c r="B155" s="970" t="s">
        <v>1131</v>
      </c>
      <c r="C155" s="145">
        <v>4397469.4700000007</v>
      </c>
      <c r="D155" s="145">
        <v>17319020.030000001</v>
      </c>
      <c r="E155" s="145">
        <v>36681738.420000002</v>
      </c>
      <c r="F155" s="145">
        <v>53256398.43</v>
      </c>
      <c r="G155" s="145">
        <v>62760566.399999999</v>
      </c>
      <c r="H155" s="145">
        <v>75548932.180000007</v>
      </c>
      <c r="I155" s="145">
        <v>177352308.13</v>
      </c>
      <c r="J155" s="145">
        <v>182434187.42000002</v>
      </c>
      <c r="K155" s="145">
        <v>400098092.91000003</v>
      </c>
      <c r="L155" s="145">
        <v>297967256.62</v>
      </c>
      <c r="M155" s="145">
        <v>691718945.78999996</v>
      </c>
      <c r="N155" s="283">
        <f t="shared" si="7"/>
        <v>1999534915.8000002</v>
      </c>
    </row>
    <row r="156" spans="1:14" s="171" customFormat="1" ht="14.15" customHeight="1">
      <c r="A156" s="171" t="s">
        <v>350</v>
      </c>
      <c r="B156" s="970" t="s">
        <v>1132</v>
      </c>
      <c r="C156" s="145">
        <v>1006099.7</v>
      </c>
      <c r="D156" s="145">
        <v>3243962.57</v>
      </c>
      <c r="E156" s="145">
        <v>5324466.88</v>
      </c>
      <c r="F156" s="145">
        <v>7010313.7999999998</v>
      </c>
      <c r="G156" s="145">
        <v>7883793.96</v>
      </c>
      <c r="H156" s="145">
        <v>11017720.699999999</v>
      </c>
      <c r="I156" s="145">
        <v>25498701.140000001</v>
      </c>
      <c r="J156" s="145">
        <v>23995521.66</v>
      </c>
      <c r="K156" s="145">
        <v>48888951.109999999</v>
      </c>
      <c r="L156" s="145">
        <v>40328079.960000001</v>
      </c>
      <c r="M156" s="145">
        <v>171116259.09999999</v>
      </c>
      <c r="N156" s="283">
        <f t="shared" si="7"/>
        <v>345313870.57999998</v>
      </c>
    </row>
    <row r="157" spans="1:14" s="171" customFormat="1" ht="14.15" customHeight="1">
      <c r="A157" s="171" t="s">
        <v>354</v>
      </c>
      <c r="B157" s="970" t="s">
        <v>1133</v>
      </c>
      <c r="C157" s="145">
        <v>14545785.149999999</v>
      </c>
      <c r="D157" s="145">
        <v>46976282.600000001</v>
      </c>
      <c r="E157" s="145">
        <v>90957670.960000008</v>
      </c>
      <c r="F157" s="145">
        <v>121417078.76000001</v>
      </c>
      <c r="G157" s="145">
        <v>140531973.31</v>
      </c>
      <c r="H157" s="145">
        <v>173075698.78999999</v>
      </c>
      <c r="I157" s="145">
        <v>423026674.91000003</v>
      </c>
      <c r="J157" s="145">
        <v>438069057.04000002</v>
      </c>
      <c r="K157" s="145">
        <v>985321761.39999998</v>
      </c>
      <c r="L157" s="145">
        <v>676721884.04999995</v>
      </c>
      <c r="M157" s="145">
        <v>6269085145.9799995</v>
      </c>
      <c r="N157" s="283">
        <f t="shared" ref="N157:N165" si="8">SUM(C157:M157)</f>
        <v>9379729012.9500008</v>
      </c>
    </row>
    <row r="158" spans="1:14" s="171" customFormat="1" ht="21" customHeight="1">
      <c r="A158" s="171" t="s">
        <v>22</v>
      </c>
      <c r="B158" s="970" t="s">
        <v>1134</v>
      </c>
      <c r="C158" s="145">
        <v>6770189.1299999999</v>
      </c>
      <c r="D158" s="145">
        <v>21610828.559999999</v>
      </c>
      <c r="E158" s="145">
        <v>41780328.649999999</v>
      </c>
      <c r="F158" s="145">
        <v>54254853.049999997</v>
      </c>
      <c r="G158" s="145">
        <v>69000430.680000007</v>
      </c>
      <c r="H158" s="145">
        <v>85408478.280000001</v>
      </c>
      <c r="I158" s="145">
        <v>223774485.08999997</v>
      </c>
      <c r="J158" s="145">
        <v>219456440.50999999</v>
      </c>
      <c r="K158" s="145">
        <v>384593334.44999999</v>
      </c>
      <c r="L158" s="145">
        <v>263023119.22</v>
      </c>
      <c r="M158" s="145">
        <v>1420601255.8499999</v>
      </c>
      <c r="N158" s="283">
        <f t="shared" si="8"/>
        <v>2790273743.4700003</v>
      </c>
    </row>
    <row r="159" spans="1:14" s="171" customFormat="1" ht="14.15" customHeight="1">
      <c r="A159" s="171" t="s">
        <v>362</v>
      </c>
      <c r="B159" s="970" t="s">
        <v>1135</v>
      </c>
      <c r="C159" s="145">
        <v>1600676.06</v>
      </c>
      <c r="D159" s="145">
        <v>4880450.95</v>
      </c>
      <c r="E159" s="145">
        <v>8129593.0700000003</v>
      </c>
      <c r="F159" s="145">
        <v>11197733.310000001</v>
      </c>
      <c r="G159" s="145">
        <v>15766648.67</v>
      </c>
      <c r="H159" s="145">
        <v>20545729.539999999</v>
      </c>
      <c r="I159" s="145">
        <v>48801298</v>
      </c>
      <c r="J159" s="145">
        <v>51450321.670000002</v>
      </c>
      <c r="K159" s="145">
        <v>111383565.83</v>
      </c>
      <c r="L159" s="145">
        <v>94759655.150000006</v>
      </c>
      <c r="M159" s="145">
        <v>518157705.47000003</v>
      </c>
      <c r="N159" s="283">
        <f t="shared" si="8"/>
        <v>886673377.72000003</v>
      </c>
    </row>
    <row r="160" spans="1:14" s="171" customFormat="1" ht="14.15" customHeight="1">
      <c r="A160" s="171" t="s">
        <v>366</v>
      </c>
      <c r="B160" s="970" t="s">
        <v>1136</v>
      </c>
      <c r="C160" s="145">
        <v>1498823.3599999999</v>
      </c>
      <c r="D160" s="145">
        <v>4934615.47</v>
      </c>
      <c r="E160" s="145">
        <v>9629987.3099999987</v>
      </c>
      <c r="F160" s="145">
        <v>12091645.779999999</v>
      </c>
      <c r="G160" s="145">
        <v>15954115.029999999</v>
      </c>
      <c r="H160" s="145">
        <v>20450017.550000001</v>
      </c>
      <c r="I160" s="145">
        <v>51214222.019999996</v>
      </c>
      <c r="J160" s="145">
        <v>59307493.350000001</v>
      </c>
      <c r="K160" s="145">
        <v>128890650.05</v>
      </c>
      <c r="L160" s="145">
        <v>95247069.709999993</v>
      </c>
      <c r="M160" s="145">
        <v>340458540.12</v>
      </c>
      <c r="N160" s="283">
        <f t="shared" si="8"/>
        <v>739677179.75</v>
      </c>
    </row>
    <row r="161" spans="1:14" s="171" customFormat="1" ht="14.15" customHeight="1">
      <c r="A161" s="171" t="s">
        <v>370</v>
      </c>
      <c r="B161" s="970" t="s">
        <v>1137</v>
      </c>
      <c r="C161" s="145">
        <v>4872285.7300000004</v>
      </c>
      <c r="D161" s="145">
        <v>16794293.580000002</v>
      </c>
      <c r="E161" s="145">
        <v>31120941.32</v>
      </c>
      <c r="F161" s="145">
        <v>43694092.359999999</v>
      </c>
      <c r="G161" s="145">
        <v>51035669.280000001</v>
      </c>
      <c r="H161" s="145">
        <v>63252022.810000002</v>
      </c>
      <c r="I161" s="145">
        <v>151172147.07999998</v>
      </c>
      <c r="J161" s="145">
        <v>155970011.43000001</v>
      </c>
      <c r="K161" s="145">
        <v>387604023.92000002</v>
      </c>
      <c r="L161" s="145">
        <v>367108177.74000001</v>
      </c>
      <c r="M161" s="145">
        <v>1994359688.9300001</v>
      </c>
      <c r="N161" s="283">
        <f t="shared" si="8"/>
        <v>3266983354.1800003</v>
      </c>
    </row>
    <row r="162" spans="1:14" s="171" customFormat="1" ht="21" customHeight="1">
      <c r="A162" s="171" t="s">
        <v>23</v>
      </c>
      <c r="B162" s="970" t="s">
        <v>1138</v>
      </c>
      <c r="C162" s="145">
        <v>25389866.310000002</v>
      </c>
      <c r="D162" s="145">
        <v>80962068.659999996</v>
      </c>
      <c r="E162" s="145">
        <v>139610448.97999999</v>
      </c>
      <c r="F162" s="145">
        <v>190625271.56</v>
      </c>
      <c r="G162" s="145">
        <v>238450064.11000001</v>
      </c>
      <c r="H162" s="145">
        <v>294551077.11000001</v>
      </c>
      <c r="I162" s="145">
        <v>712441271.31999993</v>
      </c>
      <c r="J162" s="145">
        <v>773220707.48000002</v>
      </c>
      <c r="K162" s="145">
        <v>1927340677.51</v>
      </c>
      <c r="L162" s="145">
        <v>1658218485.27</v>
      </c>
      <c r="M162" s="145">
        <v>12232814139.040001</v>
      </c>
      <c r="N162" s="283">
        <f>SUM(C162:M162)</f>
        <v>18273624077.349998</v>
      </c>
    </row>
    <row r="163" spans="1:14" s="171" customFormat="1" ht="14.15" customHeight="1">
      <c r="A163" s="171" t="s">
        <v>375</v>
      </c>
      <c r="B163" s="970" t="s">
        <v>1139</v>
      </c>
      <c r="C163" s="145">
        <v>1362710.7</v>
      </c>
      <c r="D163" s="145">
        <v>4600408.29</v>
      </c>
      <c r="E163" s="145">
        <v>8764924.870000001</v>
      </c>
      <c r="F163" s="145">
        <v>12039296.33</v>
      </c>
      <c r="G163" s="145">
        <v>13895295.029999999</v>
      </c>
      <c r="H163" s="145">
        <v>16999994.870000001</v>
      </c>
      <c r="I163" s="145">
        <v>45273294.07</v>
      </c>
      <c r="J163" s="145">
        <v>54567750.409999996</v>
      </c>
      <c r="K163" s="145">
        <v>118367204.70999999</v>
      </c>
      <c r="L163" s="145">
        <v>80456680.680000007</v>
      </c>
      <c r="M163" s="145">
        <v>260063609.24000001</v>
      </c>
      <c r="N163" s="283">
        <f t="shared" si="8"/>
        <v>616391169.20000005</v>
      </c>
    </row>
    <row r="164" spans="1:14" s="171" customFormat="1" ht="14.15" customHeight="1">
      <c r="A164" s="171" t="s">
        <v>378</v>
      </c>
      <c r="B164" s="970" t="s">
        <v>1140</v>
      </c>
      <c r="C164" s="145">
        <v>1684467.81</v>
      </c>
      <c r="D164" s="145">
        <v>4586878.25</v>
      </c>
      <c r="E164" s="145">
        <v>6281467.3499999996</v>
      </c>
      <c r="F164" s="145">
        <v>7198476.29</v>
      </c>
      <c r="G164" s="145">
        <v>8531097.2699999996</v>
      </c>
      <c r="H164" s="145">
        <v>9640340.1099999994</v>
      </c>
      <c r="I164" s="145">
        <v>22863639.699999999</v>
      </c>
      <c r="J164" s="145">
        <v>26145923.579999998</v>
      </c>
      <c r="K164" s="145">
        <v>53013255.049999997</v>
      </c>
      <c r="L164" s="145">
        <v>46497501.32</v>
      </c>
      <c r="M164" s="145">
        <v>293716603.56</v>
      </c>
      <c r="N164" s="283">
        <f t="shared" si="8"/>
        <v>480159650.28999996</v>
      </c>
    </row>
    <row r="165" spans="1:14" s="171" customFormat="1" ht="14.15" customHeight="1">
      <c r="A165" s="171" t="s">
        <v>381</v>
      </c>
      <c r="B165" s="970" t="s">
        <v>1141</v>
      </c>
      <c r="C165" s="145">
        <v>2482786.59</v>
      </c>
      <c r="D165" s="145">
        <v>6538460.9299999997</v>
      </c>
      <c r="E165" s="145">
        <v>11301649.629999999</v>
      </c>
      <c r="F165" s="145">
        <v>14666864.42</v>
      </c>
      <c r="G165" s="145">
        <v>18461857.059999999</v>
      </c>
      <c r="H165" s="145">
        <v>22752174.25</v>
      </c>
      <c r="I165" s="145">
        <v>59485657.32</v>
      </c>
      <c r="J165" s="145">
        <v>61442731.18</v>
      </c>
      <c r="K165" s="145">
        <v>123040386.76000001</v>
      </c>
      <c r="L165" s="145">
        <v>95368621.019999996</v>
      </c>
      <c r="M165" s="145">
        <v>495314324.30000001</v>
      </c>
      <c r="N165" s="283">
        <f t="shared" si="8"/>
        <v>910855513.46000004</v>
      </c>
    </row>
    <row r="166" spans="1:14" ht="9" customHeight="1">
      <c r="A166" s="171"/>
      <c r="B166" s="970"/>
      <c r="C166" s="189"/>
      <c r="D166" s="189"/>
      <c r="E166" s="189"/>
      <c r="F166" s="189"/>
      <c r="G166" s="189"/>
      <c r="H166" s="189"/>
      <c r="I166" s="189"/>
      <c r="J166" s="171"/>
      <c r="K166" s="171"/>
      <c r="L166" s="171"/>
      <c r="M166" s="171"/>
      <c r="N166" s="210"/>
    </row>
    <row r="167" spans="1:14" s="184" customFormat="1" ht="18" customHeight="1">
      <c r="A167" s="182" t="s">
        <v>24</v>
      </c>
      <c r="B167" s="989"/>
      <c r="C167" s="183">
        <f>SUM(C128:C165)</f>
        <v>159095939.38999999</v>
      </c>
      <c r="D167" s="183">
        <f t="shared" ref="D167:N167" si="9">SUM(D128:D165)</f>
        <v>506354239.75999999</v>
      </c>
      <c r="E167" s="183">
        <f t="shared" si="9"/>
        <v>936551966.41000009</v>
      </c>
      <c r="F167" s="183">
        <f t="shared" si="9"/>
        <v>1245828206.8599999</v>
      </c>
      <c r="G167" s="183">
        <f t="shared" si="9"/>
        <v>1510820903.26</v>
      </c>
      <c r="H167" s="183">
        <f t="shared" si="9"/>
        <v>1841060933.6999996</v>
      </c>
      <c r="I167" s="183">
        <f t="shared" si="9"/>
        <v>4422875717.1099987</v>
      </c>
      <c r="J167" s="183">
        <f t="shared" si="9"/>
        <v>4575576226.0200005</v>
      </c>
      <c r="K167" s="183">
        <f t="shared" si="9"/>
        <v>10498989754.089998</v>
      </c>
      <c r="L167" s="183">
        <f t="shared" si="9"/>
        <v>8632111312.2999992</v>
      </c>
      <c r="M167" s="183">
        <f t="shared" si="9"/>
        <v>54261705211.030006</v>
      </c>
      <c r="N167" s="183">
        <f t="shared" si="9"/>
        <v>88590970409.930008</v>
      </c>
    </row>
    <row r="168" spans="1:14" s="184" customFormat="1" ht="18" customHeight="1">
      <c r="A168" s="182" t="s">
        <v>19</v>
      </c>
      <c r="B168" s="989"/>
      <c r="C168" s="270">
        <f t="shared" ref="C168:N168" si="10">C118</f>
        <v>372645504.34000009</v>
      </c>
      <c r="D168" s="270">
        <f t="shared" si="10"/>
        <v>1077421060.2900002</v>
      </c>
      <c r="E168" s="270">
        <f t="shared" si="10"/>
        <v>1803560651.4900002</v>
      </c>
      <c r="F168" s="270">
        <f t="shared" si="10"/>
        <v>2358663050.46</v>
      </c>
      <c r="G168" s="270">
        <f t="shared" si="10"/>
        <v>2885969249.4300008</v>
      </c>
      <c r="H168" s="270">
        <f t="shared" si="10"/>
        <v>3559343817.5299997</v>
      </c>
      <c r="I168" s="270">
        <f t="shared" si="10"/>
        <v>8722863390.0499992</v>
      </c>
      <c r="J168" s="270">
        <f t="shared" si="10"/>
        <v>9483844944.5499992</v>
      </c>
      <c r="K168" s="270">
        <f t="shared" si="10"/>
        <v>23994834008.980003</v>
      </c>
      <c r="L168" s="270">
        <f t="shared" si="10"/>
        <v>23063847356.619999</v>
      </c>
      <c r="M168" s="270">
        <f t="shared" si="10"/>
        <v>212065258095.26999</v>
      </c>
      <c r="N168" s="274">
        <f t="shared" si="10"/>
        <v>289388251129.00995</v>
      </c>
    </row>
    <row r="169" spans="1:14" s="171" customFormat="1" ht="18" customHeight="1">
      <c r="A169" s="182" t="s">
        <v>591</v>
      </c>
      <c r="B169" s="985" t="s">
        <v>1142</v>
      </c>
      <c r="C169" s="145">
        <v>59915846.649999999</v>
      </c>
      <c r="D169" s="145">
        <v>122791769.30000001</v>
      </c>
      <c r="E169" s="145">
        <v>155175606</v>
      </c>
      <c r="F169" s="145">
        <v>175241641.90000001</v>
      </c>
      <c r="G169" s="145">
        <v>184467385.84</v>
      </c>
      <c r="H169" s="145">
        <v>196517996.55000001</v>
      </c>
      <c r="I169" s="145">
        <v>416070292.81999999</v>
      </c>
      <c r="J169" s="145">
        <v>398254922.23000002</v>
      </c>
      <c r="K169" s="145">
        <v>904361169.49000001</v>
      </c>
      <c r="L169" s="145">
        <v>786372539.40999997</v>
      </c>
      <c r="M169" s="145">
        <v>9577544453</v>
      </c>
      <c r="N169" s="283">
        <f t="shared" ref="N169" si="11">SUM(C169:M169)</f>
        <v>12976713623.189999</v>
      </c>
    </row>
    <row r="170" spans="1:14" s="184" customFormat="1" ht="6" customHeight="1">
      <c r="A170" s="182"/>
      <c r="B170" s="989"/>
      <c r="C170" s="270"/>
      <c r="D170" s="270"/>
      <c r="E170" s="270"/>
      <c r="F170" s="270"/>
      <c r="G170" s="270"/>
      <c r="H170" s="270"/>
      <c r="I170" s="270"/>
      <c r="J170" s="270"/>
      <c r="K170" s="270"/>
      <c r="L170" s="270"/>
      <c r="M170" s="270"/>
      <c r="N170" s="274"/>
    </row>
    <row r="171" spans="1:14" s="184" customFormat="1" ht="18" customHeight="1">
      <c r="A171" s="182" t="s">
        <v>25</v>
      </c>
      <c r="B171" s="1005"/>
      <c r="C171" s="840">
        <f>SUM(C167:C169)</f>
        <v>591657290.38000011</v>
      </c>
      <c r="D171" s="840">
        <f t="shared" ref="D171:L171" si="12">SUM(D167:D169)</f>
        <v>1706567069.3500001</v>
      </c>
      <c r="E171" s="840">
        <f t="shared" si="12"/>
        <v>2895288223.9000006</v>
      </c>
      <c r="F171" s="840">
        <f t="shared" si="12"/>
        <v>3779732899.2199998</v>
      </c>
      <c r="G171" s="840">
        <f t="shared" si="12"/>
        <v>4581257538.5300007</v>
      </c>
      <c r="H171" s="840">
        <f t="shared" si="12"/>
        <v>5596922747.7799997</v>
      </c>
      <c r="I171" s="840">
        <f t="shared" si="12"/>
        <v>13561809399.979998</v>
      </c>
      <c r="J171" s="840">
        <f t="shared" si="12"/>
        <v>14457676092.799999</v>
      </c>
      <c r="K171" s="840">
        <f t="shared" si="12"/>
        <v>35398184932.559998</v>
      </c>
      <c r="L171" s="840">
        <f t="shared" si="12"/>
        <v>32482331208.329998</v>
      </c>
      <c r="M171" s="840">
        <f>SUM(M167:M169)</f>
        <v>275904507759.29999</v>
      </c>
      <c r="N171" s="841">
        <f>SUM(N167:N169)</f>
        <v>390955935162.12994</v>
      </c>
    </row>
    <row r="172" spans="1:14" ht="9" customHeight="1"/>
    <row r="173" spans="1:14" s="1071" customFormat="1" ht="10" customHeight="1">
      <c r="A173" s="1070" t="s">
        <v>15</v>
      </c>
      <c r="B173" s="968"/>
      <c r="N173" s="1078"/>
    </row>
    <row r="174" spans="1:14" s="1071" customFormat="1" ht="10" customHeight="1">
      <c r="A174" s="1070" t="s">
        <v>592</v>
      </c>
      <c r="B174" s="968"/>
      <c r="N174" s="1077"/>
    </row>
    <row r="175" spans="1:14" s="667" customFormat="1" ht="12.75" customHeight="1">
      <c r="A175" s="745" t="s">
        <v>930</v>
      </c>
      <c r="B175" s="991"/>
      <c r="C175" s="668"/>
      <c r="D175" s="668"/>
      <c r="E175" s="668"/>
      <c r="F175" s="669"/>
    </row>
    <row r="181" spans="2:2" s="1278" customFormat="1" ht="11.5">
      <c r="B181" s="968"/>
    </row>
    <row r="182" spans="2:2" s="1278" customFormat="1" ht="10" customHeight="1">
      <c r="B182" s="968"/>
    </row>
  </sheetData>
  <customSheetViews>
    <customSheetView guid="{E6BBE5A7-0B25-4EE8-BA45-5EA5DBAF3AD4}" showPageBreaks="1" outlineSymbols="0" printArea="1">
      <selection activeCell="A4" sqref="A4"/>
      <rowBreaks count="4" manualBreakCount="4">
        <brk id="43" max="16383" man="1"/>
        <brk id="86" max="12" man="1"/>
        <brk id="129" max="12" man="1"/>
        <brk id="173" max="12" man="1"/>
      </rowBreaks>
      <pageMargins left="0.25" right="0.25" top="0.5" bottom="1" header="0.5" footer="0.5"/>
      <printOptions horizontalCentered="1"/>
      <pageSetup scale="61" firstPageNumber="7" fitToHeight="5" orientation="landscape" useFirstPageNumber="1" r:id="rId1"/>
      <headerFooter alignWithMargins="0"/>
    </customSheetView>
  </customSheetViews>
  <hyperlinks>
    <hyperlink ref="O1" location="TOC!A1" display="Back" xr:uid="{00000000-0004-0000-0800-000000000000}"/>
  </hyperlinks>
  <pageMargins left="0.5" right="0.25" top="0.4" bottom="0.25" header="0.25" footer="0.25"/>
  <pageSetup scale="67" firstPageNumber="7" fitToHeight="4" orientation="landscape" r:id="rId2"/>
  <headerFooter scaleWithDoc="0">
    <oddHeader>&amp;R&amp;P</oddHeader>
  </headerFooter>
  <rowBreaks count="3" manualBreakCount="3">
    <brk id="42" max="12" man="1"/>
    <brk id="84" max="12" man="1"/>
    <brk id="120"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39</vt:i4>
      </vt:variant>
    </vt:vector>
  </HeadingPairs>
  <TitlesOfParts>
    <vt:vector size="78" baseType="lpstr">
      <vt:lpstr>Cover</vt:lpstr>
      <vt:lpstr>TOC</vt:lpstr>
      <vt:lpstr>RevExp</vt:lpstr>
      <vt:lpstr>ByAcct</vt:lpstr>
      <vt:lpstr>1.1</vt:lpstr>
      <vt:lpstr>1.2</vt:lpstr>
      <vt:lpstr>1.3</vt:lpstr>
      <vt:lpstr>1.4</vt:lpstr>
      <vt:lpstr>1.5</vt:lpstr>
      <vt:lpstr>1.6</vt:lpstr>
      <vt:lpstr>1.6p</vt:lpstr>
      <vt:lpstr>1.7</vt:lpstr>
      <vt:lpstr>1.8-1.9</vt:lpstr>
      <vt:lpstr>1.10</vt:lpstr>
      <vt:lpstr>2.1</vt:lpstr>
      <vt:lpstr>2.2</vt:lpstr>
      <vt:lpstr>2.3</vt:lpstr>
      <vt:lpstr>3.1</vt:lpstr>
      <vt:lpstr>4.1</vt:lpstr>
      <vt:lpstr>4.1_v1</vt:lpstr>
      <vt:lpstr>4.1k</vt:lpstr>
      <vt:lpstr>4.2</vt:lpstr>
      <vt:lpstr>4.3</vt:lpstr>
      <vt:lpstr>5.1</vt:lpstr>
      <vt:lpstr>5.2</vt:lpstr>
      <vt:lpstr>5.3-5.4</vt:lpstr>
      <vt:lpstr>5.5</vt:lpstr>
      <vt:lpstr>5.6</vt:lpstr>
      <vt:lpstr>5.7</vt:lpstr>
      <vt:lpstr>6.1</vt:lpstr>
      <vt:lpstr>6.1p</vt:lpstr>
      <vt:lpstr>6.2</vt:lpstr>
      <vt:lpstr>6.2p</vt:lpstr>
      <vt:lpstr>6.3</vt:lpstr>
      <vt:lpstr>6.3p</vt:lpstr>
      <vt:lpstr>6.4</vt:lpstr>
      <vt:lpstr>6.4p</vt:lpstr>
      <vt:lpstr>7.1</vt:lpstr>
      <vt:lpstr>Directory</vt:lpstr>
      <vt:lpstr>'3.1'!OLE_LINK1</vt:lpstr>
      <vt:lpstr>'1.1'!Print_Area</vt:lpstr>
      <vt:lpstr>'1.10'!Print_Area</vt:lpstr>
      <vt:lpstr>'1.2'!Print_Area</vt:lpstr>
      <vt:lpstr>'1.3'!Print_Area</vt:lpstr>
      <vt:lpstr>'1.4'!Print_Area</vt:lpstr>
      <vt:lpstr>'1.5'!Print_Area</vt:lpstr>
      <vt:lpstr>'1.6'!Print_Area</vt:lpstr>
      <vt:lpstr>'1.6p'!Print_Area</vt:lpstr>
      <vt:lpstr>'1.7'!Print_Area</vt:lpstr>
      <vt:lpstr>'1.8-1.9'!Print_Area</vt:lpstr>
      <vt:lpstr>'2.1'!Print_Area</vt:lpstr>
      <vt:lpstr>'2.2'!Print_Area</vt:lpstr>
      <vt:lpstr>'2.3'!Print_Area</vt:lpstr>
      <vt:lpstr>'3.1'!Print_Area</vt:lpstr>
      <vt:lpstr>'4.1'!Print_Area</vt:lpstr>
      <vt:lpstr>'4.1_v1'!Print_Area</vt:lpstr>
      <vt:lpstr>'4.1k'!Print_Area</vt:lpstr>
      <vt:lpstr>'4.2'!Print_Area</vt:lpstr>
      <vt:lpstr>'4.3'!Print_Area</vt:lpstr>
      <vt:lpstr>'5.1'!Print_Area</vt:lpstr>
      <vt:lpstr>'5.2'!Print_Area</vt:lpstr>
      <vt:lpstr>'5.3-5.4'!Print_Area</vt:lpstr>
      <vt:lpstr>'5.5'!Print_Area</vt:lpstr>
      <vt:lpstr>'5.6'!Print_Area</vt:lpstr>
      <vt:lpstr>'5.7'!Print_Area</vt:lpstr>
      <vt:lpstr>'6.1'!Print_Area</vt:lpstr>
      <vt:lpstr>'6.1p'!Print_Area</vt:lpstr>
      <vt:lpstr>'6.2'!Print_Area</vt:lpstr>
      <vt:lpstr>'6.2p'!Print_Area</vt:lpstr>
      <vt:lpstr>'6.3'!Print_Area</vt:lpstr>
      <vt:lpstr>'6.4'!Print_Area</vt:lpstr>
      <vt:lpstr>'7.1'!Print_Area</vt:lpstr>
      <vt:lpstr>ByAcct!Print_Area</vt:lpstr>
      <vt:lpstr>Cover!Print_Area</vt:lpstr>
      <vt:lpstr>Directory!Print_Area</vt:lpstr>
      <vt:lpstr>RevExp!Print_Area</vt:lpstr>
      <vt:lpstr>TOC!Print_Area</vt:lpstr>
      <vt:lpstr>'3.1'!Print_Titles</vt:lpstr>
    </vt:vector>
  </TitlesOfParts>
  <Company>Virginia IT Infrastructure Partnership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Report for Fiscal Year 2020</dc:title>
  <dc:subject>Department of Taxation's Annual Report for Fiscal Year 2020</dc:subject>
  <dc:creator>Virginia Tax</dc:creator>
  <cp:lastModifiedBy>Jonathan Knopf</cp:lastModifiedBy>
  <cp:lastPrinted>2025-02-03T21:17:56Z</cp:lastPrinted>
  <dcterms:created xsi:type="dcterms:W3CDTF">2008-10-20T18:07:18Z</dcterms:created>
  <dcterms:modified xsi:type="dcterms:W3CDTF">2025-03-18T13:53:27Z</dcterms:modified>
</cp:coreProperties>
</file>