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autoCompressPictures="0" defaultThemeVersion="124226"/>
  <mc:AlternateContent xmlns:mc="http://schemas.openxmlformats.org/markup-compatibility/2006">
    <mc:Choice Requires="x15">
      <x15ac:absPath xmlns:x15ac="http://schemas.microsoft.com/office/spreadsheetml/2010/11/ac" url="C:\Users\hekto\Desktop\Kurser\2024-2025\Introduction_to_Business_Analytics\Assignment\Assignment_1\"/>
    </mc:Choice>
  </mc:AlternateContent>
  <xr:revisionPtr revIDLastSave="0" documentId="13_ncr:1_{94D932A0-2951-469B-A887-6268AC3ADD97}" xr6:coauthVersionLast="47" xr6:coauthVersionMax="47" xr10:uidLastSave="{00000000-0000-0000-0000-000000000000}"/>
  <bookViews>
    <workbookView xWindow="-120" yWindow="-120" windowWidth="29040" windowHeight="15840" tabRatio="893" activeTab="3" xr2:uid="{00000000-000D-0000-FFFF-FFFF00000000}"/>
  </bookViews>
  <sheets>
    <sheet name="Name and Matriculation Number" sheetId="7" r:id="rId1"/>
    <sheet name="Q1.President’s Inn Guest" sheetId="6" r:id="rId2"/>
    <sheet name="Q2.Sales Volume" sheetId="4" r:id="rId3"/>
    <sheet name="Q3.Batteries Life Expectancy" sheetId="2" r:id="rId4"/>
    <sheet name="Q4.Flamingo Grill" sheetId="5" r:id="rId5"/>
  </sheets>
  <definedNames>
    <definedName name="anscount" hidden="1">1</definedName>
    <definedName name="limcount" hidden="1">1</definedName>
    <definedName name="sencount" hidden="1">1</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lhs1" localSheetId="4" hidden="1">'Q4.Flamingo Grill'!$H$13:$H$20</definedName>
    <definedName name="solver_lhs2" localSheetId="4" hidden="1">'Q4.Flamingo Grill'!$H$13:$H$20</definedName>
    <definedName name="solver_lhs3" localSheetId="4" hidden="1">'Q4.Flamingo Grill'!$H$13:$H$20</definedName>
    <definedName name="solver_lhs4" localSheetId="4" hidden="1">'Q4.Flamingo Grill'!$H$13:$H$20</definedName>
    <definedName name="solver_lin" localSheetId="4" hidden="1">2</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tri" hidden="1">1000</definedName>
    <definedName name="solver_num" localSheetId="4" hidden="1">0</definedName>
    <definedName name="solver_nwt" localSheetId="4" hidden="1">1</definedName>
    <definedName name="solver_pre" localSheetId="4" hidden="1">0.000001</definedName>
    <definedName name="solver_rbv" localSheetId="4" hidden="1">2</definedName>
    <definedName name="solver_rel1" localSheetId="4" hidden="1">3</definedName>
    <definedName name="solver_rel2" localSheetId="4" hidden="1">3</definedName>
    <definedName name="solver_rel3" localSheetId="4" hidden="1">3</definedName>
    <definedName name="solver_rel4" localSheetId="4" hidden="1">3</definedName>
    <definedName name="solver_rhs1" localSheetId="4" hidden="1">'Q4.Flamingo Grill'!$I$17:$I$24</definedName>
    <definedName name="solver_rhs2" localSheetId="4" hidden="1">'Q4.Flamingo Grill'!$I$17:$I$24</definedName>
    <definedName name="solver_rhs3" localSheetId="4" hidden="1">'Q4.Flamingo Grill'!$I$17:$I$24</definedName>
    <definedName name="solver_rhs4" localSheetId="4" hidden="1">'Q4.Flamingo Grill'!$I$17:$I$24</definedName>
    <definedName name="solver_rlx" localSheetId="4" hidden="1">2</definedName>
    <definedName name="solver_rsd" localSheetId="4" hidden="1">0</definedName>
    <definedName name="solver_rsmp" hidden="1">2</definedName>
    <definedName name="solver_scl" localSheetId="4" hidden="1">2</definedName>
    <definedName name="solver_seed" hidden="1">0</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18" i="4" l="1"/>
  <c r="N18" i="4"/>
  <c r="M18" i="4"/>
  <c r="L18" i="4"/>
  <c r="K18" i="4"/>
  <c r="J18" i="4"/>
  <c r="E131" i="4"/>
  <c r="F174" i="4"/>
  <c r="F21" i="4"/>
  <c r="F22" i="4"/>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20" i="4"/>
  <c r="H174" i="4"/>
  <c r="H173" i="4"/>
  <c r="G174" i="4"/>
  <c r="G173" i="4"/>
  <c r="H21" i="4"/>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20" i="4"/>
  <c r="H19" i="4"/>
  <c r="G21" i="4"/>
  <c r="G22" i="4"/>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20" i="4"/>
  <c r="G19" i="4"/>
  <c r="F19" i="4"/>
  <c r="E174" i="4"/>
  <c r="D174" i="4"/>
  <c r="C174" i="4"/>
  <c r="C173" i="4"/>
  <c r="Q18" i="4" l="1"/>
  <c r="Q16" i="4" s="1"/>
  <c r="E25" i="4" l="1"/>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C23" i="4"/>
  <c r="C22" i="4"/>
  <c r="D23" i="4"/>
  <c r="E24"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P2" i="6"/>
  <c r="O2" i="6"/>
  <c r="N2" i="6"/>
  <c r="L2"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 i="6"/>
  <c r="K2"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 i="6"/>
  <c r="J2" i="6"/>
  <c r="XFD1048550" i="5"/>
  <c r="XFD1048551" i="5"/>
  <c r="XFD1048552" i="5"/>
  <c r="XFD1048553" i="5"/>
  <c r="XFD1048554" i="5"/>
  <c r="XFD1048555" i="5" a="1"/>
  <c r="XFD1048555" i="5" s="1"/>
  <c r="XFD1048556" i="5"/>
  <c r="XFD1048557" i="5"/>
  <c r="XFD1048558" i="5"/>
  <c r="XFD1048559" i="5"/>
  <c r="XFD1048560" i="5"/>
  <c r="XFD1048561" i="5"/>
  <c r="XFD1048562" i="5" a="1"/>
  <c r="XFD1048562" i="5"/>
  <c r="XFD1048563" i="5" a="1"/>
  <c r="XFD1048563" i="5" s="1"/>
  <c r="XFD1048564" i="5" a="1"/>
  <c r="XFD1048564" i="5"/>
  <c r="XFD1048565" i="5" a="1"/>
  <c r="XFD1048565" i="5"/>
  <c r="XFD1048566" i="5" a="1"/>
  <c r="XFD1048566" i="5"/>
  <c r="XFD1048567" i="5" a="1"/>
  <c r="XFD1048567" i="5" s="1"/>
  <c r="XFD1048568" i="5" a="1"/>
  <c r="XFD1048568" i="5"/>
  <c r="XFD1048569" i="5" a="1"/>
  <c r="XFD1048569" i="5"/>
  <c r="XFD1048570" i="5" a="1"/>
  <c r="XFD1048570" i="5"/>
  <c r="XFD1048571" i="5" a="1"/>
  <c r="XFD1048571" i="5" s="1"/>
  <c r="XFD1048572" i="5" a="1"/>
  <c r="XFD1048572" i="5" s="1"/>
  <c r="XFD1048573" i="5" a="1"/>
  <c r="XFD1048573" i="5"/>
  <c r="XFD1048574" i="5" a="1"/>
  <c r="XFD1048574" i="5"/>
  <c r="XFD1048575" i="5" a="1"/>
  <c r="XFD1048575" i="5"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<sst xmlns="http://schemas.openxmlformats.org/spreadsheetml/2006/main" count="184" uniqueCount="140">
  <si>
    <t>Week</t>
  </si>
  <si>
    <t>Decision Variables</t>
  </si>
  <si>
    <t>Objective Function</t>
  </si>
  <si>
    <t>1. Null and alternative hypothese</t>
  </si>
  <si>
    <t>3. p-value</t>
  </si>
  <si>
    <t>4. Critical Value (z_α)</t>
  </si>
  <si>
    <t>Moving Average Forecast</t>
  </si>
  <si>
    <t>k=4</t>
  </si>
  <si>
    <t>Exponential Smoothing</t>
  </si>
  <si>
    <t>α=0.5</t>
  </si>
  <si>
    <t>α=0.25</t>
  </si>
  <si>
    <t>α=0.75</t>
  </si>
  <si>
    <t>5. Your conclusion:</t>
  </si>
  <si>
    <t>Guest First Name</t>
  </si>
  <si>
    <t>Guest Last Name</t>
  </si>
  <si>
    <t>Room Type</t>
  </si>
  <si>
    <t>Arrival Date</t>
  </si>
  <si>
    <t>Departure Date</t>
  </si>
  <si>
    <t>No of Guests</t>
  </si>
  <si>
    <t>Daily Rate
(up to 2 guests)</t>
  </si>
  <si>
    <t>Barry</t>
  </si>
  <si>
    <t>Lloyd</t>
  </si>
  <si>
    <t>Hayes</t>
  </si>
  <si>
    <t>Bay-window</t>
  </si>
  <si>
    <t>Michael</t>
  </si>
  <si>
    <t>Lunsford</t>
  </si>
  <si>
    <t>Cleveland</t>
  </si>
  <si>
    <t>Ocean</t>
  </si>
  <si>
    <t>Kim</t>
  </si>
  <si>
    <t>Kyuong</t>
  </si>
  <si>
    <t>Coolidge</t>
  </si>
  <si>
    <t>Edward</t>
  </si>
  <si>
    <t>Holt</t>
  </si>
  <si>
    <t>Washington</t>
  </si>
  <si>
    <t>Thomas</t>
  </si>
  <si>
    <t>Collins</t>
  </si>
  <si>
    <t>Lincoln</t>
  </si>
  <si>
    <t>Paul</t>
  </si>
  <si>
    <t>Bodkin</t>
  </si>
  <si>
    <t>Randall</t>
  </si>
  <si>
    <t>Battenburg</t>
  </si>
  <si>
    <t>Calvin</t>
  </si>
  <si>
    <t>Nowotney</t>
  </si>
  <si>
    <t>Homer</t>
  </si>
  <si>
    <t>Gonzalez</t>
  </si>
  <si>
    <t>David</t>
  </si>
  <si>
    <t>Sanchez</t>
  </si>
  <si>
    <t>Jefferson</t>
  </si>
  <si>
    <t>Buster</t>
  </si>
  <si>
    <t>Whisler</t>
  </si>
  <si>
    <t>Jackson</t>
  </si>
  <si>
    <t>Julia</t>
  </si>
  <si>
    <t>Martines</t>
  </si>
  <si>
    <t>Reagan</t>
  </si>
  <si>
    <t>Samuel</t>
  </si>
  <si>
    <t>Truman</t>
  </si>
  <si>
    <t>Side</t>
  </si>
  <si>
    <t>Arthur</t>
  </si>
  <si>
    <t>Gottfried</t>
  </si>
  <si>
    <t>Garfield</t>
  </si>
  <si>
    <t>Darlene</t>
  </si>
  <si>
    <t>Shore</t>
  </si>
  <si>
    <t>Carlyle</t>
  </si>
  <si>
    <t>Charleston</t>
  </si>
  <si>
    <t>Quincy Adams</t>
  </si>
  <si>
    <t>Albert</t>
  </si>
  <si>
    <t>Goldstone</t>
  </si>
  <si>
    <t>Johnson</t>
  </si>
  <si>
    <t>Charlene</t>
  </si>
  <si>
    <t>Tilson</t>
  </si>
  <si>
    <t>Van Buren</t>
  </si>
  <si>
    <t>Everett</t>
  </si>
  <si>
    <t>Chad</t>
  </si>
  <si>
    <t>Madison</t>
  </si>
  <si>
    <t>Gerald</t>
  </si>
  <si>
    <t>Pittsfield</t>
  </si>
  <si>
    <t>Roosevelt</t>
  </si>
  <si>
    <t>Jamal</t>
  </si>
  <si>
    <t>Smith</t>
  </si>
  <si>
    <t>Tyler</t>
  </si>
  <si>
    <t>Louis</t>
  </si>
  <si>
    <t>Paris</t>
  </si>
  <si>
    <t>Nigel</t>
  </si>
  <si>
    <t>Stratford</t>
  </si>
  <si>
    <t>Eisenhower</t>
  </si>
  <si>
    <t>Peter</t>
  </si>
  <si>
    <t>Willington</t>
  </si>
  <si>
    <t>Grant</t>
  </si>
  <si>
    <t>Ronald</t>
  </si>
  <si>
    <t>Cartier</t>
  </si>
  <si>
    <t>Trista</t>
  </si>
  <si>
    <t>Leven</t>
  </si>
  <si>
    <t>Valerie</t>
  </si>
  <si>
    <t>Snell</t>
  </si>
  <si>
    <t>Adams</t>
  </si>
  <si>
    <t>Walter</t>
  </si>
  <si>
    <t>Acton</t>
  </si>
  <si>
    <t>Polk</t>
  </si>
  <si>
    <t>Xavier</t>
  </si>
  <si>
    <t>Trezza</t>
  </si>
  <si>
    <t>McKinley</t>
  </si>
  <si>
    <t>Zachary</t>
  </si>
  <si>
    <t>Miller</t>
  </si>
  <si>
    <t>Total Costs</t>
  </si>
  <si>
    <t>Total Sales Revenue</t>
  </si>
  <si>
    <t>Overall No. of Orders</t>
  </si>
  <si>
    <t>Order ID</t>
  </si>
  <si>
    <t>Room Name</t>
  </si>
  <si>
    <t>Adjusted Daily Rate (including the extra costs on meals for additional guests)</t>
  </si>
  <si>
    <t>Name:</t>
  </si>
  <si>
    <t>Matriculation Number:</t>
  </si>
  <si>
    <t>Please enter the following information</t>
  </si>
  <si>
    <t>2. Test Statistic (z)</t>
  </si>
  <si>
    <t>Sales
Volume</t>
  </si>
  <si>
    <t>k=6</t>
  </si>
  <si>
    <t>k=5</t>
  </si>
  <si>
    <t>Advertising
Media</t>
  </si>
  <si>
    <t>Exposure
Rating per Ad</t>
  </si>
  <si>
    <t>New
Customers
per Ad</t>
  </si>
  <si>
    <t>Cost per Ad</t>
  </si>
  <si>
    <t>Television</t>
  </si>
  <si>
    <t>Radio</t>
  </si>
  <si>
    <t>Newspaper</t>
  </si>
  <si>
    <t xml:space="preserve">Number of television advertisements
with rating of 90 and 4000 new customers </t>
  </si>
  <si>
    <t>Number of radio advertisements
with rating of 25 and 2000 new customers</t>
  </si>
  <si>
    <t xml:space="preserve">Number of television advertisements
with rating of 55 and 1500 new customers </t>
  </si>
  <si>
    <t>Number of radio advertisements
with rating of 20 and 1200 new customers</t>
  </si>
  <si>
    <t xml:space="preserve">Number of newspaper advertisements
with rating of 10 and 1000 new customers </t>
  </si>
  <si>
    <t xml:space="preserve">Number of newspaper advertisements
with rating of 5 and 800 new customers </t>
  </si>
  <si>
    <t>Maximize Total Exposure Rating</t>
  </si>
  <si>
    <t>First 10 ads</t>
  </si>
  <si>
    <t>First 15 ads</t>
  </si>
  <si>
    <t>After 15 ads</t>
  </si>
  <si>
    <t>After 10 ads</t>
  </si>
  <si>
    <t>First 20 ads</t>
  </si>
  <si>
    <t>After 20 ads</t>
  </si>
  <si>
    <t>Number of Days
Stayed</t>
  </si>
  <si>
    <t>Hektor Dahlberg</t>
  </si>
  <si>
    <t>MSE</t>
  </si>
  <si>
    <t>OPTIMAL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</si>
</sst>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quot;$&quot;#,##0.00\)"/>
    <numFmt numFmtId="166" formatCode="[$$-409]#,##0.00"/>
  </numFmts>
  <fonts count="23" x14ac:knownFonts="1">
    <font>
      <sz val="10"/>
      <name val="Arial"/>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name val="Times New Roman"/>
      <family val="1"/>
    </font>
    <font>
      <b/>
      <sz val="12"/>
      <name val="Times New Roman"/>
      <family val="1"/>
    </font>
    <font>
      <sz val="10"/>
      <name val="Arial"/>
      <family val="2"/>
    </font>
    <font>
      <b/>
      <sz val="12"/>
      <color theme="1"/>
      <name val="Times New Roman"/>
      <family val="1"/>
    </font>
    <font>
      <b/>
      <sz val="14"/>
      <name val="Times New Roman"/>
      <family val="1"/>
    </font>
    <font>
      <b/>
      <sz val="11"/>
      <color theme="1"/>
      <name val="Calibri"/>
      <family val="2"/>
      <scheme val="minor"/>
    </font>
    <font>
      <sz val="11"/>
      <color theme="1"/>
      <name val="Arial"/>
      <family val="2"/>
    </font>
    <font>
      <b/>
      <sz val="12"/>
      <color indexed="8"/>
      <name val="Times New Roman"/>
      <family val="1"/>
    </font>
    <font>
      <sz val="12"/>
      <color theme="1"/>
      <name val="Times New Roman"/>
      <family val="1"/>
    </font>
    <font>
      <b/>
      <sz val="20"/>
      <name val="Arial"/>
      <family val="2"/>
    </font>
    <font>
      <sz val="10"/>
      <name val="Calibri"/>
      <family val="2"/>
      <scheme val="minor"/>
    </font>
    <font>
      <b/>
      <sz val="12"/>
      <name val="Calibri"/>
      <family val="2"/>
      <scheme val="minor"/>
    </font>
    <font>
      <b/>
      <sz val="14"/>
      <name val="Calibri"/>
      <family val="2"/>
      <scheme val="minor"/>
    </font>
    <font>
      <sz val="10"/>
      <color theme="1"/>
      <name val="Calibri"/>
      <family val="2"/>
      <scheme val="minor"/>
    </font>
    <font>
      <sz val="12"/>
      <name val="Calibri"/>
      <family val="2"/>
      <scheme val="minor"/>
    </font>
    <font>
      <sz val="8"/>
      <name val="Arial"/>
      <family val="2"/>
    </font>
  </fonts>
  <fills count="10">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D8E5BC"/>
        <bgColor indexed="64"/>
      </patternFill>
    </fill>
    <fill>
      <patternFill patternType="solid">
        <fgColor rgb="FFB9CCE5"/>
        <bgColor indexed="64"/>
      </patternFill>
    </fill>
    <fill>
      <patternFill patternType="solid">
        <fgColor theme="4" tint="0.59999389629810485"/>
        <bgColor indexed="64"/>
      </patternFill>
    </fill>
    <fill>
      <patternFill patternType="solid">
        <fgColor theme="6" tint="0.39997558519241921"/>
        <bgColor indexed="64"/>
      </patternFill>
    </fill>
  </fills>
  <borders count="62">
    <border>
      <left/>
      <right/>
      <top/>
      <bottom/>
      <diagonal/>
    </border>
    <border>
      <left/>
      <right/>
      <top/>
      <bottom style="double">
        <color auto="1"/>
      </bottom>
      <diagonal/>
    </border>
    <border>
      <left/>
      <right/>
      <top/>
      <bottom style="thin">
        <color indexed="64"/>
      </bottom>
      <diagonal/>
    </border>
    <border>
      <left/>
      <right/>
      <top style="thin">
        <color indexed="64"/>
      </top>
      <bottom style="thin">
        <color indexed="64"/>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style="medium">
        <color auto="1"/>
      </left>
      <right style="thin">
        <color indexed="64"/>
      </right>
      <top style="thin">
        <color auto="1"/>
      </top>
      <bottom/>
      <diagonal/>
    </border>
    <border>
      <left/>
      <right style="thin">
        <color indexed="64"/>
      </right>
      <top style="double">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double">
        <color indexed="64"/>
      </bottom>
      <diagonal/>
    </border>
    <border>
      <left style="thin">
        <color auto="1"/>
      </left>
      <right style="thin">
        <color auto="1"/>
      </right>
      <top/>
      <bottom style="double">
        <color indexed="64"/>
      </bottom>
      <diagonal/>
    </border>
    <border>
      <left style="thin">
        <color auto="1"/>
      </left>
      <right style="medium">
        <color auto="1"/>
      </right>
      <top/>
      <bottom style="double">
        <color indexed="64"/>
      </bottom>
      <diagonal/>
    </border>
    <border>
      <left/>
      <right style="medium">
        <color auto="1"/>
      </right>
      <top/>
      <bottom style="double">
        <color auto="1"/>
      </bottom>
      <diagonal/>
    </border>
    <border>
      <left/>
      <right style="thin">
        <color indexed="64"/>
      </right>
      <top/>
      <bottom style="double">
        <color auto="1"/>
      </bottom>
      <diagonal/>
    </border>
    <border>
      <left/>
      <right style="thin">
        <color indexed="64"/>
      </right>
      <top style="medium">
        <color indexed="64"/>
      </top>
      <bottom/>
      <diagonal/>
    </border>
    <border>
      <left/>
      <right style="medium">
        <color auto="1"/>
      </right>
      <top style="medium">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hair">
        <color theme="0" tint="-0.499984740745262"/>
      </right>
      <top style="double">
        <color auto="1"/>
      </top>
      <bottom style="hair">
        <color theme="0" tint="-0.499984740745262"/>
      </bottom>
      <diagonal/>
    </border>
    <border>
      <left style="hair">
        <color theme="0" tint="-0.499984740745262"/>
      </left>
      <right style="hair">
        <color theme="0" tint="-0.499984740745262"/>
      </right>
      <top style="double">
        <color auto="1"/>
      </top>
      <bottom style="hair">
        <color theme="0" tint="-0.499984740745262"/>
      </bottom>
      <diagonal/>
    </border>
    <border>
      <left style="thin">
        <color indexed="2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double">
        <color auto="1"/>
      </top>
      <bottom/>
      <diagonal/>
    </border>
    <border>
      <left style="hair">
        <color theme="0" tint="-0.499984740745262"/>
      </left>
      <right style="hair">
        <color theme="0" tint="-0.499984740745262"/>
      </right>
      <top style="double">
        <color auto="1"/>
      </top>
      <bottom/>
      <diagonal/>
    </border>
    <border>
      <left style="hair">
        <color theme="0" tint="-0.499984740745262"/>
      </left>
      <right/>
      <top style="double">
        <color auto="1"/>
      </top>
      <bottom/>
      <diagonal/>
    </border>
    <border>
      <left/>
      <right/>
      <top/>
      <bottom style="hair">
        <color theme="0" tint="-0.499984740745262"/>
      </bottom>
      <diagonal/>
    </border>
    <border>
      <left/>
      <right/>
      <top style="hair">
        <color theme="0" tint="-0.499984740745262"/>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auto="1"/>
      </right>
      <top/>
      <bottom style="medium">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style="hair">
        <color indexed="64"/>
      </left>
      <right/>
      <top/>
      <bottom style="thin">
        <color indexed="64"/>
      </bottom>
      <diagonal/>
    </border>
    <border>
      <left/>
      <right/>
      <top style="hair">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diagonal/>
    </border>
    <border>
      <left style="medium">
        <color auto="1"/>
      </left>
      <right/>
      <top style="medium">
        <color indexed="64"/>
      </top>
      <bottom/>
      <diagonal/>
    </border>
    <border>
      <left/>
      <right/>
      <top style="medium">
        <color indexed="64"/>
      </top>
      <bottom/>
      <diagonal/>
    </border>
    <border>
      <left style="medium">
        <color auto="1"/>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11">
    <xf numFmtId="0" fontId="0" fillId="0" borderId="0"/>
    <xf numFmtId="0" fontId="7" fillId="0" borderId="0"/>
    <xf numFmtId="164" fontId="9" fillId="0" borderId="0" applyFont="0" applyFill="0" applyBorder="0" applyAlignment="0" applyProtection="0"/>
    <xf numFmtId="0" fontId="5"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6" fillId="0" borderId="0"/>
  </cellStyleXfs>
  <cellXfs count="132">
    <xf numFmtId="0" fontId="0" fillId="0" borderId="0" xfId="0"/>
    <xf numFmtId="0" fontId="7" fillId="0" borderId="0" xfId="1"/>
    <xf numFmtId="0" fontId="5" fillId="0" borderId="0" xfId="3"/>
    <xf numFmtId="0" fontId="8" fillId="0" borderId="0" xfId="1" applyFont="1"/>
    <xf numFmtId="0" fontId="7" fillId="0" borderId="0" xfId="1" applyAlignment="1">
      <alignment horizontal="center" vertical="center"/>
    </xf>
    <xf numFmtId="0" fontId="8" fillId="0" borderId="0" xfId="1" applyFont="1" applyAlignment="1">
      <alignment horizontal="center" vertical="center"/>
    </xf>
    <xf numFmtId="0" fontId="13" fillId="0" borderId="0" xfId="7" applyFont="1"/>
    <xf numFmtId="164" fontId="13" fillId="0" borderId="0" xfId="7" applyNumberFormat="1" applyFont="1"/>
    <xf numFmtId="0" fontId="13" fillId="0" borderId="0" xfId="7" applyFont="1" applyAlignment="1">
      <alignment horizontal="center"/>
    </xf>
    <xf numFmtId="0" fontId="4" fillId="2" borderId="23" xfId="4" applyBorder="1" applyAlignment="1">
      <alignment horizontal="center"/>
    </xf>
    <xf numFmtId="0" fontId="4" fillId="2" borderId="23" xfId="4" applyBorder="1" applyAlignment="1"/>
    <xf numFmtId="14" fontId="4" fillId="2" borderId="23" xfId="4" applyNumberFormat="1" applyBorder="1" applyAlignment="1">
      <alignment horizontal="right"/>
    </xf>
    <xf numFmtId="0" fontId="4" fillId="2" borderId="23" xfId="4" applyBorder="1" applyAlignment="1">
      <alignment horizontal="right"/>
    </xf>
    <xf numFmtId="165" fontId="4" fillId="2" borderId="23" xfId="4" applyNumberFormat="1" applyBorder="1" applyAlignment="1">
      <alignment horizontal="right"/>
    </xf>
    <xf numFmtId="0" fontId="4" fillId="2" borderId="24" xfId="4" applyBorder="1" applyAlignment="1">
      <alignment horizontal="center"/>
    </xf>
    <xf numFmtId="0" fontId="4" fillId="2" borderId="24" xfId="4" applyBorder="1" applyAlignment="1"/>
    <xf numFmtId="14" fontId="4" fillId="2" borderId="24" xfId="4" applyNumberFormat="1" applyBorder="1" applyAlignment="1">
      <alignment horizontal="right"/>
    </xf>
    <xf numFmtId="0" fontId="4" fillId="2" borderId="24" xfId="4" applyBorder="1" applyAlignment="1">
      <alignment horizontal="right"/>
    </xf>
    <xf numFmtId="165" fontId="4" fillId="2" borderId="24" xfId="4" applyNumberFormat="1" applyBorder="1" applyAlignment="1">
      <alignment horizontal="right"/>
    </xf>
    <xf numFmtId="0" fontId="8" fillId="0" borderId="1" xfId="0" applyFont="1" applyBorder="1" applyAlignment="1">
      <alignment horizontal="center"/>
    </xf>
    <xf numFmtId="0" fontId="8" fillId="0" borderId="1" xfId="0" applyFont="1" applyBorder="1" applyAlignment="1">
      <alignment horizontal="center" wrapText="1"/>
    </xf>
    <xf numFmtId="0" fontId="14" fillId="0" borderId="1" xfId="10" applyFont="1" applyBorder="1" applyAlignment="1">
      <alignment horizontal="center" wrapText="1"/>
    </xf>
    <xf numFmtId="0" fontId="14" fillId="0" borderId="1" xfId="10" applyFont="1" applyBorder="1" applyAlignment="1">
      <alignment horizontal="center"/>
    </xf>
    <xf numFmtId="0" fontId="15" fillId="0" borderId="0" xfId="7" applyFont="1"/>
    <xf numFmtId="0" fontId="10" fillId="0" borderId="1" xfId="7" applyFont="1" applyBorder="1" applyAlignment="1">
      <alignment horizontal="center"/>
    </xf>
    <xf numFmtId="166" fontId="4" fillId="4" borderId="25" xfId="6" applyNumberFormat="1" applyBorder="1" applyAlignment="1"/>
    <xf numFmtId="0" fontId="4" fillId="4" borderId="26" xfId="6" applyBorder="1" applyAlignment="1"/>
    <xf numFmtId="166" fontId="4" fillId="4" borderId="27" xfId="6" applyNumberFormat="1" applyBorder="1" applyAlignment="1"/>
    <xf numFmtId="0" fontId="4" fillId="4" borderId="28" xfId="6" applyBorder="1" applyAlignment="1"/>
    <xf numFmtId="166" fontId="4" fillId="4" borderId="29" xfId="6" applyNumberFormat="1" applyBorder="1" applyAlignment="1"/>
    <xf numFmtId="0" fontId="3" fillId="3" borderId="30" xfId="5" applyFont="1" applyBorder="1" applyAlignment="1"/>
    <xf numFmtId="0" fontId="4" fillId="4" borderId="31" xfId="6" applyBorder="1" applyAlignment="1"/>
    <xf numFmtId="166" fontId="4" fillId="4" borderId="32" xfId="6" applyNumberFormat="1" applyBorder="1" applyAlignment="1"/>
    <xf numFmtId="0" fontId="16" fillId="0" borderId="0" xfId="0" applyFont="1"/>
    <xf numFmtId="0" fontId="16" fillId="0" borderId="0" xfId="0" applyFont="1" applyAlignment="1">
      <alignment horizontal="right"/>
    </xf>
    <xf numFmtId="0" fontId="4" fillId="4" borderId="0" xfId="6" applyAlignment="1">
      <alignment horizontal="right"/>
    </xf>
    <xf numFmtId="0" fontId="2" fillId="4" borderId="33" xfId="6" applyFont="1" applyBorder="1" applyAlignment="1">
      <alignment horizontal="left" vertical="center"/>
    </xf>
    <xf numFmtId="0" fontId="2" fillId="4" borderId="34" xfId="6" applyFont="1" applyBorder="1" applyAlignment="1">
      <alignment horizontal="left" vertical="center"/>
    </xf>
    <xf numFmtId="0" fontId="7" fillId="0" borderId="0" xfId="1" applyAlignment="1">
      <alignment horizontal="left"/>
    </xf>
    <xf numFmtId="0" fontId="5" fillId="0" borderId="5" xfId="3" applyBorder="1" applyAlignment="1">
      <alignment horizontal="right" vertical="center"/>
    </xf>
    <xf numFmtId="0" fontId="5" fillId="0" borderId="6" xfId="3" applyBorder="1" applyAlignment="1">
      <alignment horizontal="right" vertical="center"/>
    </xf>
    <xf numFmtId="0" fontId="5" fillId="0" borderId="7" xfId="3" applyBorder="1" applyAlignment="1">
      <alignment horizontal="right" vertical="center"/>
    </xf>
    <xf numFmtId="0" fontId="5" fillId="0" borderId="11" xfId="3" applyBorder="1" applyAlignment="1">
      <alignment horizontal="right" vertical="center"/>
    </xf>
    <xf numFmtId="0" fontId="5" fillId="0" borderId="4" xfId="3"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5" fillId="0" borderId="0" xfId="3" applyAlignment="1">
      <alignment horizontal="right" vertical="center"/>
    </xf>
    <xf numFmtId="0" fontId="12" fillId="0" borderId="0" xfId="3" applyFont="1" applyAlignment="1">
      <alignment horizontal="right" vertical="center"/>
    </xf>
    <xf numFmtId="0" fontId="5" fillId="0" borderId="0" xfId="3" applyAlignment="1">
      <alignment horizontal="right"/>
    </xf>
    <xf numFmtId="0" fontId="4" fillId="2" borderId="13" xfId="4" applyNumberFormat="1" applyBorder="1" applyAlignment="1">
      <alignment horizontal="right" vertical="center"/>
    </xf>
    <xf numFmtId="0" fontId="4" fillId="2" borderId="0" xfId="4" applyNumberFormat="1" applyAlignment="1">
      <alignment horizontal="right" vertical="center"/>
    </xf>
    <xf numFmtId="0" fontId="4" fillId="2" borderId="11" xfId="4" applyNumberFormat="1" applyBorder="1" applyAlignment="1">
      <alignment horizontal="right" vertical="center"/>
    </xf>
    <xf numFmtId="0" fontId="4" fillId="2" borderId="7" xfId="4" applyNumberFormat="1" applyBorder="1" applyAlignment="1">
      <alignment horizontal="right" vertical="center"/>
    </xf>
    <xf numFmtId="0" fontId="4" fillId="2" borderId="36" xfId="4" applyNumberFormat="1" applyBorder="1" applyAlignment="1">
      <alignment horizontal="right" vertical="center"/>
    </xf>
    <xf numFmtId="0" fontId="4" fillId="2" borderId="37" xfId="4" applyNumberFormat="1" applyBorder="1" applyAlignment="1">
      <alignment horizontal="right" vertical="center"/>
    </xf>
    <xf numFmtId="0" fontId="12" fillId="5" borderId="36" xfId="4" applyNumberFormat="1" applyFont="1" applyFill="1" applyBorder="1" applyAlignment="1">
      <alignment horizontal="right" vertical="center"/>
    </xf>
    <xf numFmtId="0" fontId="12" fillId="5" borderId="37" xfId="4" applyNumberFormat="1" applyFont="1" applyFill="1" applyBorder="1" applyAlignment="1">
      <alignment horizontal="right" vertical="center"/>
    </xf>
    <xf numFmtId="0" fontId="17" fillId="0" borderId="0" xfId="0" applyFont="1" applyAlignment="1">
      <alignment horizontal="center" vertical="center" wrapText="1"/>
    </xf>
    <xf numFmtId="0" fontId="17" fillId="0" borderId="2" xfId="0" applyFont="1" applyBorder="1" applyAlignment="1">
      <alignment horizontal="center" vertical="center" wrapText="1"/>
    </xf>
    <xf numFmtId="0" fontId="17" fillId="0" borderId="0" xfId="0" applyFont="1"/>
    <xf numFmtId="0" fontId="11" fillId="0" borderId="0" xfId="0" applyFont="1"/>
    <xf numFmtId="0" fontId="18" fillId="0" borderId="3" xfId="0" applyFont="1" applyBorder="1" applyAlignment="1">
      <alignment horizontal="center" vertical="center" wrapText="1"/>
    </xf>
    <xf numFmtId="0" fontId="19" fillId="0" borderId="3" xfId="0" applyFont="1" applyBorder="1" applyAlignment="1">
      <alignment vertical="center"/>
    </xf>
    <xf numFmtId="0" fontId="20" fillId="6" borderId="3" xfId="0" applyFont="1" applyFill="1" applyBorder="1"/>
    <xf numFmtId="0" fontId="2" fillId="6" borderId="39" xfId="6" applyFont="1" applyFill="1" applyBorder="1"/>
    <xf numFmtId="0" fontId="17" fillId="6" borderId="40" xfId="0" applyFont="1" applyFill="1" applyBorder="1"/>
    <xf numFmtId="0" fontId="21" fillId="0" borderId="0" xfId="0" applyFont="1" applyAlignment="1">
      <alignment horizontal="center" vertical="center"/>
    </xf>
    <xf numFmtId="0" fontId="1" fillId="2" borderId="43" xfId="4" applyNumberFormat="1" applyFont="1" applyBorder="1" applyAlignment="1">
      <alignment horizontal="center" vertical="center"/>
    </xf>
    <xf numFmtId="0" fontId="1" fillId="2" borderId="44" xfId="4" applyNumberFormat="1" applyFont="1" applyBorder="1" applyAlignment="1">
      <alignment horizontal="center" vertical="center"/>
    </xf>
    <xf numFmtId="0" fontId="21" fillId="0" borderId="2" xfId="0" applyFont="1" applyBorder="1" applyAlignment="1">
      <alignment horizontal="center" vertical="center"/>
    </xf>
    <xf numFmtId="0" fontId="1" fillId="2" borderId="40" xfId="4" applyNumberFormat="1" applyFont="1" applyBorder="1" applyAlignment="1">
      <alignment horizontal="center" vertical="center"/>
    </xf>
    <xf numFmtId="0" fontId="1" fillId="2" borderId="41" xfId="4" applyNumberFormat="1" applyFont="1" applyBorder="1" applyAlignment="1">
      <alignment horizontal="center" vertical="center"/>
    </xf>
    <xf numFmtId="0" fontId="1" fillId="2" borderId="38" xfId="4" applyNumberFormat="1" applyFont="1" applyBorder="1" applyAlignment="1">
      <alignment horizontal="center" vertical="center"/>
    </xf>
    <xf numFmtId="0" fontId="1" fillId="2" borderId="0" xfId="4" applyNumberFormat="1" applyFont="1" applyBorder="1" applyAlignment="1">
      <alignment horizontal="center" vertical="center"/>
    </xf>
    <xf numFmtId="0" fontId="1" fillId="2" borderId="45" xfId="4" applyNumberFormat="1" applyFont="1" applyBorder="1" applyAlignment="1">
      <alignment horizontal="center" vertical="center"/>
    </xf>
    <xf numFmtId="0" fontId="21" fillId="7" borderId="40" xfId="0" applyFont="1" applyFill="1" applyBorder="1" applyAlignment="1">
      <alignment horizontal="center" vertical="center"/>
    </xf>
    <xf numFmtId="0" fontId="21" fillId="7" borderId="41" xfId="0" applyFont="1" applyFill="1" applyBorder="1" applyAlignment="1">
      <alignment horizontal="center" vertical="center"/>
    </xf>
    <xf numFmtId="0" fontId="2" fillId="6" borderId="0" xfId="6" applyFont="1" applyFill="1" applyBorder="1"/>
    <xf numFmtId="0" fontId="2" fillId="6" borderId="48" xfId="6" applyFont="1" applyFill="1" applyBorder="1"/>
    <xf numFmtId="0" fontId="17" fillId="6" borderId="48" xfId="0" applyFont="1" applyFill="1" applyBorder="1"/>
    <xf numFmtId="0" fontId="17" fillId="0" borderId="48" xfId="0" applyFont="1" applyBorder="1" applyAlignment="1">
      <alignment horizontal="center" vertical="center" wrapText="1"/>
    </xf>
    <xf numFmtId="0" fontId="17" fillId="6" borderId="39" xfId="0" applyFont="1" applyFill="1" applyBorder="1"/>
    <xf numFmtId="0" fontId="21" fillId="0" borderId="43" xfId="0" applyFont="1" applyBorder="1" applyAlignment="1">
      <alignment horizontal="center" vertical="center"/>
    </xf>
    <xf numFmtId="0" fontId="21" fillId="0" borderId="40" xfId="0" applyFont="1" applyBorder="1" applyAlignment="1">
      <alignment horizontal="center" vertical="center"/>
    </xf>
    <xf numFmtId="0" fontId="16" fillId="0" borderId="35" xfId="0" applyFont="1" applyBorder="1" applyAlignment="1">
      <alignment horizontal="center"/>
    </xf>
    <xf numFmtId="0" fontId="10" fillId="0" borderId="22" xfId="3" applyFont="1" applyBorder="1" applyAlignment="1">
      <alignment horizontal="center" vertical="center" wrapText="1"/>
    </xf>
    <xf numFmtId="0" fontId="10" fillId="0" borderId="4" xfId="3" applyFont="1" applyBorder="1" applyAlignment="1">
      <alignment horizontal="center" vertical="center"/>
    </xf>
    <xf numFmtId="0" fontId="10" fillId="0" borderId="19" xfId="3" applyFont="1" applyBorder="1" applyAlignment="1">
      <alignment horizontal="center" vertical="center"/>
    </xf>
    <xf numFmtId="0" fontId="10" fillId="0" borderId="21" xfId="3" applyFont="1" applyBorder="1" applyAlignment="1">
      <alignment horizontal="center" vertical="center"/>
    </xf>
    <xf numFmtId="0" fontId="10" fillId="0" borderId="11" xfId="3" applyFont="1" applyBorder="1" applyAlignment="1">
      <alignment horizontal="center" vertical="center"/>
    </xf>
    <xf numFmtId="0" fontId="10" fillId="0" borderId="20" xfId="3" applyFont="1" applyBorder="1" applyAlignment="1">
      <alignment horizontal="center" vertical="center"/>
    </xf>
    <xf numFmtId="0" fontId="10" fillId="0" borderId="8" xfId="3" applyFont="1" applyBorder="1" applyAlignment="1">
      <alignment horizontal="center"/>
    </xf>
    <xf numFmtId="0" fontId="10" fillId="0" borderId="9" xfId="3" applyFont="1" applyBorder="1" applyAlignment="1">
      <alignment horizontal="center"/>
    </xf>
    <xf numFmtId="0" fontId="10" fillId="0" borderId="10" xfId="3" applyFont="1" applyBorder="1" applyAlignment="1">
      <alignment horizontal="center"/>
    </xf>
    <xf numFmtId="0" fontId="10" fillId="0" borderId="8" xfId="3" applyFont="1" applyBorder="1" applyAlignment="1">
      <alignment horizontal="center" vertical="center"/>
    </xf>
    <xf numFmtId="0" fontId="10" fillId="0" borderId="9" xfId="3" applyFont="1" applyBorder="1" applyAlignment="1">
      <alignment horizontal="center" vertical="center"/>
    </xf>
    <xf numFmtId="0" fontId="10" fillId="0" borderId="10" xfId="3" applyFont="1" applyBorder="1" applyAlignment="1">
      <alignment horizontal="center" vertical="center"/>
    </xf>
    <xf numFmtId="0" fontId="10" fillId="0" borderId="12" xfId="3" applyFont="1" applyBorder="1" applyAlignment="1">
      <alignment horizontal="center" vertical="center"/>
    </xf>
    <xf numFmtId="0" fontId="10" fillId="0" borderId="16" xfId="3" applyFont="1" applyBorder="1" applyAlignment="1">
      <alignment horizontal="center" vertical="center"/>
    </xf>
    <xf numFmtId="0" fontId="10" fillId="0" borderId="14" xfId="3" applyFont="1" applyBorder="1" applyAlignment="1">
      <alignment horizontal="center" vertical="center"/>
    </xf>
    <xf numFmtId="0" fontId="10" fillId="0" borderId="17" xfId="3" applyFont="1" applyBorder="1" applyAlignment="1">
      <alignment horizontal="center" vertical="center"/>
    </xf>
    <xf numFmtId="0" fontId="10" fillId="0" borderId="15" xfId="3" applyFont="1" applyBorder="1" applyAlignment="1">
      <alignment horizontal="center" vertical="center"/>
    </xf>
    <xf numFmtId="0" fontId="10" fillId="0" borderId="18" xfId="3" applyFont="1" applyBorder="1" applyAlignment="1">
      <alignment horizontal="center" vertical="center"/>
    </xf>
    <xf numFmtId="0" fontId="8" fillId="0" borderId="0" xfId="1" applyFont="1" applyAlignment="1">
      <alignment horizontal="center" vertical="center"/>
    </xf>
    <xf numFmtId="0" fontId="18" fillId="0" borderId="0" xfId="0" applyFont="1" applyAlignment="1">
      <alignment horizontal="center" vertical="center"/>
    </xf>
    <xf numFmtId="0" fontId="18" fillId="0" borderId="2" xfId="0" applyFont="1" applyBorder="1" applyAlignment="1">
      <alignment horizontal="center" vertical="center"/>
    </xf>
    <xf numFmtId="166" fontId="1" fillId="2" borderId="46" xfId="4" applyNumberFormat="1" applyFont="1" applyBorder="1" applyAlignment="1">
      <alignment horizontal="center" vertical="center"/>
    </xf>
    <xf numFmtId="166" fontId="1" fillId="2" borderId="47" xfId="4" applyNumberFormat="1" applyFont="1" applyBorder="1" applyAlignment="1">
      <alignment horizontal="center" vertical="center"/>
    </xf>
    <xf numFmtId="0" fontId="11" fillId="0" borderId="0" xfId="0" applyFont="1" applyAlignment="1">
      <alignment horizontal="center"/>
    </xf>
    <xf numFmtId="0" fontId="19" fillId="0" borderId="3" xfId="0" applyFont="1" applyBorder="1" applyAlignment="1">
      <alignment horizontal="center" vertical="center"/>
    </xf>
    <xf numFmtId="0" fontId="18" fillId="0" borderId="3" xfId="0" applyFont="1" applyBorder="1" applyAlignment="1">
      <alignment horizontal="center" vertical="center" wrapText="1"/>
    </xf>
    <xf numFmtId="0" fontId="18" fillId="0" borderId="42" xfId="0" applyFont="1" applyBorder="1" applyAlignment="1">
      <alignment horizontal="center" vertical="center"/>
    </xf>
    <xf numFmtId="0" fontId="12" fillId="6" borderId="49" xfId="3" applyFont="1" applyFill="1" applyBorder="1" applyAlignment="1">
      <alignment horizontal="right" vertical="center"/>
    </xf>
    <xf numFmtId="0" fontId="12" fillId="6" borderId="50" xfId="3" applyFont="1" applyFill="1" applyBorder="1" applyAlignment="1">
      <alignment horizontal="right" vertical="center"/>
    </xf>
    <xf numFmtId="0" fontId="12" fillId="6" borderId="51" xfId="3" applyFont="1" applyFill="1" applyBorder="1" applyAlignment="1">
      <alignment horizontal="right" vertical="center"/>
    </xf>
    <xf numFmtId="0" fontId="10" fillId="0" borderId="52" xfId="3" applyFont="1" applyBorder="1" applyAlignment="1">
      <alignment horizontal="center" vertical="center"/>
    </xf>
    <xf numFmtId="0" fontId="5" fillId="0" borderId="54" xfId="3" applyBorder="1" applyAlignment="1">
      <alignment horizontal="center"/>
    </xf>
    <xf numFmtId="0" fontId="5" fillId="0" borderId="22" xfId="3" applyBorder="1" applyAlignment="1">
      <alignment horizontal="center"/>
    </xf>
    <xf numFmtId="0" fontId="5" fillId="0" borderId="55" xfId="3" applyBorder="1" applyAlignment="1">
      <alignment horizontal="center"/>
    </xf>
    <xf numFmtId="0" fontId="5" fillId="0" borderId="35" xfId="3" applyBorder="1" applyAlignment="1">
      <alignment horizontal="center"/>
    </xf>
    <xf numFmtId="0" fontId="5" fillId="0" borderId="56" xfId="3" applyBorder="1" applyAlignment="1">
      <alignment horizontal="center"/>
    </xf>
    <xf numFmtId="0" fontId="5" fillId="0" borderId="57" xfId="3" applyBorder="1" applyAlignment="1">
      <alignment horizontal="center"/>
    </xf>
    <xf numFmtId="0" fontId="10" fillId="0" borderId="58" xfId="3" applyFont="1" applyBorder="1" applyAlignment="1">
      <alignment horizontal="center" vertical="center"/>
    </xf>
    <xf numFmtId="0" fontId="12" fillId="0" borderId="53" xfId="3" applyFont="1" applyBorder="1" applyAlignment="1">
      <alignment horizontal="center"/>
    </xf>
    <xf numFmtId="0" fontId="5" fillId="0" borderId="58" xfId="3" applyBorder="1" applyAlignment="1">
      <alignment horizontal="center"/>
    </xf>
    <xf numFmtId="0" fontId="5" fillId="0" borderId="59" xfId="3" applyBorder="1" applyAlignment="1">
      <alignment horizontal="center"/>
    </xf>
    <xf numFmtId="0" fontId="5" fillId="0" borderId="60" xfId="3" applyBorder="1" applyAlignment="1">
      <alignment horizontal="center"/>
    </xf>
    <xf numFmtId="0" fontId="5" fillId="8" borderId="61" xfId="3" applyFill="1" applyBorder="1" applyAlignment="1">
      <alignment horizontal="center"/>
    </xf>
    <xf numFmtId="0" fontId="5" fillId="8" borderId="58" xfId="3" applyFill="1" applyBorder="1" applyAlignment="1">
      <alignment horizontal="center"/>
    </xf>
    <xf numFmtId="0" fontId="5" fillId="9" borderId="58" xfId="3" applyFill="1" applyBorder="1" applyAlignment="1">
      <alignment horizontal="center"/>
    </xf>
    <xf numFmtId="0" fontId="5" fillId="9" borderId="57" xfId="3" applyFill="1" applyBorder="1" applyAlignment="1">
      <alignment horizontal="center"/>
    </xf>
  </cellXfs>
  <cellStyles count="11">
    <cellStyle name="40% - Accent1" xfId="4" builtinId="31"/>
    <cellStyle name="40% - Accent2" xfId="5" builtinId="35"/>
    <cellStyle name="40% - Accent3" xfId="6" builtinId="39"/>
    <cellStyle name="Currency 2" xfId="2" xr:uid="{00000000-0005-0000-0000-000003000000}"/>
    <cellStyle name="Currency 3" xfId="8" xr:uid="{00000000-0005-0000-0000-000004000000}"/>
    <cellStyle name="Normal" xfId="0" builtinId="0"/>
    <cellStyle name="Normal 2" xfId="1" xr:uid="{00000000-0005-0000-0000-000006000000}"/>
    <cellStyle name="Normal 3" xfId="3" xr:uid="{00000000-0005-0000-0000-000007000000}"/>
    <cellStyle name="Normal 4" xfId="7" xr:uid="{00000000-0005-0000-0000-000008000000}"/>
    <cellStyle name="Normal_Sheet2" xfId="10" xr:uid="{00000000-0005-0000-0000-000009000000}"/>
    <cellStyle name="Percent 2" xfId="9"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B9CCE5"/>
      <color rgb="FFD8E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drawing1.xml><?xml version="1.0" encoding="utf-8"?>
<xdr:wsDr xmlns:xdr="http://schemas.openxmlformats.org/drawingml/2006/spreadsheetDrawing" xmlns:a="http://schemas.openxmlformats.org/drawingml/2006/main">
  <xdr:oneCellAnchor>
    <xdr:from>
      <xdr:col>1</xdr:col>
      <xdr:colOff>118534</xdr:colOff>
      <xdr:row>33</xdr:row>
      <xdr:rowOff>25400</xdr:rowOff>
    </xdr:from>
    <xdr:ext cx="16369975" cy="688778"/>
    <xdr:sp macro="" textlink="">
      <xdr:nvSpPr>
        <xdr:cNvPr id="2" name="TextBox 1">
          <a:extLst>
            <a:ext uri="{FF2B5EF4-FFF2-40B4-BE49-F238E27FC236}">
              <a16:creationId xmlns:a16="http://schemas.microsoft.com/office/drawing/2014/main" id="{0BAE5CCB-A565-6645-9934-3BFE82435322}"/>
            </a:ext>
          </a:extLst>
        </xdr:cNvPr>
        <xdr:cNvSpPr txBox="1"/>
      </xdr:nvSpPr>
      <xdr:spPr>
        <a:xfrm>
          <a:off x="872067" y="7112000"/>
          <a:ext cx="163699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r>
            <a:rPr lang="en-GB" sz="1400">
              <a:latin typeface="Times New Roman" panose="02020603050405020304" pitchFamily="18" charset="0"/>
              <a:cs typeface="Times New Roman" panose="02020603050405020304" pitchFamily="18" charset="0"/>
            </a:rPr>
            <a:t>Please note:</a:t>
          </a:r>
        </a:p>
        <a:p>
          <a:pPr marL="285750" marR="0" indent="-2857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400" b="1">
              <a:latin typeface="Times New Roman" panose="02020603050405020304" pitchFamily="18" charset="0"/>
              <a:cs typeface="Times New Roman" panose="02020603050405020304" pitchFamily="18" charset="0"/>
            </a:rPr>
            <a:t>Daily Rate</a:t>
          </a:r>
          <a:r>
            <a:rPr lang="en-GB" sz="1400">
              <a:latin typeface="Times New Roman" panose="02020603050405020304" pitchFamily="18" charset="0"/>
              <a:cs typeface="Times New Roman" panose="02020603050405020304" pitchFamily="18" charset="0"/>
            </a:rPr>
            <a:t> (column I of the worksheet) is charged for the entire room (up to 2 guests), not for each guest.</a:t>
          </a:r>
        </a:p>
        <a:p>
          <a:pPr marL="285750" marR="0" indent="-2857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400" b="1">
              <a:latin typeface="Times New Roman" panose="02020603050405020304" pitchFamily="18" charset="0"/>
              <a:cs typeface="Times New Roman" panose="02020603050405020304" pitchFamily="18" charset="0"/>
            </a:rPr>
            <a:t>Number of Days Stayed</a:t>
          </a:r>
          <a:r>
            <a:rPr lang="en-GB" sz="1400">
              <a:latin typeface="Times New Roman" panose="02020603050405020304" pitchFamily="18" charset="0"/>
              <a:cs typeface="Times New Roman" panose="02020603050405020304" pitchFamily="18" charset="0"/>
            </a:rPr>
            <a:t> is counted in terms of the number of nights for which a room is occupied. For example, if a guest arrives on Monday and departs on Wednesday, the corresponding </a:t>
          </a:r>
          <a:r>
            <a:rPr lang="en-GB" sz="1400" b="1">
              <a:latin typeface="Times New Roman" panose="02020603050405020304" pitchFamily="18" charset="0"/>
              <a:cs typeface="Times New Roman" panose="02020603050405020304" pitchFamily="18" charset="0"/>
            </a:rPr>
            <a:t>Number of Days Stayed</a:t>
          </a:r>
          <a:r>
            <a:rPr lang="en-GB" sz="1400">
              <a:latin typeface="Times New Roman" panose="02020603050405020304" pitchFamily="18" charset="0"/>
              <a:cs typeface="Times New Roman" panose="02020603050405020304" pitchFamily="18" charset="0"/>
            </a:rPr>
            <a:t> is 2.</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104775</xdr:colOff>
      <xdr:row>0</xdr:row>
      <xdr:rowOff>133350</xdr:rowOff>
    </xdr:from>
    <xdr:ext cx="7391400" cy="2189061"/>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4775" y="133350"/>
          <a:ext cx="7391400" cy="2189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just">
            <a:spcAft>
              <a:spcPts val="600"/>
            </a:spcAft>
          </a:pPr>
          <a:r>
            <a:rPr lang="sv-FI" sz="1400">
              <a:latin typeface="Times New Roman" panose="02020603050405020304" pitchFamily="18" charset="0"/>
              <a:cs typeface="Times New Roman" panose="02020603050405020304" pitchFamily="18" charset="0"/>
            </a:rPr>
            <a:t>A company sells a product with one-week shelf life. The weekly data on the number of units sold in the last three years (i.e., 156 weeks) can be found in the worksheet Sales Volume in the given Excel file. Your task is to forecast the sales volume for the next week (i.e., Week 157).</a:t>
          </a:r>
        </a:p>
        <a:p>
          <a:pPr algn="just">
            <a:spcAft>
              <a:spcPts val="600"/>
            </a:spcAft>
          </a:pPr>
          <a:r>
            <a:rPr lang="sv-FI" sz="1400">
              <a:latin typeface="Times New Roman" panose="02020603050405020304" pitchFamily="18" charset="0"/>
              <a:cs typeface="Times New Roman" panose="02020603050405020304" pitchFamily="18" charset="0"/>
            </a:rPr>
            <a:t>Please first identify the underlying pattern in the given data. If the data exhibits only a horizontal pattern, please forecast the sales volume for Week 157 using the following two methods:</a:t>
          </a:r>
        </a:p>
        <a:p>
          <a:pPr algn="just">
            <a:spcAft>
              <a:spcPts val="600"/>
            </a:spcAft>
          </a:pPr>
          <a:r>
            <a:rPr lang="sv-FI" sz="1400">
              <a:latin typeface="Times New Roman" panose="02020603050405020304" pitchFamily="18" charset="0"/>
              <a:cs typeface="Times New Roman" panose="02020603050405020304" pitchFamily="18" charset="0"/>
            </a:rPr>
            <a:t>Moving Average Forecast (with k = 4, 5 and 6)</a:t>
          </a:r>
        </a:p>
        <a:p>
          <a:pPr algn="just">
            <a:spcAft>
              <a:spcPts val="600"/>
            </a:spcAft>
          </a:pPr>
          <a:r>
            <a:rPr lang="sv-FI" sz="1400">
              <a:latin typeface="Times New Roman" panose="02020603050405020304" pitchFamily="18" charset="0"/>
              <a:cs typeface="Times New Roman" panose="02020603050405020304" pitchFamily="18" charset="0"/>
            </a:rPr>
            <a:t>Exponential Smoothing (with </a:t>
          </a:r>
          <a:r>
            <a:rPr lang="el-GR" sz="1400">
              <a:latin typeface="Times New Roman" panose="02020603050405020304" pitchFamily="18" charset="0"/>
              <a:cs typeface="Times New Roman" panose="02020603050405020304" pitchFamily="18" charset="0"/>
            </a:rPr>
            <a:t>α = 0.25, 0.5 </a:t>
          </a:r>
          <a:r>
            <a:rPr lang="sv-FI" sz="1400">
              <a:latin typeface="Times New Roman" panose="02020603050405020304" pitchFamily="18" charset="0"/>
              <a:cs typeface="Times New Roman" panose="02020603050405020304" pitchFamily="18" charset="0"/>
            </a:rPr>
            <a:t>and 0.75)</a:t>
          </a:r>
        </a:p>
        <a:p>
          <a:pPr algn="just">
            <a:spcAft>
              <a:spcPts val="600"/>
            </a:spcAft>
          </a:pPr>
          <a:r>
            <a:rPr lang="sv-FI" sz="1400">
              <a:latin typeface="Times New Roman" panose="02020603050405020304" pitchFamily="18" charset="0"/>
              <a:cs typeface="Times New Roman" panose="02020603050405020304" pitchFamily="18" charset="0"/>
            </a:rPr>
            <a:t>Please evaluate the above methods using the error metric of Mean Square Error (MSE) and identify the optimal forecast on the sales volume for Week 157.</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76200</xdr:colOff>
      <xdr:row>2</xdr:row>
      <xdr:rowOff>39514</xdr:rowOff>
    </xdr:from>
    <xdr:ext cx="7010400" cy="128496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80473" y="455150"/>
          <a:ext cx="7010400" cy="1284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spAutoFit/>
        </a:bodyPr>
        <a:lstStyle/>
        <a:p>
          <a:pPr marL="0" marR="0" lvl="0" indent="0" algn="just" defTabSz="914400" eaLnBrk="1" fontAlgn="auto" latinLnBrk="0" hangingPunct="1">
            <a:lnSpc>
              <a:spcPct val="100000"/>
            </a:lnSpc>
            <a:spcBef>
              <a:spcPts val="0"/>
            </a:spcBef>
            <a:spcAft>
              <a:spcPts val="600"/>
            </a:spcAft>
            <a:buClrTx/>
            <a:buSzTx/>
            <a:buFontTx/>
            <a:buNone/>
            <a:tabLst/>
            <a:defRPr/>
          </a:pPr>
          <a:r>
            <a:rPr lang="sv-FI" sz="1400">
              <a:solidFill>
                <a:schemeClr val="tx1"/>
              </a:solidFill>
              <a:effectLst/>
              <a:latin typeface="Times New Roman" panose="02020603050405020304" pitchFamily="18" charset="0"/>
              <a:ea typeface="+mn-ea"/>
              <a:cs typeface="Times New Roman" panose="02020603050405020304" pitchFamily="18" charset="0"/>
            </a:rPr>
            <a:t>A producer of various kinds of batteries has been producing ``D´´ size batteries with an average life expectancy of 87 hours. Due to an improved production process, management believes that there has been an increase in the life expectancy of their ``D´´ size batteries. A sample of 36 batteries showed an average life of 88.5 hours. Assume from past information that it is known that the standard deviation of the population is 9 hours. At a level of significance of 0.01, can the management’s belief be supported based on the data we have,</a:t>
          </a:r>
          <a:r>
            <a:rPr lang="sv-FI" sz="1400" baseline="0">
              <a:solidFill>
                <a:schemeClr val="tx1"/>
              </a:solidFill>
              <a:effectLst/>
              <a:latin typeface="Times New Roman" panose="02020603050405020304" pitchFamily="18" charset="0"/>
              <a:ea typeface="+mn-ea"/>
              <a:cs typeface="Times New Roman" panose="02020603050405020304" pitchFamily="18" charset="0"/>
            </a:rPr>
            <a:t> and</a:t>
          </a:r>
          <a:r>
            <a:rPr lang="sv-FI" sz="1400">
              <a:solidFill>
                <a:schemeClr val="tx1"/>
              </a:solidFill>
              <a:effectLst/>
              <a:latin typeface="Times New Roman" panose="02020603050405020304" pitchFamily="18" charset="0"/>
              <a:ea typeface="+mn-ea"/>
              <a:cs typeface="Times New Roman" panose="02020603050405020304" pitchFamily="18" charset="0"/>
            </a:rPr>
            <a:t> why?</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1475AAE3-7668-D148-873C-19AA0450B75B}">
  <we:reference id="wa104379190" version="2.0.0.0" store="en-US" storeType="OMEX"/>
  <we:alternateReferences>
    <we:reference id="WA104379190" version="2.0.0.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BB735BC4-D003-6648-A8AE-04DA45591978}">
  <we:reference id="wa104100404" version="3.0.0.1" store="en-US" storeType="OMEX"/>
  <we:alternateReferences>
    <we:reference id="wa104100404" version="3.0.0.1" store="" storeType="OMEX"/>
  </we:alternateReferences>
  <we:properties>
    <we:property name="UniqueID" value="&quot;20248221727037351013&quot;"/>
    <we:property name="YXUYDzY4IgoKISxIHz0cDlxgeSsw" value="&quot;&quot;"/>
    <we:property name="YXUYDzY4IgoKISxIHz0cDlxgRSY2LyoROyMtDw==" value="&quot;dxNx&quot;"/>
    <we:property name="YXUYDzY4IgoKISxIHz0cDlxgeygiFCYN" value="&quot;AQ==&quot;"/>
    <we:property name="YXUYDzY4IgoKISxIHz0cDlxgRSY2LyoROygmDw==" value="&quot;AQ==&quot;"/>
    <we:property name="YXUYDzY4IgoKISxIHz0cDlxgRSY2LyoROzYxDQ==" value="&quot;AG8GeWppf1I=&quot;"/>
    <we:property name="YXUYDzY4IgoKISxIHz0cDlxgRSY2LyoROzUgBA==" value="&quot;AQ==&quot;"/>
    <we:property name="YXUYDzY4IgoKISxIHz0cDlxgRSY2LyoROzQvEA==" value="&quot;AQ==&quot;"/>
    <we:property name="YXUYDzY4IgoKISxIHz0cDlxgRSY2LyoROzIsBA==" value="&quot;AG8GeWpo&quot;"/>
    <we:property name="YXUYDzY4IgoKISxIHz0cDlxgRSY2LyoROyU1Dw==" value="&quot;AG8GeWpo&quot;"/>
    <we:property name="YXUYDzY4IgoKISxIHz0cDlxgRSY2LyoROyswBA==" value="&quot;AA==&quot;"/>
    <we:property name="YXUYDzY4IgoKISxIHz0cDlxgRSY2LyoROzUwEg==" value="&quot;AXEG&quot;"/>
    <we:property name="YXUYDzY4IgoKISxIHz0cDlxgRSY2LyoROzQwDA==" value="&quot;AA==&quot;"/>
    <we:property name="YXUYDzY4IgoKISxIHz0cDlxgRSY2LyoROysxHA==" value="&quot;AG8Gfm8=&quot;"/>
    <we:property name="YXUYDzY4IgoKISxIHz0cDlxgRSY2LyoROystAQ==" value="&quot;A3E=&quot;"/>
    <we:property name="YXUYDzY4IgoKISxIHz0cDlxgRSY2LyoROzQhHg==" value="&quot;AQ==&quot;"/>
    <we:property name="YXUYDzY4IgoKISxIHz0cDlxgRSY2LyoROyg3Gg==" value="&quot;Ag==&quot;"/>
    <we:property name="YXUYDzY4IgoKISxIHz0cDlxgRSY2LyoROycgCw==" value="&quot;AG8GeWs=&quot;"/>
    <we:property name="YXUYDzY4IgoKISxIHz0cDlxgRSY2LyoROzQmGw==" value="&quot;BQ==&quot;"/>
    <we:property name="YXUYDzY4IgoKISxIHz0cDlxgRSY2LyoROycxGw==" value="&quot;AQ==&quot;"/>
    <we:property name="YXUYDzY4IgoKISxIHz0cDlxgRSY2LyoROzU3CQ==" value="&quot;AA==&quot;"/>
    <we:property name="YXUYDzY4IgoKISxIHz0cDlxgRSY2LyoROysmHA==" value="&quot;Ag==&quot;"/>
    <we:property name="YXUYDzY4IgoKISxIHz0cDlxgRSY2LyoROzUsCw==" value="&quot;AA==&quot;"/>
    <we:property name="YXUYDzY4IgoKISxIHz0cDlxgRSY2LyoROyozHA==" value="&quot;AA==&quot;"/>
    <we:property name="YXUYDzY4IgoKISxIHz0cDlxgRSY2LyoROyozGA==" value="&quot;AA==&quot;"/>
    <we:property name="YXUYDzY4IgoKISxIHz0cDlxgRSY2LyoROyEiGA==" value="&quot;AG8GeWppf1I=&quot;"/>
    <we:property name="YXUYDzY4IgoKISxIHz0cDlxgRSY2LyoROy8zGw==" value="&quot;AG8PcA==&quot;"/>
    <we:property name="YXUYDzY4IgoKISxIHz0cDlxgRSY2LyoROyAmCQ==" value="&quot;AG8GeWppf1I=&quot;"/>
    <we:property name="YXUYDzY4IgoKISxIHz0cDlxgRSY2LyoROy8zAQ==" value="&quot;AQ==&quot;"/>
    <we:property name="YXUYDzY4IgoKISxIHz0cDlxgRSY2LyoROy8zDA==" value="&quot;Aw==&quot;"/>
  </we:properties>
  <we:bindings>
    <we:binding id="refEdit" type="matrix" appref="{83B5D8B2-AF49-6D41-B7BB-A01E4097B078}"/>
    <we:binding id="Worker" type="matrix" appref="{A0C87E43-B8AD-0641-A98E-254343A9F0BF}"/>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364A-1DD3-7246-AB69-51355574CE69}">
  <dimension ref="B6:C9"/>
  <sheetViews>
    <sheetView zoomScale="150" zoomScaleNormal="150" workbookViewId="0">
      <selection activeCell="C9" sqref="C9"/>
    </sheetView>
  </sheetViews>
  <sheetFormatPr defaultColWidth="11.42578125" defaultRowHeight="12.75" x14ac:dyDescent="0.2"/>
  <cols>
    <col min="2" max="2" width="38" bestFit="1" customWidth="1"/>
    <col min="3" max="3" width="34.85546875" customWidth="1"/>
  </cols>
  <sheetData>
    <row r="6" spans="2:3" ht="27" thickBot="1" x14ac:dyDescent="0.45">
      <c r="B6" s="85" t="s">
        <v>111</v>
      </c>
      <c r="C6" s="85"/>
    </row>
    <row r="7" spans="2:3" ht="26.25" x14ac:dyDescent="0.4">
      <c r="B7" s="33"/>
      <c r="C7" s="33"/>
    </row>
    <row r="8" spans="2:3" ht="26.25" x14ac:dyDescent="0.4">
      <c r="B8" s="34" t="s">
        <v>109</v>
      </c>
      <c r="C8" s="33" t="s">
        <v>137</v>
      </c>
    </row>
    <row r="9" spans="2:3" ht="26.25" x14ac:dyDescent="0.4">
      <c r="B9" s="34" t="s">
        <v>110</v>
      </c>
      <c r="C9" s="33">
        <v>2201899</v>
      </c>
    </row>
  </sheetData>
  <mergeCells count="1">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topLeftCell="F1" zoomScale="150" zoomScaleNormal="150" workbookViewId="0">
      <selection activeCell="P2" sqref="P2"/>
    </sheetView>
  </sheetViews>
  <sheetFormatPr defaultColWidth="8.85546875" defaultRowHeight="14.25" x14ac:dyDescent="0.2"/>
  <cols>
    <col min="1" max="1" width="9.85546875" style="8" bestFit="1" customWidth="1"/>
    <col min="2" max="2" width="18.28515625" style="6" bestFit="1" customWidth="1"/>
    <col min="3" max="3" width="18.140625" style="6" bestFit="1" customWidth="1"/>
    <col min="4" max="4" width="13.7109375" style="6" bestFit="1" customWidth="1"/>
    <col min="5" max="5" width="12.140625" style="6" bestFit="1" customWidth="1"/>
    <col min="6" max="6" width="13.140625" style="6" bestFit="1" customWidth="1"/>
    <col min="7" max="7" width="16.28515625" style="6" bestFit="1" customWidth="1"/>
    <col min="8" max="8" width="13.7109375" style="6" bestFit="1" customWidth="1"/>
    <col min="9" max="9" width="11.42578125" style="6" bestFit="1" customWidth="1"/>
    <col min="10" max="10" width="20.7109375" style="6" customWidth="1"/>
    <col min="11" max="11" width="13.28515625" style="6" bestFit="1" customWidth="1"/>
    <col min="12" max="12" width="12.42578125" style="6" customWidth="1"/>
    <col min="13" max="13" width="4.85546875" style="6" customWidth="1"/>
    <col min="14" max="14" width="13.140625" style="6" bestFit="1" customWidth="1"/>
    <col min="15" max="15" width="22.28515625" style="6" bestFit="1" customWidth="1"/>
    <col min="16" max="16" width="21.140625" style="6" bestFit="1" customWidth="1"/>
    <col min="17" max="16384" width="8.85546875" style="6"/>
  </cols>
  <sheetData>
    <row r="1" spans="1:16" s="23" customFormat="1" ht="69" customHeight="1" thickBot="1" x14ac:dyDescent="0.3">
      <c r="A1" s="19" t="s">
        <v>106</v>
      </c>
      <c r="B1" s="19" t="s">
        <v>13</v>
      </c>
      <c r="C1" s="19" t="s">
        <v>14</v>
      </c>
      <c r="D1" s="19" t="s">
        <v>107</v>
      </c>
      <c r="E1" s="19" t="s">
        <v>15</v>
      </c>
      <c r="F1" s="19" t="s">
        <v>16</v>
      </c>
      <c r="G1" s="19" t="s">
        <v>17</v>
      </c>
      <c r="H1" s="19" t="s">
        <v>18</v>
      </c>
      <c r="I1" s="20" t="s">
        <v>19</v>
      </c>
      <c r="J1" s="21" t="s">
        <v>108</v>
      </c>
      <c r="K1" s="21" t="s">
        <v>136</v>
      </c>
      <c r="L1" s="22" t="s">
        <v>103</v>
      </c>
      <c r="N1" s="24" t="s">
        <v>107</v>
      </c>
      <c r="O1" s="24" t="s">
        <v>105</v>
      </c>
      <c r="P1" s="24" t="s">
        <v>104</v>
      </c>
    </row>
    <row r="2" spans="1:16" ht="15.75" thickTop="1" x14ac:dyDescent="0.25">
      <c r="A2" s="9">
        <v>1</v>
      </c>
      <c r="B2" s="10" t="s">
        <v>20</v>
      </c>
      <c r="C2" s="10" t="s">
        <v>21</v>
      </c>
      <c r="D2" s="10" t="s">
        <v>22</v>
      </c>
      <c r="E2" s="10" t="s">
        <v>23</v>
      </c>
      <c r="F2" s="11">
        <v>41974</v>
      </c>
      <c r="G2" s="11">
        <v>41977</v>
      </c>
      <c r="H2" s="12">
        <v>2</v>
      </c>
      <c r="I2" s="13">
        <v>150</v>
      </c>
      <c r="J2" s="25">
        <f>I2+ IF(H2&gt;2,(H2-2)*20,0)</f>
        <v>150</v>
      </c>
      <c r="K2" s="26">
        <f>G2-F2</f>
        <v>3</v>
      </c>
      <c r="L2" s="29">
        <f>J2*IF(K2&gt;=7,0.9,1)</f>
        <v>150</v>
      </c>
      <c r="N2" s="30" t="str">
        <f>D6</f>
        <v>Lincoln</v>
      </c>
      <c r="O2" s="31">
        <f>COUNTIF(D2:D31,N2)</f>
        <v>3</v>
      </c>
      <c r="P2" s="32">
        <f>SUMIF(D2:D31,N2,L2:L31)</f>
        <v>980</v>
      </c>
    </row>
    <row r="3" spans="1:16" ht="15" x14ac:dyDescent="0.25">
      <c r="A3" s="14">
        <v>2</v>
      </c>
      <c r="B3" s="15" t="s">
        <v>24</v>
      </c>
      <c r="C3" s="15" t="s">
        <v>25</v>
      </c>
      <c r="D3" s="15" t="s">
        <v>26</v>
      </c>
      <c r="E3" s="15" t="s">
        <v>27</v>
      </c>
      <c r="F3" s="16">
        <v>41974</v>
      </c>
      <c r="G3" s="16">
        <v>41982</v>
      </c>
      <c r="H3" s="17">
        <v>3</v>
      </c>
      <c r="I3" s="18">
        <v>112.5</v>
      </c>
      <c r="J3" s="27">
        <f>I3+ IF(H3&gt;2,(H3-2)*20,0)</f>
        <v>132.5</v>
      </c>
      <c r="K3" s="28">
        <f>G3-F3</f>
        <v>8</v>
      </c>
      <c r="L3" s="29">
        <f>J3*IF(K3&gt;=7,0.9,1)</f>
        <v>119.25</v>
      </c>
    </row>
    <row r="4" spans="1:16" ht="15" x14ac:dyDescent="0.25">
      <c r="A4" s="14">
        <v>3</v>
      </c>
      <c r="B4" s="15" t="s">
        <v>28</v>
      </c>
      <c r="C4" s="15" t="s">
        <v>29</v>
      </c>
      <c r="D4" s="15" t="s">
        <v>30</v>
      </c>
      <c r="E4" s="15" t="s">
        <v>23</v>
      </c>
      <c r="F4" s="16">
        <v>41977</v>
      </c>
      <c r="G4" s="16">
        <v>41980</v>
      </c>
      <c r="H4" s="17">
        <v>1</v>
      </c>
      <c r="I4" s="18">
        <v>150</v>
      </c>
      <c r="J4" s="27">
        <f t="shared" ref="J4:J31" si="0">I4+ IF(H4&gt;2,(H4-2)*20,0)</f>
        <v>150</v>
      </c>
      <c r="K4" s="28">
        <f t="shared" ref="K4:K31" si="1">G4-F4</f>
        <v>3</v>
      </c>
      <c r="L4" s="29">
        <f t="shared" ref="L4:L31" si="2">J4*IF(K4&gt;=7,0.9,1)</f>
        <v>150</v>
      </c>
    </row>
    <row r="5" spans="1:16" ht="15" x14ac:dyDescent="0.25">
      <c r="A5" s="14">
        <v>4</v>
      </c>
      <c r="B5" s="15" t="s">
        <v>31</v>
      </c>
      <c r="C5" s="15" t="s">
        <v>32</v>
      </c>
      <c r="D5" s="15" t="s">
        <v>33</v>
      </c>
      <c r="E5" s="15" t="s">
        <v>27</v>
      </c>
      <c r="F5" s="16">
        <v>41974</v>
      </c>
      <c r="G5" s="16">
        <v>41976</v>
      </c>
      <c r="H5" s="17">
        <v>4</v>
      </c>
      <c r="I5" s="18">
        <v>325</v>
      </c>
      <c r="J5" s="27">
        <f t="shared" si="0"/>
        <v>365</v>
      </c>
      <c r="K5" s="28">
        <f t="shared" si="1"/>
        <v>2</v>
      </c>
      <c r="L5" s="29">
        <f t="shared" si="2"/>
        <v>365</v>
      </c>
    </row>
    <row r="6" spans="1:16" ht="15" x14ac:dyDescent="0.25">
      <c r="A6" s="14">
        <v>5</v>
      </c>
      <c r="B6" s="15" t="s">
        <v>34</v>
      </c>
      <c r="C6" s="15" t="s">
        <v>35</v>
      </c>
      <c r="D6" s="15" t="s">
        <v>36</v>
      </c>
      <c r="E6" s="15" t="s">
        <v>27</v>
      </c>
      <c r="F6" s="16">
        <v>41982</v>
      </c>
      <c r="G6" s="16">
        <v>41986</v>
      </c>
      <c r="H6" s="17">
        <v>2</v>
      </c>
      <c r="I6" s="18">
        <v>300</v>
      </c>
      <c r="J6" s="27">
        <f t="shared" si="0"/>
        <v>300</v>
      </c>
      <c r="K6" s="28">
        <f t="shared" si="1"/>
        <v>4</v>
      </c>
      <c r="L6" s="29">
        <f t="shared" si="2"/>
        <v>300</v>
      </c>
    </row>
    <row r="7" spans="1:16" ht="15" x14ac:dyDescent="0.25">
      <c r="A7" s="14">
        <v>6</v>
      </c>
      <c r="B7" s="15" t="s">
        <v>37</v>
      </c>
      <c r="C7" s="15" t="s">
        <v>38</v>
      </c>
      <c r="D7" s="15" t="s">
        <v>30</v>
      </c>
      <c r="E7" s="15" t="s">
        <v>23</v>
      </c>
      <c r="F7" s="16">
        <v>41974</v>
      </c>
      <c r="G7" s="16">
        <v>41976</v>
      </c>
      <c r="H7" s="17">
        <v>2</v>
      </c>
      <c r="I7" s="18">
        <v>150</v>
      </c>
      <c r="J7" s="27">
        <f t="shared" si="0"/>
        <v>150</v>
      </c>
      <c r="K7" s="28">
        <f t="shared" si="1"/>
        <v>2</v>
      </c>
      <c r="L7" s="29">
        <f t="shared" si="2"/>
        <v>150</v>
      </c>
    </row>
    <row r="8" spans="1:16" ht="15" x14ac:dyDescent="0.25">
      <c r="A8" s="14">
        <v>7</v>
      </c>
      <c r="B8" s="15" t="s">
        <v>39</v>
      </c>
      <c r="C8" s="15" t="s">
        <v>40</v>
      </c>
      <c r="D8" s="15" t="s">
        <v>33</v>
      </c>
      <c r="E8" s="15" t="s">
        <v>27</v>
      </c>
      <c r="F8" s="16">
        <v>41977</v>
      </c>
      <c r="G8" s="16">
        <v>41985</v>
      </c>
      <c r="H8" s="17">
        <v>2</v>
      </c>
      <c r="I8" s="18">
        <v>292.5</v>
      </c>
      <c r="J8" s="27">
        <f t="shared" si="0"/>
        <v>292.5</v>
      </c>
      <c r="K8" s="28">
        <f t="shared" si="1"/>
        <v>8</v>
      </c>
      <c r="L8" s="29">
        <f t="shared" si="2"/>
        <v>263.25</v>
      </c>
      <c r="M8" s="7"/>
    </row>
    <row r="9" spans="1:16" ht="15" x14ac:dyDescent="0.25">
      <c r="A9" s="14">
        <v>8</v>
      </c>
      <c r="B9" s="15" t="s">
        <v>41</v>
      </c>
      <c r="C9" s="15" t="s">
        <v>42</v>
      </c>
      <c r="D9" s="15" t="s">
        <v>36</v>
      </c>
      <c r="E9" s="15" t="s">
        <v>27</v>
      </c>
      <c r="F9" s="16">
        <v>41975</v>
      </c>
      <c r="G9" s="16">
        <v>41977</v>
      </c>
      <c r="H9" s="17">
        <v>1</v>
      </c>
      <c r="I9" s="18">
        <v>300</v>
      </c>
      <c r="J9" s="27">
        <f t="shared" si="0"/>
        <v>300</v>
      </c>
      <c r="K9" s="28">
        <f t="shared" si="1"/>
        <v>2</v>
      </c>
      <c r="L9" s="29">
        <f t="shared" si="2"/>
        <v>300</v>
      </c>
    </row>
    <row r="10" spans="1:16" ht="15" x14ac:dyDescent="0.25">
      <c r="A10" s="14">
        <v>9</v>
      </c>
      <c r="B10" s="15" t="s">
        <v>43</v>
      </c>
      <c r="C10" s="15" t="s">
        <v>44</v>
      </c>
      <c r="D10" s="15" t="s">
        <v>36</v>
      </c>
      <c r="E10" s="15" t="s">
        <v>27</v>
      </c>
      <c r="F10" s="16">
        <v>41978</v>
      </c>
      <c r="G10" s="16">
        <v>41980</v>
      </c>
      <c r="H10" s="17">
        <v>5</v>
      </c>
      <c r="I10" s="18">
        <v>320</v>
      </c>
      <c r="J10" s="27">
        <f t="shared" si="0"/>
        <v>380</v>
      </c>
      <c r="K10" s="28">
        <f t="shared" si="1"/>
        <v>2</v>
      </c>
      <c r="L10" s="29">
        <f t="shared" si="2"/>
        <v>380</v>
      </c>
    </row>
    <row r="11" spans="1:16" ht="15" x14ac:dyDescent="0.25">
      <c r="A11" s="14">
        <v>10</v>
      </c>
      <c r="B11" s="15" t="s">
        <v>45</v>
      </c>
      <c r="C11" s="15" t="s">
        <v>46</v>
      </c>
      <c r="D11" s="15" t="s">
        <v>47</v>
      </c>
      <c r="E11" s="15" t="s">
        <v>23</v>
      </c>
      <c r="F11" s="16">
        <v>41978</v>
      </c>
      <c r="G11" s="16">
        <v>41980</v>
      </c>
      <c r="H11" s="17">
        <v>2</v>
      </c>
      <c r="I11" s="18">
        <v>175</v>
      </c>
      <c r="J11" s="27">
        <f t="shared" si="0"/>
        <v>175</v>
      </c>
      <c r="K11" s="28">
        <f t="shared" si="1"/>
        <v>2</v>
      </c>
      <c r="L11" s="29">
        <f t="shared" si="2"/>
        <v>175</v>
      </c>
    </row>
    <row r="12" spans="1:16" ht="15" x14ac:dyDescent="0.25">
      <c r="A12" s="14">
        <v>11</v>
      </c>
      <c r="B12" s="15" t="s">
        <v>48</v>
      </c>
      <c r="C12" s="15" t="s">
        <v>49</v>
      </c>
      <c r="D12" s="15" t="s">
        <v>50</v>
      </c>
      <c r="E12" s="15" t="s">
        <v>27</v>
      </c>
      <c r="F12" s="16">
        <v>41978</v>
      </c>
      <c r="G12" s="16">
        <v>41981</v>
      </c>
      <c r="H12" s="17">
        <v>2</v>
      </c>
      <c r="I12" s="18">
        <v>250</v>
      </c>
      <c r="J12" s="27">
        <f t="shared" si="0"/>
        <v>250</v>
      </c>
      <c r="K12" s="28">
        <f t="shared" si="1"/>
        <v>3</v>
      </c>
      <c r="L12" s="29">
        <f t="shared" si="2"/>
        <v>250</v>
      </c>
    </row>
    <row r="13" spans="1:16" ht="15" x14ac:dyDescent="0.25">
      <c r="A13" s="14">
        <v>12</v>
      </c>
      <c r="B13" s="15" t="s">
        <v>51</v>
      </c>
      <c r="C13" s="15" t="s">
        <v>52</v>
      </c>
      <c r="D13" s="15" t="s">
        <v>53</v>
      </c>
      <c r="E13" s="15" t="s">
        <v>23</v>
      </c>
      <c r="F13" s="16">
        <v>41983</v>
      </c>
      <c r="G13" s="16">
        <v>41988</v>
      </c>
      <c r="H13" s="17">
        <v>1</v>
      </c>
      <c r="I13" s="18">
        <v>150</v>
      </c>
      <c r="J13" s="27">
        <f t="shared" si="0"/>
        <v>150</v>
      </c>
      <c r="K13" s="28">
        <f t="shared" si="1"/>
        <v>5</v>
      </c>
      <c r="L13" s="29">
        <f t="shared" si="2"/>
        <v>150</v>
      </c>
    </row>
    <row r="14" spans="1:16" ht="15" x14ac:dyDescent="0.25">
      <c r="A14" s="14">
        <v>13</v>
      </c>
      <c r="B14" s="15" t="s">
        <v>54</v>
      </c>
      <c r="C14" s="15" t="s">
        <v>28</v>
      </c>
      <c r="D14" s="15" t="s">
        <v>55</v>
      </c>
      <c r="E14" s="15" t="s">
        <v>56</v>
      </c>
      <c r="F14" s="16">
        <v>41993</v>
      </c>
      <c r="G14" s="16">
        <v>42003</v>
      </c>
      <c r="H14" s="17">
        <v>3</v>
      </c>
      <c r="I14" s="18">
        <v>112.5</v>
      </c>
      <c r="J14" s="27">
        <f t="shared" si="0"/>
        <v>132.5</v>
      </c>
      <c r="K14" s="28">
        <f t="shared" si="1"/>
        <v>10</v>
      </c>
      <c r="L14" s="29">
        <f t="shared" si="2"/>
        <v>119.25</v>
      </c>
    </row>
    <row r="15" spans="1:16" ht="15" x14ac:dyDescent="0.25">
      <c r="A15" s="14">
        <v>14</v>
      </c>
      <c r="B15" s="15" t="s">
        <v>57</v>
      </c>
      <c r="C15" s="15" t="s">
        <v>58</v>
      </c>
      <c r="D15" s="15" t="s">
        <v>59</v>
      </c>
      <c r="E15" s="15" t="s">
        <v>56</v>
      </c>
      <c r="F15" s="16">
        <v>41986</v>
      </c>
      <c r="G15" s="16">
        <v>41988</v>
      </c>
      <c r="H15" s="17">
        <v>2</v>
      </c>
      <c r="I15" s="18">
        <v>125</v>
      </c>
      <c r="J15" s="27">
        <f t="shared" si="0"/>
        <v>125</v>
      </c>
      <c r="K15" s="28">
        <f t="shared" si="1"/>
        <v>2</v>
      </c>
      <c r="L15" s="29">
        <f t="shared" si="2"/>
        <v>125</v>
      </c>
    </row>
    <row r="16" spans="1:16" ht="15" x14ac:dyDescent="0.25">
      <c r="A16" s="14">
        <v>15</v>
      </c>
      <c r="B16" s="15" t="s">
        <v>60</v>
      </c>
      <c r="C16" s="15" t="s">
        <v>61</v>
      </c>
      <c r="D16" s="15" t="s">
        <v>57</v>
      </c>
      <c r="E16" s="15" t="s">
        <v>27</v>
      </c>
      <c r="F16" s="16">
        <v>41997</v>
      </c>
      <c r="G16" s="16">
        <v>42004</v>
      </c>
      <c r="H16" s="17">
        <v>5</v>
      </c>
      <c r="I16" s="18">
        <v>198</v>
      </c>
      <c r="J16" s="27">
        <f t="shared" si="0"/>
        <v>258</v>
      </c>
      <c r="K16" s="28">
        <f t="shared" si="1"/>
        <v>7</v>
      </c>
      <c r="L16" s="29">
        <f t="shared" si="2"/>
        <v>232.20000000000002</v>
      </c>
    </row>
    <row r="17" spans="1:12" ht="15" x14ac:dyDescent="0.25">
      <c r="A17" s="14">
        <v>16</v>
      </c>
      <c r="B17" s="15" t="s">
        <v>62</v>
      </c>
      <c r="C17" s="15" t="s">
        <v>63</v>
      </c>
      <c r="D17" s="15" t="s">
        <v>64</v>
      </c>
      <c r="E17" s="15" t="s">
        <v>23</v>
      </c>
      <c r="F17" s="16">
        <v>41976</v>
      </c>
      <c r="G17" s="16">
        <v>41979</v>
      </c>
      <c r="H17" s="17">
        <v>2</v>
      </c>
      <c r="I17" s="18">
        <v>150</v>
      </c>
      <c r="J17" s="27">
        <f t="shared" si="0"/>
        <v>150</v>
      </c>
      <c r="K17" s="28">
        <f t="shared" si="1"/>
        <v>3</v>
      </c>
      <c r="L17" s="29">
        <f t="shared" si="2"/>
        <v>150</v>
      </c>
    </row>
    <row r="18" spans="1:12" ht="15" x14ac:dyDescent="0.25">
      <c r="A18" s="14">
        <v>17</v>
      </c>
      <c r="B18" s="15" t="s">
        <v>65</v>
      </c>
      <c r="C18" s="15" t="s">
        <v>66</v>
      </c>
      <c r="D18" s="15" t="s">
        <v>67</v>
      </c>
      <c r="E18" s="15" t="s">
        <v>27</v>
      </c>
      <c r="F18" s="16">
        <v>41978</v>
      </c>
      <c r="G18" s="16">
        <v>41980</v>
      </c>
      <c r="H18" s="17">
        <v>3</v>
      </c>
      <c r="I18" s="18">
        <v>250</v>
      </c>
      <c r="J18" s="27">
        <f t="shared" si="0"/>
        <v>270</v>
      </c>
      <c r="K18" s="28">
        <f t="shared" si="1"/>
        <v>2</v>
      </c>
      <c r="L18" s="29">
        <f t="shared" si="2"/>
        <v>270</v>
      </c>
    </row>
    <row r="19" spans="1:12" ht="15" x14ac:dyDescent="0.25">
      <c r="A19" s="14">
        <v>18</v>
      </c>
      <c r="B19" s="15" t="s">
        <v>68</v>
      </c>
      <c r="C19" s="15" t="s">
        <v>69</v>
      </c>
      <c r="D19" s="15" t="s">
        <v>70</v>
      </c>
      <c r="E19" s="15" t="s">
        <v>23</v>
      </c>
      <c r="F19" s="16">
        <v>41978</v>
      </c>
      <c r="G19" s="16">
        <v>41980</v>
      </c>
      <c r="H19" s="17">
        <v>1</v>
      </c>
      <c r="I19" s="18">
        <v>150</v>
      </c>
      <c r="J19" s="27">
        <f t="shared" si="0"/>
        <v>150</v>
      </c>
      <c r="K19" s="28">
        <f t="shared" si="1"/>
        <v>2</v>
      </c>
      <c r="L19" s="29">
        <f t="shared" si="2"/>
        <v>150</v>
      </c>
    </row>
    <row r="20" spans="1:12" ht="15" x14ac:dyDescent="0.25">
      <c r="A20" s="14">
        <v>19</v>
      </c>
      <c r="B20" s="15" t="s">
        <v>71</v>
      </c>
      <c r="C20" s="15" t="s">
        <v>72</v>
      </c>
      <c r="D20" s="15" t="s">
        <v>73</v>
      </c>
      <c r="E20" s="15" t="s">
        <v>27</v>
      </c>
      <c r="F20" s="16">
        <v>41983</v>
      </c>
      <c r="G20" s="16">
        <v>41987</v>
      </c>
      <c r="H20" s="17">
        <v>2</v>
      </c>
      <c r="I20" s="18">
        <v>275</v>
      </c>
      <c r="J20" s="27">
        <f t="shared" si="0"/>
        <v>275</v>
      </c>
      <c r="K20" s="28">
        <f t="shared" si="1"/>
        <v>4</v>
      </c>
      <c r="L20" s="29">
        <f t="shared" si="2"/>
        <v>275</v>
      </c>
    </row>
    <row r="21" spans="1:12" ht="15" x14ac:dyDescent="0.25">
      <c r="A21" s="14">
        <v>20</v>
      </c>
      <c r="B21" s="15" t="s">
        <v>74</v>
      </c>
      <c r="C21" s="15" t="s">
        <v>75</v>
      </c>
      <c r="D21" s="15" t="s">
        <v>76</v>
      </c>
      <c r="E21" s="15" t="s">
        <v>27</v>
      </c>
      <c r="F21" s="16">
        <v>41978</v>
      </c>
      <c r="G21" s="16">
        <v>41980</v>
      </c>
      <c r="H21" s="17">
        <v>2</v>
      </c>
      <c r="I21" s="18">
        <v>275</v>
      </c>
      <c r="J21" s="27">
        <f t="shared" si="0"/>
        <v>275</v>
      </c>
      <c r="K21" s="28">
        <f t="shared" si="1"/>
        <v>2</v>
      </c>
      <c r="L21" s="29">
        <f t="shared" si="2"/>
        <v>275</v>
      </c>
    </row>
    <row r="22" spans="1:12" ht="15" x14ac:dyDescent="0.25">
      <c r="A22" s="14">
        <v>21</v>
      </c>
      <c r="B22" s="15" t="s">
        <v>77</v>
      </c>
      <c r="C22" s="15" t="s">
        <v>78</v>
      </c>
      <c r="D22" s="15" t="s">
        <v>79</v>
      </c>
      <c r="E22" s="15" t="s">
        <v>23</v>
      </c>
      <c r="F22" s="16">
        <v>41993</v>
      </c>
      <c r="G22" s="16">
        <v>41996</v>
      </c>
      <c r="H22" s="17">
        <v>2</v>
      </c>
      <c r="I22" s="18">
        <v>150</v>
      </c>
      <c r="J22" s="27">
        <f t="shared" si="0"/>
        <v>150</v>
      </c>
      <c r="K22" s="28">
        <f t="shared" si="1"/>
        <v>3</v>
      </c>
      <c r="L22" s="29">
        <f t="shared" si="2"/>
        <v>150</v>
      </c>
    </row>
    <row r="23" spans="1:12" ht="15" x14ac:dyDescent="0.25">
      <c r="A23" s="14">
        <v>22</v>
      </c>
      <c r="B23" s="15" t="s">
        <v>80</v>
      </c>
      <c r="C23" s="15" t="s">
        <v>81</v>
      </c>
      <c r="D23" s="15" t="s">
        <v>50</v>
      </c>
      <c r="E23" s="15" t="s">
        <v>27</v>
      </c>
      <c r="F23" s="16">
        <v>41983</v>
      </c>
      <c r="G23" s="16">
        <v>41987</v>
      </c>
      <c r="H23" s="17">
        <v>1</v>
      </c>
      <c r="I23" s="18">
        <v>250</v>
      </c>
      <c r="J23" s="27">
        <f t="shared" si="0"/>
        <v>250</v>
      </c>
      <c r="K23" s="28">
        <f t="shared" si="1"/>
        <v>4</v>
      </c>
      <c r="L23" s="29">
        <f t="shared" si="2"/>
        <v>250</v>
      </c>
    </row>
    <row r="24" spans="1:12" ht="15" x14ac:dyDescent="0.25">
      <c r="A24" s="14">
        <v>23</v>
      </c>
      <c r="B24" s="15" t="s">
        <v>82</v>
      </c>
      <c r="C24" s="15" t="s">
        <v>83</v>
      </c>
      <c r="D24" s="15" t="s">
        <v>84</v>
      </c>
      <c r="E24" s="15" t="s">
        <v>27</v>
      </c>
      <c r="F24" s="16">
        <v>41987</v>
      </c>
      <c r="G24" s="16">
        <v>41989</v>
      </c>
      <c r="H24" s="17">
        <v>2</v>
      </c>
      <c r="I24" s="18">
        <v>200</v>
      </c>
      <c r="J24" s="27">
        <f t="shared" si="0"/>
        <v>200</v>
      </c>
      <c r="K24" s="28">
        <f t="shared" si="1"/>
        <v>2</v>
      </c>
      <c r="L24" s="29">
        <f t="shared" si="2"/>
        <v>200</v>
      </c>
    </row>
    <row r="25" spans="1:12" ht="15" x14ac:dyDescent="0.25">
      <c r="A25" s="14">
        <v>24</v>
      </c>
      <c r="B25" s="15" t="s">
        <v>85</v>
      </c>
      <c r="C25" s="15" t="s">
        <v>86</v>
      </c>
      <c r="D25" s="15" t="s">
        <v>87</v>
      </c>
      <c r="E25" s="15" t="s">
        <v>27</v>
      </c>
      <c r="F25" s="16">
        <v>41992</v>
      </c>
      <c r="G25" s="16">
        <v>41994</v>
      </c>
      <c r="H25" s="17">
        <v>1</v>
      </c>
      <c r="I25" s="18">
        <v>200</v>
      </c>
      <c r="J25" s="27">
        <f t="shared" si="0"/>
        <v>200</v>
      </c>
      <c r="K25" s="28">
        <f t="shared" si="1"/>
        <v>2</v>
      </c>
      <c r="L25" s="29">
        <f t="shared" si="2"/>
        <v>200</v>
      </c>
    </row>
    <row r="26" spans="1:12" ht="15" x14ac:dyDescent="0.25">
      <c r="A26" s="14">
        <v>25</v>
      </c>
      <c r="B26" s="15" t="s">
        <v>88</v>
      </c>
      <c r="C26" s="15" t="s">
        <v>89</v>
      </c>
      <c r="D26" s="15" t="s">
        <v>47</v>
      </c>
      <c r="E26" s="15" t="s">
        <v>23</v>
      </c>
      <c r="F26" s="16">
        <v>41997</v>
      </c>
      <c r="G26" s="16">
        <v>42001</v>
      </c>
      <c r="H26" s="17">
        <v>4</v>
      </c>
      <c r="I26" s="18">
        <v>175</v>
      </c>
      <c r="J26" s="27">
        <f t="shared" si="0"/>
        <v>215</v>
      </c>
      <c r="K26" s="28">
        <f t="shared" si="1"/>
        <v>4</v>
      </c>
      <c r="L26" s="29">
        <f t="shared" si="2"/>
        <v>215</v>
      </c>
    </row>
    <row r="27" spans="1:12" ht="15" x14ac:dyDescent="0.25">
      <c r="A27" s="14">
        <v>26</v>
      </c>
      <c r="B27" s="15" t="s">
        <v>90</v>
      </c>
      <c r="C27" s="15" t="s">
        <v>91</v>
      </c>
      <c r="D27" s="15" t="s">
        <v>84</v>
      </c>
      <c r="E27" s="15" t="s">
        <v>27</v>
      </c>
      <c r="F27" s="16">
        <v>41990</v>
      </c>
      <c r="G27" s="16">
        <v>41993</v>
      </c>
      <c r="H27" s="17">
        <v>1</v>
      </c>
      <c r="I27" s="18">
        <v>200</v>
      </c>
      <c r="J27" s="27">
        <f t="shared" si="0"/>
        <v>200</v>
      </c>
      <c r="K27" s="28">
        <f t="shared" si="1"/>
        <v>3</v>
      </c>
      <c r="L27" s="29">
        <f t="shared" si="2"/>
        <v>200</v>
      </c>
    </row>
    <row r="28" spans="1:12" ht="15" x14ac:dyDescent="0.25">
      <c r="A28" s="14">
        <v>27</v>
      </c>
      <c r="B28" s="15" t="s">
        <v>92</v>
      </c>
      <c r="C28" s="15" t="s">
        <v>93</v>
      </c>
      <c r="D28" s="15" t="s">
        <v>94</v>
      </c>
      <c r="E28" s="15" t="s">
        <v>23</v>
      </c>
      <c r="F28" s="16">
        <v>41976</v>
      </c>
      <c r="G28" s="16">
        <v>41979</v>
      </c>
      <c r="H28" s="17">
        <v>1</v>
      </c>
      <c r="I28" s="18">
        <v>150</v>
      </c>
      <c r="J28" s="27">
        <f t="shared" si="0"/>
        <v>150</v>
      </c>
      <c r="K28" s="28">
        <f t="shared" si="1"/>
        <v>3</v>
      </c>
      <c r="L28" s="29">
        <f t="shared" si="2"/>
        <v>150</v>
      </c>
    </row>
    <row r="29" spans="1:12" ht="15" x14ac:dyDescent="0.25">
      <c r="A29" s="14">
        <v>28</v>
      </c>
      <c r="B29" s="15" t="s">
        <v>95</v>
      </c>
      <c r="C29" s="15" t="s">
        <v>96</v>
      </c>
      <c r="D29" s="15" t="s">
        <v>97</v>
      </c>
      <c r="E29" s="15" t="s">
        <v>56</v>
      </c>
      <c r="F29" s="16">
        <v>41997</v>
      </c>
      <c r="G29" s="16">
        <v>42004</v>
      </c>
      <c r="H29" s="17">
        <v>6</v>
      </c>
      <c r="I29" s="18">
        <v>148.5</v>
      </c>
      <c r="J29" s="27">
        <f t="shared" si="0"/>
        <v>228.5</v>
      </c>
      <c r="K29" s="28">
        <f t="shared" si="1"/>
        <v>7</v>
      </c>
      <c r="L29" s="29">
        <f t="shared" si="2"/>
        <v>205.65</v>
      </c>
    </row>
    <row r="30" spans="1:12" ht="15" x14ac:dyDescent="0.25">
      <c r="A30" s="14">
        <v>29</v>
      </c>
      <c r="B30" s="15" t="s">
        <v>98</v>
      </c>
      <c r="C30" s="15" t="s">
        <v>99</v>
      </c>
      <c r="D30" s="15" t="s">
        <v>100</v>
      </c>
      <c r="E30" s="15" t="s">
        <v>56</v>
      </c>
      <c r="F30" s="16">
        <v>41987</v>
      </c>
      <c r="G30" s="16">
        <v>41990</v>
      </c>
      <c r="H30" s="17">
        <v>2</v>
      </c>
      <c r="I30" s="18">
        <v>125</v>
      </c>
      <c r="J30" s="27">
        <f t="shared" si="0"/>
        <v>125</v>
      </c>
      <c r="K30" s="28">
        <f t="shared" si="1"/>
        <v>3</v>
      </c>
      <c r="L30" s="29">
        <f t="shared" si="2"/>
        <v>125</v>
      </c>
    </row>
    <row r="31" spans="1:12" ht="15" x14ac:dyDescent="0.25">
      <c r="A31" s="14">
        <v>30</v>
      </c>
      <c r="B31" s="15" t="s">
        <v>101</v>
      </c>
      <c r="C31" s="15" t="s">
        <v>102</v>
      </c>
      <c r="D31" s="15" t="s">
        <v>33</v>
      </c>
      <c r="E31" s="15" t="s">
        <v>27</v>
      </c>
      <c r="F31" s="16">
        <v>41986</v>
      </c>
      <c r="G31" s="16">
        <v>41989</v>
      </c>
      <c r="H31" s="17">
        <v>2</v>
      </c>
      <c r="I31" s="18">
        <v>325</v>
      </c>
      <c r="J31" s="27">
        <f t="shared" si="0"/>
        <v>325</v>
      </c>
      <c r="K31" s="28">
        <f t="shared" si="1"/>
        <v>3</v>
      </c>
      <c r="L31" s="29">
        <f t="shared" si="2"/>
        <v>325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3:S180"/>
  <sheetViews>
    <sheetView topLeftCell="A5" zoomScale="110" zoomScaleNormal="110" workbookViewId="0">
      <selection activeCell="U23" sqref="U23"/>
    </sheetView>
  </sheetViews>
  <sheetFormatPr defaultColWidth="9.140625" defaultRowHeight="15" x14ac:dyDescent="0.25"/>
  <cols>
    <col min="1" max="1" width="15.7109375" style="2" bestFit="1" customWidth="1"/>
    <col min="2" max="2" width="11" style="2" customWidth="1"/>
    <col min="3" max="10" width="9.140625" style="2"/>
    <col min="11" max="11" width="9" style="2" customWidth="1"/>
    <col min="12" max="16384" width="9.140625" style="2"/>
  </cols>
  <sheetData>
    <row r="13" spans="1:19" ht="15.75" thickBot="1" x14ac:dyDescent="0.3"/>
    <row r="14" spans="1:19" ht="15.75" thickBot="1" x14ac:dyDescent="0.3">
      <c r="J14" s="124" t="s">
        <v>138</v>
      </c>
      <c r="K14" s="117"/>
      <c r="L14" s="117"/>
      <c r="M14" s="117"/>
      <c r="N14" s="117"/>
      <c r="O14" s="118"/>
      <c r="P14" s="126"/>
      <c r="Q14" s="124" t="s">
        <v>139</v>
      </c>
      <c r="R14" s="117"/>
      <c r="S14" s="118"/>
    </row>
    <row r="15" spans="1:19" ht="16.5" thickBot="1" x14ac:dyDescent="0.3">
      <c r="A15" s="89" t="s">
        <v>0</v>
      </c>
      <c r="B15" s="86" t="s">
        <v>113</v>
      </c>
      <c r="C15" s="92" t="s">
        <v>6</v>
      </c>
      <c r="D15" s="93"/>
      <c r="E15" s="94"/>
      <c r="F15" s="95" t="s">
        <v>8</v>
      </c>
      <c r="G15" s="96"/>
      <c r="H15" s="97"/>
      <c r="J15" s="119"/>
      <c r="K15" s="120"/>
      <c r="L15" s="120"/>
      <c r="M15" s="120"/>
      <c r="N15" s="120"/>
      <c r="O15" s="121"/>
      <c r="P15" s="127"/>
      <c r="Q15" s="119"/>
      <c r="R15" s="120"/>
      <c r="S15" s="121"/>
    </row>
    <row r="16" spans="1:19" ht="15" customHeight="1" x14ac:dyDescent="0.25">
      <c r="A16" s="90"/>
      <c r="B16" s="87"/>
      <c r="C16" s="98" t="s">
        <v>7</v>
      </c>
      <c r="D16" s="100" t="s">
        <v>115</v>
      </c>
      <c r="E16" s="102" t="s">
        <v>114</v>
      </c>
      <c r="F16" s="98" t="s">
        <v>10</v>
      </c>
      <c r="G16" s="100" t="s">
        <v>9</v>
      </c>
      <c r="H16" s="102" t="s">
        <v>11</v>
      </c>
      <c r="J16" s="116" t="s">
        <v>7</v>
      </c>
      <c r="K16" s="116" t="s">
        <v>115</v>
      </c>
      <c r="L16" s="116" t="s">
        <v>114</v>
      </c>
      <c r="M16" s="116" t="s">
        <v>10</v>
      </c>
      <c r="N16" s="116" t="s">
        <v>9</v>
      </c>
      <c r="O16" s="116" t="s">
        <v>11</v>
      </c>
      <c r="P16" s="125"/>
      <c r="Q16" s="130" t="str">
        <f>INDEX(J16:O16, MATCH(Q18, J18:O18, 0))</f>
        <v>α=0.25</v>
      </c>
      <c r="R16" s="130"/>
      <c r="S16" s="130"/>
    </row>
    <row r="17" spans="1:19" ht="15.75" customHeight="1" thickBot="1" x14ac:dyDescent="0.3">
      <c r="A17" s="91"/>
      <c r="B17" s="88"/>
      <c r="C17" s="99"/>
      <c r="D17" s="101"/>
      <c r="E17" s="103"/>
      <c r="F17" s="99"/>
      <c r="G17" s="101"/>
      <c r="H17" s="103"/>
      <c r="J17" s="123"/>
      <c r="K17" s="123"/>
      <c r="L17" s="123"/>
      <c r="M17" s="123"/>
      <c r="N17" s="123"/>
      <c r="O17" s="123"/>
      <c r="P17" s="122"/>
      <c r="Q17" s="131"/>
      <c r="R17" s="131"/>
      <c r="S17" s="131"/>
    </row>
    <row r="18" spans="1:19" ht="15.75" thickTop="1" x14ac:dyDescent="0.25">
      <c r="A18" s="50">
        <v>1</v>
      </c>
      <c r="B18" s="51">
        <v>136</v>
      </c>
      <c r="C18" s="39"/>
      <c r="D18" s="40"/>
      <c r="E18" s="41"/>
      <c r="F18" s="39"/>
      <c r="G18" s="42"/>
      <c r="H18" s="43"/>
      <c r="J18" s="128">
        <f>SUMXMY2(B22:B173,C22:C173)/COUNT(C22:C173)</f>
        <v>222.94202302631578</v>
      </c>
      <c r="K18" s="128">
        <f>SUMXMY2(B23:B173,D23:D173)/COUNT(D23:D173)</f>
        <v>215.94172185430466</v>
      </c>
      <c r="L18" s="128">
        <f>SUMXMY2(B24:B173,E24:E173)/COUNT(E24:E173)</f>
        <v>213.54296296296289</v>
      </c>
      <c r="M18" s="128">
        <f>SUMXMY2($B$19:$B$173,F19:F173)/COUNT(F19:F173)</f>
        <v>201.60269314672905</v>
      </c>
      <c r="N18" s="128">
        <f>SUMXMY2($B$19:$B$173,G19:G173)/COUNT(G19:G173)</f>
        <v>233.95925875075537</v>
      </c>
      <c r="O18" s="128">
        <f>SUMXMY2($B$19:$B$173,H19:H173)/COUNT(H19:H173)</f>
        <v>273.77003808044924</v>
      </c>
      <c r="P18" s="122"/>
      <c r="Q18" s="131">
        <f>MIN(J18:O18)</f>
        <v>201.60269314672905</v>
      </c>
      <c r="R18" s="131"/>
      <c r="S18" s="131"/>
    </row>
    <row r="19" spans="1:19" x14ac:dyDescent="0.25">
      <c r="A19" s="52">
        <v>2</v>
      </c>
      <c r="B19" s="51">
        <v>157</v>
      </c>
      <c r="C19" s="44"/>
      <c r="D19" s="45"/>
      <c r="E19" s="46"/>
      <c r="F19" s="39">
        <f>0.6*B18+0.4*B18</f>
        <v>136</v>
      </c>
      <c r="G19" s="42">
        <f>0.5*B18+0.5*B18</f>
        <v>136</v>
      </c>
      <c r="H19" s="43">
        <f>0.75*B18+0.25*B18</f>
        <v>136</v>
      </c>
      <c r="J19" s="129"/>
      <c r="K19" s="129"/>
      <c r="L19" s="129"/>
      <c r="M19" s="129"/>
      <c r="N19" s="129"/>
      <c r="O19" s="129"/>
      <c r="P19" s="122"/>
      <c r="Q19" s="131"/>
      <c r="R19" s="131"/>
      <c r="S19" s="131"/>
    </row>
    <row r="20" spans="1:19" x14ac:dyDescent="0.25">
      <c r="A20" s="52">
        <v>3</v>
      </c>
      <c r="B20" s="51">
        <v>145</v>
      </c>
      <c r="C20" s="44"/>
      <c r="D20" s="45"/>
      <c r="E20" s="46"/>
      <c r="F20" s="39">
        <f>0.25*B19+0.75*F19</f>
        <v>141.25</v>
      </c>
      <c r="G20" s="42">
        <f>0.5*B19+0.5*G19</f>
        <v>146.5</v>
      </c>
      <c r="H20" s="43">
        <f>0.75*B19+0.25*H19</f>
        <v>151.75</v>
      </c>
    </row>
    <row r="21" spans="1:19" x14ac:dyDescent="0.25">
      <c r="A21" s="52">
        <v>4</v>
      </c>
      <c r="B21" s="51">
        <v>127</v>
      </c>
      <c r="C21" s="44"/>
      <c r="D21" s="45"/>
      <c r="E21" s="46"/>
      <c r="F21" s="39">
        <f t="shared" ref="F21:F84" si="0">0.25*B20+0.75*F20</f>
        <v>142.1875</v>
      </c>
      <c r="G21" s="42">
        <f t="shared" ref="G21:G84" si="1">0.5*B20+0.5*G20</f>
        <v>145.75</v>
      </c>
      <c r="H21" s="43">
        <f t="shared" ref="H21:H84" si="2">0.75*B20+0.25*H20</f>
        <v>146.6875</v>
      </c>
    </row>
    <row r="22" spans="1:19" x14ac:dyDescent="0.25">
      <c r="A22" s="52">
        <v>5</v>
      </c>
      <c r="B22" s="51">
        <v>152</v>
      </c>
      <c r="C22" s="44">
        <f>AVERAGE(B18:B21)</f>
        <v>141.25</v>
      </c>
      <c r="D22" s="45"/>
      <c r="E22" s="46"/>
      <c r="F22" s="39">
        <f t="shared" si="0"/>
        <v>138.390625</v>
      </c>
      <c r="G22" s="42">
        <f t="shared" si="1"/>
        <v>136.375</v>
      </c>
      <c r="H22" s="43">
        <f t="shared" si="2"/>
        <v>131.921875</v>
      </c>
    </row>
    <row r="23" spans="1:19" x14ac:dyDescent="0.25">
      <c r="A23" s="52">
        <v>6</v>
      </c>
      <c r="B23" s="51">
        <v>134</v>
      </c>
      <c r="C23" s="44">
        <f>AVERAGE(B19:B22)</f>
        <v>145.25</v>
      </c>
      <c r="D23" s="45">
        <f>AVERAGE(B18:B22)</f>
        <v>143.4</v>
      </c>
      <c r="E23" s="46"/>
      <c r="F23" s="39">
        <f t="shared" si="0"/>
        <v>141.79296875</v>
      </c>
      <c r="G23" s="42">
        <f t="shared" si="1"/>
        <v>144.1875</v>
      </c>
      <c r="H23" s="43">
        <f t="shared" si="2"/>
        <v>146.98046875</v>
      </c>
    </row>
    <row r="24" spans="1:19" x14ac:dyDescent="0.25">
      <c r="A24" s="52">
        <v>7</v>
      </c>
      <c r="B24" s="51">
        <v>140</v>
      </c>
      <c r="C24" s="44">
        <f t="shared" ref="C24:C86" si="3">AVERAGE(B20:B23)</f>
        <v>139.5</v>
      </c>
      <c r="D24" s="45">
        <f t="shared" ref="D24:D87" si="4">AVERAGE(B19:B23)</f>
        <v>143</v>
      </c>
      <c r="E24" s="46">
        <f>AVERAGE(B18:B23)</f>
        <v>141.83333333333334</v>
      </c>
      <c r="F24" s="39">
        <f t="shared" si="0"/>
        <v>139.8447265625</v>
      </c>
      <c r="G24" s="42">
        <f t="shared" si="1"/>
        <v>139.09375</v>
      </c>
      <c r="H24" s="43">
        <f t="shared" si="2"/>
        <v>137.2451171875</v>
      </c>
    </row>
    <row r="25" spans="1:19" x14ac:dyDescent="0.25">
      <c r="A25" s="52">
        <v>8</v>
      </c>
      <c r="B25" s="51">
        <v>130</v>
      </c>
      <c r="C25" s="44">
        <f t="shared" si="3"/>
        <v>138.25</v>
      </c>
      <c r="D25" s="45">
        <f t="shared" si="4"/>
        <v>139.6</v>
      </c>
      <c r="E25" s="46">
        <f t="shared" ref="E25:E88" si="5">AVERAGE(B19:B24)</f>
        <v>142.5</v>
      </c>
      <c r="F25" s="39">
        <f t="shared" si="0"/>
        <v>139.883544921875</v>
      </c>
      <c r="G25" s="42">
        <f t="shared" si="1"/>
        <v>139.546875</v>
      </c>
      <c r="H25" s="43">
        <f t="shared" si="2"/>
        <v>139.311279296875</v>
      </c>
    </row>
    <row r="26" spans="1:19" x14ac:dyDescent="0.25">
      <c r="A26" s="52">
        <v>9</v>
      </c>
      <c r="B26" s="51">
        <v>146</v>
      </c>
      <c r="C26" s="44">
        <f t="shared" si="3"/>
        <v>139</v>
      </c>
      <c r="D26" s="45">
        <f t="shared" si="4"/>
        <v>136.6</v>
      </c>
      <c r="E26" s="46">
        <f t="shared" si="5"/>
        <v>138</v>
      </c>
      <c r="F26" s="39">
        <f t="shared" si="0"/>
        <v>137.41265869140625</v>
      </c>
      <c r="G26" s="42">
        <f t="shared" si="1"/>
        <v>134.7734375</v>
      </c>
      <c r="H26" s="43">
        <f t="shared" si="2"/>
        <v>132.32781982421875</v>
      </c>
    </row>
    <row r="27" spans="1:19" x14ac:dyDescent="0.25">
      <c r="A27" s="52">
        <v>10</v>
      </c>
      <c r="B27" s="51">
        <v>140</v>
      </c>
      <c r="C27" s="44">
        <f t="shared" si="3"/>
        <v>137.5</v>
      </c>
      <c r="D27" s="45">
        <f t="shared" si="4"/>
        <v>140.4</v>
      </c>
      <c r="E27" s="46">
        <f t="shared" si="5"/>
        <v>138.16666666666666</v>
      </c>
      <c r="F27" s="39">
        <f t="shared" si="0"/>
        <v>139.55949401855469</v>
      </c>
      <c r="G27" s="42">
        <f t="shared" si="1"/>
        <v>140.38671875</v>
      </c>
      <c r="H27" s="43">
        <f t="shared" si="2"/>
        <v>142.58195495605469</v>
      </c>
    </row>
    <row r="28" spans="1:19" x14ac:dyDescent="0.25">
      <c r="A28" s="52">
        <v>11</v>
      </c>
      <c r="B28" s="51">
        <v>138</v>
      </c>
      <c r="C28" s="44">
        <f t="shared" si="3"/>
        <v>139</v>
      </c>
      <c r="D28" s="45">
        <f t="shared" si="4"/>
        <v>138</v>
      </c>
      <c r="E28" s="46">
        <f t="shared" si="5"/>
        <v>140.33333333333334</v>
      </c>
      <c r="F28" s="39">
        <f t="shared" si="0"/>
        <v>139.66962051391602</v>
      </c>
      <c r="G28" s="42">
        <f t="shared" si="1"/>
        <v>140.193359375</v>
      </c>
      <c r="H28" s="43">
        <f t="shared" si="2"/>
        <v>140.64548873901367</v>
      </c>
    </row>
    <row r="29" spans="1:19" x14ac:dyDescent="0.25">
      <c r="A29" s="52">
        <v>12</v>
      </c>
      <c r="B29" s="51">
        <v>141</v>
      </c>
      <c r="C29" s="44">
        <f t="shared" si="3"/>
        <v>138.5</v>
      </c>
      <c r="D29" s="45">
        <f t="shared" si="4"/>
        <v>138.80000000000001</v>
      </c>
      <c r="E29" s="46">
        <f t="shared" si="5"/>
        <v>138</v>
      </c>
      <c r="F29" s="39">
        <f t="shared" si="0"/>
        <v>139.25221538543701</v>
      </c>
      <c r="G29" s="42">
        <f t="shared" si="1"/>
        <v>139.0966796875</v>
      </c>
      <c r="H29" s="43">
        <f t="shared" si="2"/>
        <v>138.66137218475342</v>
      </c>
    </row>
    <row r="30" spans="1:19" x14ac:dyDescent="0.25">
      <c r="A30" s="52">
        <v>13</v>
      </c>
      <c r="B30" s="51">
        <v>152</v>
      </c>
      <c r="C30" s="44">
        <f t="shared" si="3"/>
        <v>141.25</v>
      </c>
      <c r="D30" s="45">
        <f t="shared" si="4"/>
        <v>139</v>
      </c>
      <c r="E30" s="46">
        <f t="shared" si="5"/>
        <v>139.16666666666666</v>
      </c>
      <c r="F30" s="39">
        <f t="shared" si="0"/>
        <v>139.68916153907776</v>
      </c>
      <c r="G30" s="42">
        <f t="shared" si="1"/>
        <v>140.04833984375</v>
      </c>
      <c r="H30" s="43">
        <f t="shared" si="2"/>
        <v>140.41534304618835</v>
      </c>
    </row>
    <row r="31" spans="1:19" x14ac:dyDescent="0.25">
      <c r="A31" s="52">
        <v>14</v>
      </c>
      <c r="B31" s="51">
        <v>129</v>
      </c>
      <c r="C31" s="44">
        <f t="shared" si="3"/>
        <v>142.75</v>
      </c>
      <c r="D31" s="45">
        <f t="shared" si="4"/>
        <v>143.4</v>
      </c>
      <c r="E31" s="46">
        <f t="shared" si="5"/>
        <v>141.16666666666666</v>
      </c>
      <c r="F31" s="39">
        <f t="shared" si="0"/>
        <v>142.76687115430832</v>
      </c>
      <c r="G31" s="42">
        <f t="shared" si="1"/>
        <v>146.024169921875</v>
      </c>
      <c r="H31" s="43">
        <f t="shared" si="2"/>
        <v>149.10383576154709</v>
      </c>
    </row>
    <row r="32" spans="1:19" x14ac:dyDescent="0.25">
      <c r="A32" s="52">
        <v>15</v>
      </c>
      <c r="B32" s="51">
        <v>153</v>
      </c>
      <c r="C32" s="44">
        <f t="shared" si="3"/>
        <v>140</v>
      </c>
      <c r="D32" s="45">
        <f t="shared" si="4"/>
        <v>140</v>
      </c>
      <c r="E32" s="46">
        <f t="shared" si="5"/>
        <v>141</v>
      </c>
      <c r="F32" s="39">
        <f t="shared" si="0"/>
        <v>139.32515336573124</v>
      </c>
      <c r="G32" s="42">
        <f t="shared" si="1"/>
        <v>137.5120849609375</v>
      </c>
      <c r="H32" s="43">
        <f t="shared" si="2"/>
        <v>134.02595894038677</v>
      </c>
    </row>
    <row r="33" spans="1:8" x14ac:dyDescent="0.25">
      <c r="A33" s="52">
        <v>16</v>
      </c>
      <c r="B33" s="51">
        <v>132</v>
      </c>
      <c r="C33" s="44">
        <f t="shared" si="3"/>
        <v>143.75</v>
      </c>
      <c r="D33" s="45">
        <f t="shared" si="4"/>
        <v>142.6</v>
      </c>
      <c r="E33" s="46">
        <f t="shared" si="5"/>
        <v>142.16666666666666</v>
      </c>
      <c r="F33" s="39">
        <f t="shared" si="0"/>
        <v>142.74386502429843</v>
      </c>
      <c r="G33" s="42">
        <f t="shared" si="1"/>
        <v>145.25604248046875</v>
      </c>
      <c r="H33" s="43">
        <f t="shared" si="2"/>
        <v>148.25648973509669</v>
      </c>
    </row>
    <row r="34" spans="1:8" x14ac:dyDescent="0.25">
      <c r="A34" s="52">
        <v>17</v>
      </c>
      <c r="B34" s="51">
        <v>134</v>
      </c>
      <c r="C34" s="44">
        <f t="shared" si="3"/>
        <v>141.5</v>
      </c>
      <c r="D34" s="45">
        <f t="shared" si="4"/>
        <v>141.4</v>
      </c>
      <c r="E34" s="46">
        <f t="shared" si="5"/>
        <v>140.83333333333334</v>
      </c>
      <c r="F34" s="39">
        <f t="shared" si="0"/>
        <v>140.05789876822382</v>
      </c>
      <c r="G34" s="42">
        <f t="shared" si="1"/>
        <v>138.62802124023438</v>
      </c>
      <c r="H34" s="43">
        <f t="shared" si="2"/>
        <v>136.06412243377417</v>
      </c>
    </row>
    <row r="35" spans="1:8" x14ac:dyDescent="0.25">
      <c r="A35" s="52">
        <v>18</v>
      </c>
      <c r="B35" s="51">
        <v>129</v>
      </c>
      <c r="C35" s="44">
        <f t="shared" si="3"/>
        <v>137</v>
      </c>
      <c r="D35" s="45">
        <f t="shared" si="4"/>
        <v>140</v>
      </c>
      <c r="E35" s="46">
        <f t="shared" si="5"/>
        <v>140.16666666666666</v>
      </c>
      <c r="F35" s="39">
        <f t="shared" si="0"/>
        <v>138.54342407616787</v>
      </c>
      <c r="G35" s="42">
        <f t="shared" si="1"/>
        <v>136.31401062011719</v>
      </c>
      <c r="H35" s="43">
        <f t="shared" si="2"/>
        <v>134.51603060844354</v>
      </c>
    </row>
    <row r="36" spans="1:8" x14ac:dyDescent="0.25">
      <c r="A36" s="52">
        <v>19</v>
      </c>
      <c r="B36" s="51">
        <v>154</v>
      </c>
      <c r="C36" s="44">
        <f t="shared" si="3"/>
        <v>137</v>
      </c>
      <c r="D36" s="45">
        <f t="shared" si="4"/>
        <v>135.4</v>
      </c>
      <c r="E36" s="46">
        <f t="shared" si="5"/>
        <v>138.16666666666666</v>
      </c>
      <c r="F36" s="39">
        <f t="shared" si="0"/>
        <v>136.1575680571259</v>
      </c>
      <c r="G36" s="42">
        <f t="shared" si="1"/>
        <v>132.65700531005859</v>
      </c>
      <c r="H36" s="43">
        <f t="shared" si="2"/>
        <v>130.37900765211089</v>
      </c>
    </row>
    <row r="37" spans="1:8" x14ac:dyDescent="0.25">
      <c r="A37" s="52">
        <v>20</v>
      </c>
      <c r="B37" s="51">
        <v>120</v>
      </c>
      <c r="C37" s="44">
        <f t="shared" si="3"/>
        <v>137.25</v>
      </c>
      <c r="D37" s="45">
        <f t="shared" si="4"/>
        <v>140.4</v>
      </c>
      <c r="E37" s="46">
        <f t="shared" si="5"/>
        <v>138.5</v>
      </c>
      <c r="F37" s="39">
        <f t="shared" si="0"/>
        <v>140.61817604284442</v>
      </c>
      <c r="G37" s="42">
        <f t="shared" si="1"/>
        <v>143.3285026550293</v>
      </c>
      <c r="H37" s="43">
        <f t="shared" si="2"/>
        <v>148.09475191302772</v>
      </c>
    </row>
    <row r="38" spans="1:8" x14ac:dyDescent="0.25">
      <c r="A38" s="52">
        <v>21</v>
      </c>
      <c r="B38" s="51">
        <v>118</v>
      </c>
      <c r="C38" s="44">
        <f t="shared" si="3"/>
        <v>134.25</v>
      </c>
      <c r="D38" s="45">
        <f t="shared" si="4"/>
        <v>133.80000000000001</v>
      </c>
      <c r="E38" s="46">
        <f t="shared" si="5"/>
        <v>137</v>
      </c>
      <c r="F38" s="39">
        <f t="shared" si="0"/>
        <v>135.46363203213332</v>
      </c>
      <c r="G38" s="42">
        <f t="shared" si="1"/>
        <v>131.66425132751465</v>
      </c>
      <c r="H38" s="43">
        <f t="shared" si="2"/>
        <v>127.02368797825693</v>
      </c>
    </row>
    <row r="39" spans="1:8" x14ac:dyDescent="0.25">
      <c r="A39" s="52">
        <v>22</v>
      </c>
      <c r="B39" s="51">
        <v>149</v>
      </c>
      <c r="C39" s="44">
        <f t="shared" si="3"/>
        <v>130.25</v>
      </c>
      <c r="D39" s="45">
        <f t="shared" si="4"/>
        <v>131</v>
      </c>
      <c r="E39" s="46">
        <f t="shared" si="5"/>
        <v>131.16666666666666</v>
      </c>
      <c r="F39" s="39">
        <f t="shared" si="0"/>
        <v>131.09772402409999</v>
      </c>
      <c r="G39" s="42">
        <f t="shared" si="1"/>
        <v>124.83212566375732</v>
      </c>
      <c r="H39" s="43">
        <f t="shared" si="2"/>
        <v>120.25592199456423</v>
      </c>
    </row>
    <row r="40" spans="1:8" x14ac:dyDescent="0.25">
      <c r="A40" s="52">
        <v>23</v>
      </c>
      <c r="B40" s="51">
        <v>148</v>
      </c>
      <c r="C40" s="44">
        <f t="shared" si="3"/>
        <v>135.25</v>
      </c>
      <c r="D40" s="45">
        <f t="shared" si="4"/>
        <v>134</v>
      </c>
      <c r="E40" s="46">
        <f t="shared" si="5"/>
        <v>134</v>
      </c>
      <c r="F40" s="39">
        <f t="shared" si="0"/>
        <v>135.57329301807499</v>
      </c>
      <c r="G40" s="42">
        <f t="shared" si="1"/>
        <v>136.91606283187866</v>
      </c>
      <c r="H40" s="43">
        <f t="shared" si="2"/>
        <v>141.81398049864106</v>
      </c>
    </row>
    <row r="41" spans="1:8" x14ac:dyDescent="0.25">
      <c r="A41" s="52">
        <v>24</v>
      </c>
      <c r="B41" s="51">
        <v>118</v>
      </c>
      <c r="C41" s="44">
        <f t="shared" si="3"/>
        <v>133.75</v>
      </c>
      <c r="D41" s="45">
        <f t="shared" si="4"/>
        <v>137.80000000000001</v>
      </c>
      <c r="E41" s="46">
        <f t="shared" si="5"/>
        <v>136.33333333333334</v>
      </c>
      <c r="F41" s="39">
        <f t="shared" si="0"/>
        <v>138.67996976355624</v>
      </c>
      <c r="G41" s="42">
        <f t="shared" si="1"/>
        <v>142.45803141593933</v>
      </c>
      <c r="H41" s="43">
        <f t="shared" si="2"/>
        <v>146.45349512466026</v>
      </c>
    </row>
    <row r="42" spans="1:8" x14ac:dyDescent="0.25">
      <c r="A42" s="52">
        <v>25</v>
      </c>
      <c r="B42" s="51">
        <v>156</v>
      </c>
      <c r="C42" s="44">
        <f t="shared" si="3"/>
        <v>133.25</v>
      </c>
      <c r="D42" s="45">
        <f t="shared" si="4"/>
        <v>130.6</v>
      </c>
      <c r="E42" s="46">
        <f t="shared" si="5"/>
        <v>134.5</v>
      </c>
      <c r="F42" s="39">
        <f t="shared" si="0"/>
        <v>133.50997732266717</v>
      </c>
      <c r="G42" s="42">
        <f t="shared" si="1"/>
        <v>130.22901570796967</v>
      </c>
      <c r="H42" s="43">
        <f t="shared" si="2"/>
        <v>125.11337378116507</v>
      </c>
    </row>
    <row r="43" spans="1:8" x14ac:dyDescent="0.25">
      <c r="A43" s="52">
        <v>26</v>
      </c>
      <c r="B43" s="51">
        <v>147</v>
      </c>
      <c r="C43" s="44">
        <f t="shared" si="3"/>
        <v>142.75</v>
      </c>
      <c r="D43" s="45">
        <f t="shared" si="4"/>
        <v>137.80000000000001</v>
      </c>
      <c r="E43" s="46">
        <f t="shared" si="5"/>
        <v>134.83333333333334</v>
      </c>
      <c r="F43" s="39">
        <f t="shared" si="0"/>
        <v>139.13248299200038</v>
      </c>
      <c r="G43" s="42">
        <f t="shared" si="1"/>
        <v>143.11450785398483</v>
      </c>
      <c r="H43" s="43">
        <f t="shared" si="2"/>
        <v>148.27834344529126</v>
      </c>
    </row>
    <row r="44" spans="1:8" x14ac:dyDescent="0.25">
      <c r="A44" s="52">
        <v>27</v>
      </c>
      <c r="B44" s="51">
        <v>155</v>
      </c>
      <c r="C44" s="44">
        <f t="shared" si="3"/>
        <v>142.25</v>
      </c>
      <c r="D44" s="45">
        <f t="shared" si="4"/>
        <v>143.6</v>
      </c>
      <c r="E44" s="46">
        <f t="shared" si="5"/>
        <v>139.33333333333334</v>
      </c>
      <c r="F44" s="39">
        <f t="shared" si="0"/>
        <v>141.09936224400028</v>
      </c>
      <c r="G44" s="42">
        <f t="shared" si="1"/>
        <v>145.05725392699242</v>
      </c>
      <c r="H44" s="43">
        <f t="shared" si="2"/>
        <v>147.31958586132282</v>
      </c>
    </row>
    <row r="45" spans="1:8" x14ac:dyDescent="0.25">
      <c r="A45" s="52">
        <v>28</v>
      </c>
      <c r="B45" s="51">
        <v>124</v>
      </c>
      <c r="C45" s="44">
        <f t="shared" si="3"/>
        <v>144</v>
      </c>
      <c r="D45" s="45">
        <f t="shared" si="4"/>
        <v>144.80000000000001</v>
      </c>
      <c r="E45" s="46">
        <f t="shared" si="5"/>
        <v>145.5</v>
      </c>
      <c r="F45" s="39">
        <f t="shared" si="0"/>
        <v>144.5745216830002</v>
      </c>
      <c r="G45" s="42">
        <f t="shared" si="1"/>
        <v>150.02862696349621</v>
      </c>
      <c r="H45" s="43">
        <f t="shared" si="2"/>
        <v>153.07989646533071</v>
      </c>
    </row>
    <row r="46" spans="1:8" x14ac:dyDescent="0.25">
      <c r="A46" s="52">
        <v>29</v>
      </c>
      <c r="B46" s="51">
        <v>121</v>
      </c>
      <c r="C46" s="44">
        <f t="shared" si="3"/>
        <v>145.5</v>
      </c>
      <c r="D46" s="45">
        <f t="shared" si="4"/>
        <v>140</v>
      </c>
      <c r="E46" s="46">
        <f t="shared" si="5"/>
        <v>141.33333333333334</v>
      </c>
      <c r="F46" s="39">
        <f t="shared" si="0"/>
        <v>139.43089126225016</v>
      </c>
      <c r="G46" s="42">
        <f t="shared" si="1"/>
        <v>137.0143134817481</v>
      </c>
      <c r="H46" s="43">
        <f t="shared" si="2"/>
        <v>131.26997411633266</v>
      </c>
    </row>
    <row r="47" spans="1:8" x14ac:dyDescent="0.25">
      <c r="A47" s="52">
        <v>30</v>
      </c>
      <c r="B47" s="51">
        <v>158</v>
      </c>
      <c r="C47" s="44">
        <f t="shared" si="3"/>
        <v>136.75</v>
      </c>
      <c r="D47" s="45">
        <f t="shared" si="4"/>
        <v>140.6</v>
      </c>
      <c r="E47" s="46">
        <f t="shared" si="5"/>
        <v>136.83333333333334</v>
      </c>
      <c r="F47" s="39">
        <f t="shared" si="0"/>
        <v>134.82316844668762</v>
      </c>
      <c r="G47" s="42">
        <f t="shared" si="1"/>
        <v>129.00715674087405</v>
      </c>
      <c r="H47" s="43">
        <f t="shared" si="2"/>
        <v>123.56749352908317</v>
      </c>
    </row>
    <row r="48" spans="1:8" x14ac:dyDescent="0.25">
      <c r="A48" s="52">
        <v>31</v>
      </c>
      <c r="B48" s="51">
        <v>120</v>
      </c>
      <c r="C48" s="44">
        <f t="shared" si="3"/>
        <v>139.5</v>
      </c>
      <c r="D48" s="45">
        <f t="shared" si="4"/>
        <v>141</v>
      </c>
      <c r="E48" s="46">
        <f t="shared" si="5"/>
        <v>143.5</v>
      </c>
      <c r="F48" s="39">
        <f t="shared" si="0"/>
        <v>140.61737633501571</v>
      </c>
      <c r="G48" s="42">
        <f t="shared" si="1"/>
        <v>143.50357837043703</v>
      </c>
      <c r="H48" s="43">
        <f t="shared" si="2"/>
        <v>149.3918733822708</v>
      </c>
    </row>
    <row r="49" spans="1:8" x14ac:dyDescent="0.25">
      <c r="A49" s="52">
        <v>32</v>
      </c>
      <c r="B49" s="51">
        <v>134</v>
      </c>
      <c r="C49" s="44">
        <f t="shared" si="3"/>
        <v>130.75</v>
      </c>
      <c r="D49" s="45">
        <f t="shared" si="4"/>
        <v>135.6</v>
      </c>
      <c r="E49" s="46">
        <f t="shared" si="5"/>
        <v>137.5</v>
      </c>
      <c r="F49" s="39">
        <f t="shared" si="0"/>
        <v>135.46303225126178</v>
      </c>
      <c r="G49" s="42">
        <f t="shared" si="1"/>
        <v>131.75178918521851</v>
      </c>
      <c r="H49" s="43">
        <f t="shared" si="2"/>
        <v>127.34796834556769</v>
      </c>
    </row>
    <row r="50" spans="1:8" x14ac:dyDescent="0.25">
      <c r="A50" s="52">
        <v>33</v>
      </c>
      <c r="B50" s="51">
        <v>143</v>
      </c>
      <c r="C50" s="44">
        <f t="shared" si="3"/>
        <v>133.25</v>
      </c>
      <c r="D50" s="45">
        <f t="shared" si="4"/>
        <v>131.4</v>
      </c>
      <c r="E50" s="46">
        <f t="shared" si="5"/>
        <v>135.33333333333334</v>
      </c>
      <c r="F50" s="39">
        <f t="shared" si="0"/>
        <v>135.09727418844633</v>
      </c>
      <c r="G50" s="42">
        <f t="shared" si="1"/>
        <v>132.87589459260926</v>
      </c>
      <c r="H50" s="43">
        <f t="shared" si="2"/>
        <v>132.33699208639192</v>
      </c>
    </row>
    <row r="51" spans="1:8" x14ac:dyDescent="0.25">
      <c r="A51" s="52">
        <v>34</v>
      </c>
      <c r="B51" s="51">
        <v>124</v>
      </c>
      <c r="C51" s="44">
        <f t="shared" si="3"/>
        <v>138.75</v>
      </c>
      <c r="D51" s="45">
        <f t="shared" si="4"/>
        <v>135.19999999999999</v>
      </c>
      <c r="E51" s="46">
        <f t="shared" si="5"/>
        <v>133.33333333333334</v>
      </c>
      <c r="F51" s="39">
        <f t="shared" si="0"/>
        <v>137.07295564133474</v>
      </c>
      <c r="G51" s="42">
        <f t="shared" si="1"/>
        <v>137.93794729630463</v>
      </c>
      <c r="H51" s="43">
        <f t="shared" si="2"/>
        <v>140.33424802159797</v>
      </c>
    </row>
    <row r="52" spans="1:8" x14ac:dyDescent="0.25">
      <c r="A52" s="52">
        <v>35</v>
      </c>
      <c r="B52" s="51">
        <v>146</v>
      </c>
      <c r="C52" s="44">
        <f t="shared" si="3"/>
        <v>130.25</v>
      </c>
      <c r="D52" s="45">
        <f t="shared" si="4"/>
        <v>135.80000000000001</v>
      </c>
      <c r="E52" s="46">
        <f t="shared" si="5"/>
        <v>133.33333333333334</v>
      </c>
      <c r="F52" s="39">
        <f t="shared" si="0"/>
        <v>133.80471673100106</v>
      </c>
      <c r="G52" s="42">
        <f t="shared" si="1"/>
        <v>130.96897364815231</v>
      </c>
      <c r="H52" s="43">
        <f t="shared" si="2"/>
        <v>128.0835620053995</v>
      </c>
    </row>
    <row r="53" spans="1:8" x14ac:dyDescent="0.25">
      <c r="A53" s="52">
        <v>36</v>
      </c>
      <c r="B53" s="51">
        <v>129</v>
      </c>
      <c r="C53" s="44">
        <f t="shared" si="3"/>
        <v>136.75</v>
      </c>
      <c r="D53" s="45">
        <f t="shared" si="4"/>
        <v>133.4</v>
      </c>
      <c r="E53" s="46">
        <f t="shared" si="5"/>
        <v>137.5</v>
      </c>
      <c r="F53" s="39">
        <f t="shared" si="0"/>
        <v>136.85353754825081</v>
      </c>
      <c r="G53" s="42">
        <f t="shared" si="1"/>
        <v>138.48448682407616</v>
      </c>
      <c r="H53" s="43">
        <f t="shared" si="2"/>
        <v>141.52089050134987</v>
      </c>
    </row>
    <row r="54" spans="1:8" x14ac:dyDescent="0.25">
      <c r="A54" s="52">
        <v>37</v>
      </c>
      <c r="B54" s="51">
        <v>158</v>
      </c>
      <c r="C54" s="44">
        <f t="shared" si="3"/>
        <v>135.5</v>
      </c>
      <c r="D54" s="45">
        <f t="shared" si="4"/>
        <v>135.19999999999999</v>
      </c>
      <c r="E54" s="46">
        <f t="shared" si="5"/>
        <v>132.66666666666666</v>
      </c>
      <c r="F54" s="39">
        <f t="shared" si="0"/>
        <v>134.8901531611881</v>
      </c>
      <c r="G54" s="42">
        <f t="shared" si="1"/>
        <v>133.74224341203808</v>
      </c>
      <c r="H54" s="43">
        <f t="shared" si="2"/>
        <v>132.13022262533747</v>
      </c>
    </row>
    <row r="55" spans="1:8" x14ac:dyDescent="0.25">
      <c r="A55" s="52">
        <v>38</v>
      </c>
      <c r="B55" s="51">
        <v>141</v>
      </c>
      <c r="C55" s="44">
        <f t="shared" si="3"/>
        <v>139.25</v>
      </c>
      <c r="D55" s="45">
        <f t="shared" si="4"/>
        <v>140</v>
      </c>
      <c r="E55" s="46">
        <f t="shared" si="5"/>
        <v>139</v>
      </c>
      <c r="F55" s="39">
        <f t="shared" si="0"/>
        <v>140.66761487089107</v>
      </c>
      <c r="G55" s="42">
        <f t="shared" si="1"/>
        <v>145.87112170601904</v>
      </c>
      <c r="H55" s="43">
        <f t="shared" si="2"/>
        <v>151.53255565633435</v>
      </c>
    </row>
    <row r="56" spans="1:8" x14ac:dyDescent="0.25">
      <c r="A56" s="52">
        <v>39</v>
      </c>
      <c r="B56" s="51">
        <v>148</v>
      </c>
      <c r="C56" s="44">
        <f t="shared" si="3"/>
        <v>143.5</v>
      </c>
      <c r="D56" s="45">
        <f t="shared" si="4"/>
        <v>139.6</v>
      </c>
      <c r="E56" s="46">
        <f t="shared" si="5"/>
        <v>140.16666666666666</v>
      </c>
      <c r="F56" s="39">
        <f t="shared" si="0"/>
        <v>140.75071115316831</v>
      </c>
      <c r="G56" s="42">
        <f t="shared" si="1"/>
        <v>143.43556085300952</v>
      </c>
      <c r="H56" s="43">
        <f t="shared" si="2"/>
        <v>143.63313891408359</v>
      </c>
    </row>
    <row r="57" spans="1:8" x14ac:dyDescent="0.25">
      <c r="A57" s="52">
        <v>40</v>
      </c>
      <c r="B57" s="51">
        <v>154</v>
      </c>
      <c r="C57" s="44">
        <f t="shared" si="3"/>
        <v>144</v>
      </c>
      <c r="D57" s="45">
        <f t="shared" si="4"/>
        <v>144.4</v>
      </c>
      <c r="E57" s="46">
        <f t="shared" si="5"/>
        <v>141</v>
      </c>
      <c r="F57" s="39">
        <f t="shared" si="0"/>
        <v>142.56303336487622</v>
      </c>
      <c r="G57" s="42">
        <f t="shared" si="1"/>
        <v>145.71778042650476</v>
      </c>
      <c r="H57" s="43">
        <f t="shared" si="2"/>
        <v>146.9082847285209</v>
      </c>
    </row>
    <row r="58" spans="1:8" x14ac:dyDescent="0.25">
      <c r="A58" s="52">
        <v>41</v>
      </c>
      <c r="B58" s="51">
        <v>155</v>
      </c>
      <c r="C58" s="44">
        <f t="shared" si="3"/>
        <v>150.25</v>
      </c>
      <c r="D58" s="45">
        <f t="shared" si="4"/>
        <v>146</v>
      </c>
      <c r="E58" s="46">
        <f t="shared" si="5"/>
        <v>146</v>
      </c>
      <c r="F58" s="39">
        <f t="shared" si="0"/>
        <v>145.42227502365716</v>
      </c>
      <c r="G58" s="42">
        <f t="shared" si="1"/>
        <v>149.85889021325238</v>
      </c>
      <c r="H58" s="43">
        <f t="shared" si="2"/>
        <v>152.22707118213023</v>
      </c>
    </row>
    <row r="59" spans="1:8" x14ac:dyDescent="0.25">
      <c r="A59" s="52">
        <v>42</v>
      </c>
      <c r="B59" s="51">
        <v>133</v>
      </c>
      <c r="C59" s="44">
        <f t="shared" si="3"/>
        <v>149.5</v>
      </c>
      <c r="D59" s="45">
        <f t="shared" si="4"/>
        <v>151.19999999999999</v>
      </c>
      <c r="E59" s="46">
        <f t="shared" si="5"/>
        <v>147.5</v>
      </c>
      <c r="F59" s="39">
        <f t="shared" si="0"/>
        <v>147.81670626774286</v>
      </c>
      <c r="G59" s="42">
        <f t="shared" si="1"/>
        <v>152.42944510662619</v>
      </c>
      <c r="H59" s="43">
        <f t="shared" si="2"/>
        <v>154.30676779553255</v>
      </c>
    </row>
    <row r="60" spans="1:8" x14ac:dyDescent="0.25">
      <c r="A60" s="52">
        <v>43</v>
      </c>
      <c r="B60" s="51">
        <v>125</v>
      </c>
      <c r="C60" s="44">
        <f t="shared" si="3"/>
        <v>147.5</v>
      </c>
      <c r="D60" s="45">
        <f t="shared" si="4"/>
        <v>146.19999999999999</v>
      </c>
      <c r="E60" s="46">
        <f t="shared" si="5"/>
        <v>148.16666666666666</v>
      </c>
      <c r="F60" s="39">
        <f t="shared" si="0"/>
        <v>144.11252970080716</v>
      </c>
      <c r="G60" s="42">
        <f t="shared" si="1"/>
        <v>142.71472255331309</v>
      </c>
      <c r="H60" s="43">
        <f t="shared" si="2"/>
        <v>138.32669194888314</v>
      </c>
    </row>
    <row r="61" spans="1:8" x14ac:dyDescent="0.25">
      <c r="A61" s="52">
        <v>44</v>
      </c>
      <c r="B61" s="51">
        <v>144</v>
      </c>
      <c r="C61" s="44">
        <f t="shared" si="3"/>
        <v>141.75</v>
      </c>
      <c r="D61" s="45">
        <f t="shared" si="4"/>
        <v>143</v>
      </c>
      <c r="E61" s="46">
        <f t="shared" si="5"/>
        <v>142.66666666666666</v>
      </c>
      <c r="F61" s="39">
        <f t="shared" si="0"/>
        <v>139.33439727560537</v>
      </c>
      <c r="G61" s="42">
        <f t="shared" si="1"/>
        <v>133.85736127665655</v>
      </c>
      <c r="H61" s="43">
        <f t="shared" si="2"/>
        <v>128.33167298722077</v>
      </c>
    </row>
    <row r="62" spans="1:8" x14ac:dyDescent="0.25">
      <c r="A62" s="52">
        <v>45</v>
      </c>
      <c r="B62" s="51">
        <v>122</v>
      </c>
      <c r="C62" s="44">
        <f t="shared" si="3"/>
        <v>139.25</v>
      </c>
      <c r="D62" s="45">
        <f t="shared" si="4"/>
        <v>142.19999999999999</v>
      </c>
      <c r="E62" s="46">
        <f t="shared" si="5"/>
        <v>143.16666666666666</v>
      </c>
      <c r="F62" s="39">
        <f t="shared" si="0"/>
        <v>140.50079795670402</v>
      </c>
      <c r="G62" s="42">
        <f t="shared" si="1"/>
        <v>138.92868063832827</v>
      </c>
      <c r="H62" s="43">
        <f t="shared" si="2"/>
        <v>140.08291824680521</v>
      </c>
    </row>
    <row r="63" spans="1:8" x14ac:dyDescent="0.25">
      <c r="A63" s="52">
        <v>46</v>
      </c>
      <c r="B63" s="51">
        <v>123</v>
      </c>
      <c r="C63" s="44">
        <f t="shared" si="3"/>
        <v>131</v>
      </c>
      <c r="D63" s="45">
        <f t="shared" si="4"/>
        <v>135.80000000000001</v>
      </c>
      <c r="E63" s="46">
        <f t="shared" si="5"/>
        <v>138.83333333333334</v>
      </c>
      <c r="F63" s="39">
        <f t="shared" si="0"/>
        <v>135.87559846752802</v>
      </c>
      <c r="G63" s="42">
        <f t="shared" si="1"/>
        <v>130.46434031916414</v>
      </c>
      <c r="H63" s="43">
        <f t="shared" si="2"/>
        <v>126.5207295617013</v>
      </c>
    </row>
    <row r="64" spans="1:8" x14ac:dyDescent="0.25">
      <c r="A64" s="52">
        <v>47</v>
      </c>
      <c r="B64" s="51">
        <v>147</v>
      </c>
      <c r="C64" s="44">
        <f t="shared" si="3"/>
        <v>128.5</v>
      </c>
      <c r="D64" s="45">
        <f t="shared" si="4"/>
        <v>129.4</v>
      </c>
      <c r="E64" s="46">
        <f t="shared" si="5"/>
        <v>133.66666666666666</v>
      </c>
      <c r="F64" s="39">
        <f t="shared" si="0"/>
        <v>132.65669885064602</v>
      </c>
      <c r="G64" s="42">
        <f t="shared" si="1"/>
        <v>126.73217015958207</v>
      </c>
      <c r="H64" s="43">
        <f t="shared" si="2"/>
        <v>123.88018239042532</v>
      </c>
    </row>
    <row r="65" spans="1:8" x14ac:dyDescent="0.25">
      <c r="A65" s="52">
        <v>48</v>
      </c>
      <c r="B65" s="51">
        <v>159</v>
      </c>
      <c r="C65" s="44">
        <f t="shared" si="3"/>
        <v>134</v>
      </c>
      <c r="D65" s="45">
        <f t="shared" si="4"/>
        <v>132.19999999999999</v>
      </c>
      <c r="E65" s="46">
        <f t="shared" si="5"/>
        <v>132.33333333333334</v>
      </c>
      <c r="F65" s="39">
        <f t="shared" si="0"/>
        <v>136.2425241379845</v>
      </c>
      <c r="G65" s="42">
        <f t="shared" si="1"/>
        <v>136.86608507979105</v>
      </c>
      <c r="H65" s="43">
        <f t="shared" si="2"/>
        <v>141.22004559760632</v>
      </c>
    </row>
    <row r="66" spans="1:8" x14ac:dyDescent="0.25">
      <c r="A66" s="52">
        <v>49</v>
      </c>
      <c r="B66" s="51">
        <v>152</v>
      </c>
      <c r="C66" s="44">
        <f t="shared" si="3"/>
        <v>137.75</v>
      </c>
      <c r="D66" s="45">
        <f t="shared" si="4"/>
        <v>139</v>
      </c>
      <c r="E66" s="46">
        <f t="shared" si="5"/>
        <v>136.66666666666666</v>
      </c>
      <c r="F66" s="39">
        <f t="shared" si="0"/>
        <v>141.93189310348839</v>
      </c>
      <c r="G66" s="42">
        <f t="shared" si="1"/>
        <v>147.93304253989552</v>
      </c>
      <c r="H66" s="43">
        <f t="shared" si="2"/>
        <v>154.55501139940156</v>
      </c>
    </row>
    <row r="67" spans="1:8" x14ac:dyDescent="0.25">
      <c r="A67" s="52">
        <v>50</v>
      </c>
      <c r="B67" s="51">
        <v>150</v>
      </c>
      <c r="C67" s="44">
        <f t="shared" si="3"/>
        <v>145.25</v>
      </c>
      <c r="D67" s="45">
        <f t="shared" si="4"/>
        <v>140.6</v>
      </c>
      <c r="E67" s="46">
        <f t="shared" si="5"/>
        <v>141.16666666666666</v>
      </c>
      <c r="F67" s="39">
        <f t="shared" si="0"/>
        <v>144.44891982761629</v>
      </c>
      <c r="G67" s="42">
        <f t="shared" si="1"/>
        <v>149.96652126994775</v>
      </c>
      <c r="H67" s="43">
        <f t="shared" si="2"/>
        <v>152.63875284985039</v>
      </c>
    </row>
    <row r="68" spans="1:8" x14ac:dyDescent="0.25">
      <c r="A68" s="52">
        <v>51</v>
      </c>
      <c r="B68" s="51">
        <v>119</v>
      </c>
      <c r="C68" s="44">
        <f t="shared" si="3"/>
        <v>152</v>
      </c>
      <c r="D68" s="45">
        <f t="shared" si="4"/>
        <v>146.19999999999999</v>
      </c>
      <c r="E68" s="46">
        <f t="shared" si="5"/>
        <v>142.16666666666666</v>
      </c>
      <c r="F68" s="39">
        <f t="shared" si="0"/>
        <v>145.83668987071223</v>
      </c>
      <c r="G68" s="42">
        <f t="shared" si="1"/>
        <v>149.98326063497387</v>
      </c>
      <c r="H68" s="43">
        <f t="shared" si="2"/>
        <v>150.65968821246258</v>
      </c>
    </row>
    <row r="69" spans="1:8" x14ac:dyDescent="0.25">
      <c r="A69" s="52">
        <v>52</v>
      </c>
      <c r="B69" s="51">
        <v>115</v>
      </c>
      <c r="C69" s="44">
        <f t="shared" si="3"/>
        <v>145</v>
      </c>
      <c r="D69" s="45">
        <f t="shared" si="4"/>
        <v>145.4</v>
      </c>
      <c r="E69" s="46">
        <f t="shared" si="5"/>
        <v>141.66666666666666</v>
      </c>
      <c r="F69" s="39">
        <f t="shared" si="0"/>
        <v>139.12751740303418</v>
      </c>
      <c r="G69" s="42">
        <f t="shared" si="1"/>
        <v>134.49163031748694</v>
      </c>
      <c r="H69" s="43">
        <f t="shared" si="2"/>
        <v>126.91492205311565</v>
      </c>
    </row>
    <row r="70" spans="1:8" x14ac:dyDescent="0.25">
      <c r="A70" s="52">
        <v>53</v>
      </c>
      <c r="B70" s="51">
        <v>115</v>
      </c>
      <c r="C70" s="44">
        <f t="shared" si="3"/>
        <v>134</v>
      </c>
      <c r="D70" s="45">
        <f t="shared" si="4"/>
        <v>139</v>
      </c>
      <c r="E70" s="46">
        <f t="shared" si="5"/>
        <v>140.33333333333334</v>
      </c>
      <c r="F70" s="39">
        <f t="shared" si="0"/>
        <v>133.09563805227563</v>
      </c>
      <c r="G70" s="42">
        <f t="shared" si="1"/>
        <v>124.74581515874347</v>
      </c>
      <c r="H70" s="43">
        <f t="shared" si="2"/>
        <v>117.97873051327892</v>
      </c>
    </row>
    <row r="71" spans="1:8" x14ac:dyDescent="0.25">
      <c r="A71" s="52">
        <v>54</v>
      </c>
      <c r="B71" s="51">
        <v>159</v>
      </c>
      <c r="C71" s="44">
        <f t="shared" si="3"/>
        <v>124.75</v>
      </c>
      <c r="D71" s="45">
        <f t="shared" si="4"/>
        <v>130.19999999999999</v>
      </c>
      <c r="E71" s="46">
        <f t="shared" si="5"/>
        <v>135</v>
      </c>
      <c r="F71" s="39">
        <f t="shared" si="0"/>
        <v>128.57172853920673</v>
      </c>
      <c r="G71" s="42">
        <f t="shared" si="1"/>
        <v>119.87290757937174</v>
      </c>
      <c r="H71" s="43">
        <f t="shared" si="2"/>
        <v>115.74468262831974</v>
      </c>
    </row>
    <row r="72" spans="1:8" x14ac:dyDescent="0.25">
      <c r="A72" s="52">
        <v>55</v>
      </c>
      <c r="B72" s="51">
        <v>131</v>
      </c>
      <c r="C72" s="44">
        <f t="shared" si="3"/>
        <v>127</v>
      </c>
      <c r="D72" s="45">
        <f t="shared" si="4"/>
        <v>131.6</v>
      </c>
      <c r="E72" s="46">
        <f t="shared" si="5"/>
        <v>135</v>
      </c>
      <c r="F72" s="39">
        <f t="shared" si="0"/>
        <v>136.17879640440503</v>
      </c>
      <c r="G72" s="42">
        <f t="shared" si="1"/>
        <v>139.43645378968586</v>
      </c>
      <c r="H72" s="43">
        <f t="shared" si="2"/>
        <v>148.18617065707994</v>
      </c>
    </row>
    <row r="73" spans="1:8" x14ac:dyDescent="0.25">
      <c r="A73" s="52">
        <v>56</v>
      </c>
      <c r="B73" s="51">
        <v>116</v>
      </c>
      <c r="C73" s="44">
        <f t="shared" si="3"/>
        <v>130</v>
      </c>
      <c r="D73" s="45">
        <f t="shared" si="4"/>
        <v>127.8</v>
      </c>
      <c r="E73" s="46">
        <f t="shared" si="5"/>
        <v>131.5</v>
      </c>
      <c r="F73" s="39">
        <f t="shared" si="0"/>
        <v>134.88409730330378</v>
      </c>
      <c r="G73" s="42">
        <f t="shared" si="1"/>
        <v>135.21822689484293</v>
      </c>
      <c r="H73" s="43">
        <f t="shared" si="2"/>
        <v>135.29654266426999</v>
      </c>
    </row>
    <row r="74" spans="1:8" x14ac:dyDescent="0.25">
      <c r="A74" s="52">
        <v>57</v>
      </c>
      <c r="B74" s="51">
        <v>127</v>
      </c>
      <c r="C74" s="44">
        <f t="shared" si="3"/>
        <v>130.25</v>
      </c>
      <c r="D74" s="45">
        <f t="shared" si="4"/>
        <v>127.2</v>
      </c>
      <c r="E74" s="46">
        <f t="shared" si="5"/>
        <v>125.83333333333333</v>
      </c>
      <c r="F74" s="39">
        <f t="shared" si="0"/>
        <v>130.16307297747784</v>
      </c>
      <c r="G74" s="42">
        <f t="shared" si="1"/>
        <v>125.60911344742146</v>
      </c>
      <c r="H74" s="43">
        <f t="shared" si="2"/>
        <v>120.82413566606749</v>
      </c>
    </row>
    <row r="75" spans="1:8" x14ac:dyDescent="0.25">
      <c r="A75" s="52">
        <v>58</v>
      </c>
      <c r="B75" s="51">
        <v>141</v>
      </c>
      <c r="C75" s="44">
        <f t="shared" si="3"/>
        <v>133.25</v>
      </c>
      <c r="D75" s="45">
        <f t="shared" si="4"/>
        <v>129.6</v>
      </c>
      <c r="E75" s="46">
        <f t="shared" si="5"/>
        <v>127.16666666666667</v>
      </c>
      <c r="F75" s="39">
        <f t="shared" si="0"/>
        <v>129.37230473310836</v>
      </c>
      <c r="G75" s="42">
        <f t="shared" si="1"/>
        <v>126.30455672371073</v>
      </c>
      <c r="H75" s="43">
        <f t="shared" si="2"/>
        <v>125.45603391651687</v>
      </c>
    </row>
    <row r="76" spans="1:8" x14ac:dyDescent="0.25">
      <c r="A76" s="52">
        <v>59</v>
      </c>
      <c r="B76" s="51">
        <v>157</v>
      </c>
      <c r="C76" s="44">
        <f t="shared" si="3"/>
        <v>128.75</v>
      </c>
      <c r="D76" s="45">
        <f t="shared" si="4"/>
        <v>134.80000000000001</v>
      </c>
      <c r="E76" s="46">
        <f t="shared" si="5"/>
        <v>131.5</v>
      </c>
      <c r="F76" s="39">
        <f t="shared" si="0"/>
        <v>132.27922854983126</v>
      </c>
      <c r="G76" s="42">
        <f t="shared" si="1"/>
        <v>133.65227836185537</v>
      </c>
      <c r="H76" s="43">
        <f t="shared" si="2"/>
        <v>137.11400847912921</v>
      </c>
    </row>
    <row r="77" spans="1:8" x14ac:dyDescent="0.25">
      <c r="A77" s="52">
        <v>60</v>
      </c>
      <c r="B77" s="51">
        <v>118</v>
      </c>
      <c r="C77" s="44">
        <f t="shared" si="3"/>
        <v>135.25</v>
      </c>
      <c r="D77" s="45">
        <f t="shared" si="4"/>
        <v>134.4</v>
      </c>
      <c r="E77" s="46">
        <f t="shared" si="5"/>
        <v>138.5</v>
      </c>
      <c r="F77" s="39">
        <f t="shared" si="0"/>
        <v>138.45942141237344</v>
      </c>
      <c r="G77" s="42">
        <f t="shared" si="1"/>
        <v>145.32613918092767</v>
      </c>
      <c r="H77" s="43">
        <f t="shared" si="2"/>
        <v>152.0285021197823</v>
      </c>
    </row>
    <row r="78" spans="1:8" x14ac:dyDescent="0.25">
      <c r="A78" s="52">
        <v>61</v>
      </c>
      <c r="B78" s="51">
        <v>132</v>
      </c>
      <c r="C78" s="44">
        <f t="shared" si="3"/>
        <v>135.75</v>
      </c>
      <c r="D78" s="45">
        <f t="shared" si="4"/>
        <v>131.80000000000001</v>
      </c>
      <c r="E78" s="46">
        <f t="shared" si="5"/>
        <v>131.66666666666666</v>
      </c>
      <c r="F78" s="39">
        <f t="shared" si="0"/>
        <v>133.34456605928008</v>
      </c>
      <c r="G78" s="42">
        <f t="shared" si="1"/>
        <v>131.66306959046383</v>
      </c>
      <c r="H78" s="43">
        <f t="shared" si="2"/>
        <v>126.50712552994557</v>
      </c>
    </row>
    <row r="79" spans="1:8" x14ac:dyDescent="0.25">
      <c r="A79" s="52">
        <v>62</v>
      </c>
      <c r="B79" s="51">
        <v>118</v>
      </c>
      <c r="C79" s="44">
        <f t="shared" si="3"/>
        <v>137</v>
      </c>
      <c r="D79" s="45">
        <f t="shared" si="4"/>
        <v>135</v>
      </c>
      <c r="E79" s="46">
        <f t="shared" si="5"/>
        <v>131.83333333333334</v>
      </c>
      <c r="F79" s="39">
        <f t="shared" si="0"/>
        <v>133.00842454446007</v>
      </c>
      <c r="G79" s="42">
        <f t="shared" si="1"/>
        <v>131.8315347952319</v>
      </c>
      <c r="H79" s="43">
        <f t="shared" si="2"/>
        <v>130.6267813824864</v>
      </c>
    </row>
    <row r="80" spans="1:8" x14ac:dyDescent="0.25">
      <c r="A80" s="52">
        <v>63</v>
      </c>
      <c r="B80" s="51">
        <v>135</v>
      </c>
      <c r="C80" s="44">
        <f t="shared" si="3"/>
        <v>131.25</v>
      </c>
      <c r="D80" s="45">
        <f t="shared" si="4"/>
        <v>133.19999999999999</v>
      </c>
      <c r="E80" s="46">
        <f t="shared" si="5"/>
        <v>132.16666666666666</v>
      </c>
      <c r="F80" s="39">
        <f t="shared" si="0"/>
        <v>129.25631840834507</v>
      </c>
      <c r="G80" s="42">
        <f t="shared" si="1"/>
        <v>124.91576739761595</v>
      </c>
      <c r="H80" s="43">
        <f t="shared" si="2"/>
        <v>121.1566953456216</v>
      </c>
    </row>
    <row r="81" spans="1:8" x14ac:dyDescent="0.25">
      <c r="A81" s="52">
        <v>64</v>
      </c>
      <c r="B81" s="51">
        <v>157</v>
      </c>
      <c r="C81" s="44">
        <f t="shared" si="3"/>
        <v>125.75</v>
      </c>
      <c r="D81" s="45">
        <f t="shared" si="4"/>
        <v>132</v>
      </c>
      <c r="E81" s="46">
        <f t="shared" si="5"/>
        <v>133.5</v>
      </c>
      <c r="F81" s="39">
        <f t="shared" si="0"/>
        <v>130.69223880625879</v>
      </c>
      <c r="G81" s="42">
        <f t="shared" si="1"/>
        <v>129.95788369880796</v>
      </c>
      <c r="H81" s="43">
        <f t="shared" si="2"/>
        <v>131.53917383640541</v>
      </c>
    </row>
    <row r="82" spans="1:8" x14ac:dyDescent="0.25">
      <c r="A82" s="52">
        <v>65</v>
      </c>
      <c r="B82" s="51">
        <v>135</v>
      </c>
      <c r="C82" s="44">
        <f t="shared" si="3"/>
        <v>135.5</v>
      </c>
      <c r="D82" s="45">
        <f t="shared" si="4"/>
        <v>132</v>
      </c>
      <c r="E82" s="46">
        <f t="shared" si="5"/>
        <v>136.16666666666666</v>
      </c>
      <c r="F82" s="39">
        <f t="shared" si="0"/>
        <v>137.2691791046941</v>
      </c>
      <c r="G82" s="42">
        <f t="shared" si="1"/>
        <v>143.47894184940398</v>
      </c>
      <c r="H82" s="43">
        <f t="shared" si="2"/>
        <v>150.63479345910136</v>
      </c>
    </row>
    <row r="83" spans="1:8" x14ac:dyDescent="0.25">
      <c r="A83" s="52">
        <v>66</v>
      </c>
      <c r="B83" s="51">
        <v>147</v>
      </c>
      <c r="C83" s="44">
        <f t="shared" si="3"/>
        <v>136.25</v>
      </c>
      <c r="D83" s="45">
        <f t="shared" si="4"/>
        <v>135.4</v>
      </c>
      <c r="E83" s="46">
        <f t="shared" si="5"/>
        <v>132.5</v>
      </c>
      <c r="F83" s="39">
        <f t="shared" si="0"/>
        <v>136.70188432852058</v>
      </c>
      <c r="G83" s="42">
        <f t="shared" si="1"/>
        <v>139.239470924702</v>
      </c>
      <c r="H83" s="43">
        <f t="shared" si="2"/>
        <v>138.90869836477535</v>
      </c>
    </row>
    <row r="84" spans="1:8" x14ac:dyDescent="0.25">
      <c r="A84" s="52">
        <v>67</v>
      </c>
      <c r="B84" s="51">
        <v>125</v>
      </c>
      <c r="C84" s="44">
        <f t="shared" si="3"/>
        <v>143.5</v>
      </c>
      <c r="D84" s="45">
        <f t="shared" si="4"/>
        <v>138.4</v>
      </c>
      <c r="E84" s="46">
        <f t="shared" si="5"/>
        <v>137.33333333333334</v>
      </c>
      <c r="F84" s="39">
        <f t="shared" si="0"/>
        <v>139.27641324639043</v>
      </c>
      <c r="G84" s="42">
        <f t="shared" si="1"/>
        <v>143.119735462351</v>
      </c>
      <c r="H84" s="43">
        <f t="shared" si="2"/>
        <v>144.97717459119383</v>
      </c>
    </row>
    <row r="85" spans="1:8" x14ac:dyDescent="0.25">
      <c r="A85" s="52">
        <v>68</v>
      </c>
      <c r="B85" s="51">
        <v>132</v>
      </c>
      <c r="C85" s="44">
        <f t="shared" si="3"/>
        <v>141</v>
      </c>
      <c r="D85" s="45">
        <f t="shared" si="4"/>
        <v>139.80000000000001</v>
      </c>
      <c r="E85" s="46">
        <f t="shared" si="5"/>
        <v>136.16666666666666</v>
      </c>
      <c r="F85" s="39">
        <f t="shared" ref="F85:F148" si="6">0.25*B84+0.75*F84</f>
        <v>135.70730993479282</v>
      </c>
      <c r="G85" s="42">
        <f t="shared" ref="G85:G148" si="7">0.5*B84+0.5*G84</f>
        <v>134.0598677311755</v>
      </c>
      <c r="H85" s="43">
        <f t="shared" ref="H85:H148" si="8">0.75*B84+0.25*H84</f>
        <v>129.99429364779846</v>
      </c>
    </row>
    <row r="86" spans="1:8" x14ac:dyDescent="0.25">
      <c r="A86" s="52">
        <v>69</v>
      </c>
      <c r="B86" s="51">
        <v>116</v>
      </c>
      <c r="C86" s="44">
        <f t="shared" si="3"/>
        <v>134.75</v>
      </c>
      <c r="D86" s="45">
        <f t="shared" si="4"/>
        <v>139.19999999999999</v>
      </c>
      <c r="E86" s="46">
        <f t="shared" si="5"/>
        <v>138.5</v>
      </c>
      <c r="F86" s="39">
        <f t="shared" si="6"/>
        <v>134.7804824510946</v>
      </c>
      <c r="G86" s="42">
        <f t="shared" si="7"/>
        <v>133.02993386558774</v>
      </c>
      <c r="H86" s="43">
        <f t="shared" si="8"/>
        <v>131.49857341194962</v>
      </c>
    </row>
    <row r="87" spans="1:8" x14ac:dyDescent="0.25">
      <c r="A87" s="52">
        <v>70</v>
      </c>
      <c r="B87" s="51">
        <v>131</v>
      </c>
      <c r="C87" s="44">
        <f t="shared" ref="C87:C150" si="9">AVERAGE(B83:B86)</f>
        <v>130</v>
      </c>
      <c r="D87" s="45">
        <f t="shared" si="4"/>
        <v>131</v>
      </c>
      <c r="E87" s="46">
        <f t="shared" si="5"/>
        <v>135.33333333333334</v>
      </c>
      <c r="F87" s="39">
        <f t="shared" si="6"/>
        <v>130.08536183832095</v>
      </c>
      <c r="G87" s="42">
        <f t="shared" si="7"/>
        <v>124.51496693279387</v>
      </c>
      <c r="H87" s="43">
        <f t="shared" si="8"/>
        <v>119.87464335298741</v>
      </c>
    </row>
    <row r="88" spans="1:8" x14ac:dyDescent="0.25">
      <c r="A88" s="52">
        <v>71</v>
      </c>
      <c r="B88" s="51">
        <v>148</v>
      </c>
      <c r="C88" s="44">
        <f t="shared" si="9"/>
        <v>126</v>
      </c>
      <c r="D88" s="45">
        <f t="shared" ref="D88:D151" si="10">AVERAGE(B83:B87)</f>
        <v>130.19999999999999</v>
      </c>
      <c r="E88" s="46">
        <f t="shared" si="5"/>
        <v>131</v>
      </c>
      <c r="F88" s="39">
        <f t="shared" si="6"/>
        <v>130.3140213787407</v>
      </c>
      <c r="G88" s="42">
        <f t="shared" si="7"/>
        <v>127.75748346639693</v>
      </c>
      <c r="H88" s="43">
        <f t="shared" si="8"/>
        <v>128.21866083824685</v>
      </c>
    </row>
    <row r="89" spans="1:8" x14ac:dyDescent="0.25">
      <c r="A89" s="52">
        <v>72</v>
      </c>
      <c r="B89" s="51">
        <v>143</v>
      </c>
      <c r="C89" s="44">
        <f t="shared" si="9"/>
        <v>131.75</v>
      </c>
      <c r="D89" s="45">
        <f t="shared" si="10"/>
        <v>130.4</v>
      </c>
      <c r="E89" s="46">
        <f t="shared" ref="E89:E152" si="11">AVERAGE(B83:B88)</f>
        <v>133.16666666666666</v>
      </c>
      <c r="F89" s="39">
        <f t="shared" si="6"/>
        <v>134.73551603405554</v>
      </c>
      <c r="G89" s="42">
        <f t="shared" si="7"/>
        <v>137.87874173319847</v>
      </c>
      <c r="H89" s="43">
        <f t="shared" si="8"/>
        <v>143.0546652095617</v>
      </c>
    </row>
    <row r="90" spans="1:8" x14ac:dyDescent="0.25">
      <c r="A90" s="52">
        <v>73</v>
      </c>
      <c r="B90" s="51">
        <v>115</v>
      </c>
      <c r="C90" s="44">
        <f t="shared" si="9"/>
        <v>134.5</v>
      </c>
      <c r="D90" s="45">
        <f t="shared" si="10"/>
        <v>134</v>
      </c>
      <c r="E90" s="46">
        <f t="shared" si="11"/>
        <v>132.5</v>
      </c>
      <c r="F90" s="39">
        <f t="shared" si="6"/>
        <v>136.80163702554165</v>
      </c>
      <c r="G90" s="42">
        <f t="shared" si="7"/>
        <v>140.43937086659923</v>
      </c>
      <c r="H90" s="43">
        <f t="shared" si="8"/>
        <v>143.01366630239042</v>
      </c>
    </row>
    <row r="91" spans="1:8" x14ac:dyDescent="0.25">
      <c r="A91" s="52">
        <v>74</v>
      </c>
      <c r="B91" s="51">
        <v>151</v>
      </c>
      <c r="C91" s="44">
        <f t="shared" si="9"/>
        <v>134.25</v>
      </c>
      <c r="D91" s="45">
        <f t="shared" si="10"/>
        <v>130.6</v>
      </c>
      <c r="E91" s="46">
        <f t="shared" si="11"/>
        <v>130.83333333333334</v>
      </c>
      <c r="F91" s="39">
        <f t="shared" si="6"/>
        <v>131.35122776915625</v>
      </c>
      <c r="G91" s="42">
        <f t="shared" si="7"/>
        <v>127.71968543329962</v>
      </c>
      <c r="H91" s="43">
        <f t="shared" si="8"/>
        <v>122.00341657559761</v>
      </c>
    </row>
    <row r="92" spans="1:8" x14ac:dyDescent="0.25">
      <c r="A92" s="52">
        <v>75</v>
      </c>
      <c r="B92" s="51">
        <v>155</v>
      </c>
      <c r="C92" s="44">
        <f t="shared" si="9"/>
        <v>139.25</v>
      </c>
      <c r="D92" s="45">
        <f t="shared" si="10"/>
        <v>137.6</v>
      </c>
      <c r="E92" s="46">
        <f t="shared" si="11"/>
        <v>134</v>
      </c>
      <c r="F92" s="39">
        <f t="shared" si="6"/>
        <v>136.26342082686719</v>
      </c>
      <c r="G92" s="42">
        <f t="shared" si="7"/>
        <v>139.35984271664981</v>
      </c>
      <c r="H92" s="43">
        <f t="shared" si="8"/>
        <v>143.7508541438994</v>
      </c>
    </row>
    <row r="93" spans="1:8" x14ac:dyDescent="0.25">
      <c r="A93" s="52">
        <v>76</v>
      </c>
      <c r="B93" s="51">
        <v>142</v>
      </c>
      <c r="C93" s="44">
        <f t="shared" si="9"/>
        <v>141</v>
      </c>
      <c r="D93" s="45">
        <f t="shared" si="10"/>
        <v>142.4</v>
      </c>
      <c r="E93" s="46">
        <f t="shared" si="11"/>
        <v>140.5</v>
      </c>
      <c r="F93" s="39">
        <f t="shared" si="6"/>
        <v>140.94756562015039</v>
      </c>
      <c r="G93" s="42">
        <f t="shared" si="7"/>
        <v>147.17992135832492</v>
      </c>
      <c r="H93" s="43">
        <f t="shared" si="8"/>
        <v>152.18771353597486</v>
      </c>
    </row>
    <row r="94" spans="1:8" x14ac:dyDescent="0.25">
      <c r="A94" s="52">
        <v>77</v>
      </c>
      <c r="B94" s="51">
        <v>125</v>
      </c>
      <c r="C94" s="44">
        <f t="shared" si="9"/>
        <v>140.75</v>
      </c>
      <c r="D94" s="45">
        <f t="shared" si="10"/>
        <v>141.19999999999999</v>
      </c>
      <c r="E94" s="46">
        <f t="shared" si="11"/>
        <v>142.33333333333334</v>
      </c>
      <c r="F94" s="39">
        <f t="shared" si="6"/>
        <v>141.21067421511279</v>
      </c>
      <c r="G94" s="42">
        <f t="shared" si="7"/>
        <v>144.58996067916246</v>
      </c>
      <c r="H94" s="43">
        <f t="shared" si="8"/>
        <v>144.5469283839937</v>
      </c>
    </row>
    <row r="95" spans="1:8" x14ac:dyDescent="0.25">
      <c r="A95" s="52">
        <v>78</v>
      </c>
      <c r="B95" s="51">
        <v>132</v>
      </c>
      <c r="C95" s="44">
        <f t="shared" si="9"/>
        <v>143.25</v>
      </c>
      <c r="D95" s="45">
        <f t="shared" si="10"/>
        <v>137.6</v>
      </c>
      <c r="E95" s="46">
        <f t="shared" si="11"/>
        <v>138.5</v>
      </c>
      <c r="F95" s="39">
        <f t="shared" si="6"/>
        <v>137.15800566133458</v>
      </c>
      <c r="G95" s="42">
        <f t="shared" si="7"/>
        <v>134.79498033958123</v>
      </c>
      <c r="H95" s="43">
        <f t="shared" si="8"/>
        <v>129.88673209599841</v>
      </c>
    </row>
    <row r="96" spans="1:8" x14ac:dyDescent="0.25">
      <c r="A96" s="52">
        <v>79</v>
      </c>
      <c r="B96" s="51">
        <v>159</v>
      </c>
      <c r="C96" s="44">
        <f t="shared" si="9"/>
        <v>138.5</v>
      </c>
      <c r="D96" s="45">
        <f t="shared" si="10"/>
        <v>141</v>
      </c>
      <c r="E96" s="46">
        <f t="shared" si="11"/>
        <v>136.66666666666666</v>
      </c>
      <c r="F96" s="39">
        <f t="shared" si="6"/>
        <v>135.86850424600095</v>
      </c>
      <c r="G96" s="42">
        <f t="shared" si="7"/>
        <v>133.39749016979061</v>
      </c>
      <c r="H96" s="43">
        <f t="shared" si="8"/>
        <v>131.47168302399962</v>
      </c>
    </row>
    <row r="97" spans="1:8" x14ac:dyDescent="0.25">
      <c r="A97" s="52">
        <v>80</v>
      </c>
      <c r="B97" s="51">
        <v>150</v>
      </c>
      <c r="C97" s="44">
        <f t="shared" si="9"/>
        <v>139.5</v>
      </c>
      <c r="D97" s="45">
        <f t="shared" si="10"/>
        <v>142.6</v>
      </c>
      <c r="E97" s="46">
        <f t="shared" si="11"/>
        <v>144</v>
      </c>
      <c r="F97" s="39">
        <f t="shared" si="6"/>
        <v>141.65137818450071</v>
      </c>
      <c r="G97" s="42">
        <f t="shared" si="7"/>
        <v>146.19874508489531</v>
      </c>
      <c r="H97" s="43">
        <f t="shared" si="8"/>
        <v>152.1179207559999</v>
      </c>
    </row>
    <row r="98" spans="1:8" x14ac:dyDescent="0.25">
      <c r="A98" s="52">
        <v>81</v>
      </c>
      <c r="B98" s="51">
        <v>139</v>
      </c>
      <c r="C98" s="44">
        <f t="shared" si="9"/>
        <v>141.5</v>
      </c>
      <c r="D98" s="45">
        <f t="shared" si="10"/>
        <v>141.6</v>
      </c>
      <c r="E98" s="46">
        <f t="shared" si="11"/>
        <v>143.83333333333334</v>
      </c>
      <c r="F98" s="39">
        <f t="shared" si="6"/>
        <v>143.73853363837554</v>
      </c>
      <c r="G98" s="42">
        <f t="shared" si="7"/>
        <v>148.09937254244767</v>
      </c>
      <c r="H98" s="43">
        <f t="shared" si="8"/>
        <v>150.52948018899997</v>
      </c>
    </row>
    <row r="99" spans="1:8" x14ac:dyDescent="0.25">
      <c r="A99" s="52">
        <v>82</v>
      </c>
      <c r="B99" s="51">
        <v>122</v>
      </c>
      <c r="C99" s="44">
        <f t="shared" si="9"/>
        <v>145</v>
      </c>
      <c r="D99" s="45">
        <f t="shared" si="10"/>
        <v>141</v>
      </c>
      <c r="E99" s="46">
        <f t="shared" si="11"/>
        <v>141.16666666666666</v>
      </c>
      <c r="F99" s="39">
        <f t="shared" si="6"/>
        <v>142.55390022878166</v>
      </c>
      <c r="G99" s="42">
        <f t="shared" si="7"/>
        <v>143.54968627122383</v>
      </c>
      <c r="H99" s="43">
        <f t="shared" si="8"/>
        <v>141.88237004724999</v>
      </c>
    </row>
    <row r="100" spans="1:8" x14ac:dyDescent="0.25">
      <c r="A100" s="52">
        <v>83</v>
      </c>
      <c r="B100" s="51">
        <v>120</v>
      </c>
      <c r="C100" s="44">
        <f t="shared" si="9"/>
        <v>142.5</v>
      </c>
      <c r="D100" s="45">
        <f t="shared" si="10"/>
        <v>140.4</v>
      </c>
      <c r="E100" s="46">
        <f t="shared" si="11"/>
        <v>137.83333333333334</v>
      </c>
      <c r="F100" s="39">
        <f t="shared" si="6"/>
        <v>137.41542517158624</v>
      </c>
      <c r="G100" s="42">
        <f t="shared" si="7"/>
        <v>132.77484313561192</v>
      </c>
      <c r="H100" s="43">
        <f t="shared" si="8"/>
        <v>126.9705925118125</v>
      </c>
    </row>
    <row r="101" spans="1:8" x14ac:dyDescent="0.25">
      <c r="A101" s="52">
        <v>84</v>
      </c>
      <c r="B101" s="51">
        <v>119</v>
      </c>
      <c r="C101" s="44">
        <f t="shared" si="9"/>
        <v>132.75</v>
      </c>
      <c r="D101" s="45">
        <f t="shared" si="10"/>
        <v>138</v>
      </c>
      <c r="E101" s="46">
        <f t="shared" si="11"/>
        <v>137</v>
      </c>
      <c r="F101" s="39">
        <f t="shared" si="6"/>
        <v>133.06156887868968</v>
      </c>
      <c r="G101" s="42">
        <f t="shared" si="7"/>
        <v>126.38742156780596</v>
      </c>
      <c r="H101" s="43">
        <f t="shared" si="8"/>
        <v>121.74264812795312</v>
      </c>
    </row>
    <row r="102" spans="1:8" x14ac:dyDescent="0.25">
      <c r="A102" s="52">
        <v>85</v>
      </c>
      <c r="B102" s="51">
        <v>140</v>
      </c>
      <c r="C102" s="44">
        <f t="shared" si="9"/>
        <v>125</v>
      </c>
      <c r="D102" s="45">
        <f t="shared" si="10"/>
        <v>130</v>
      </c>
      <c r="E102" s="46">
        <f t="shared" si="11"/>
        <v>134.83333333333334</v>
      </c>
      <c r="F102" s="39">
        <f t="shared" si="6"/>
        <v>129.54617665901725</v>
      </c>
      <c r="G102" s="42">
        <f t="shared" si="7"/>
        <v>122.69371078390299</v>
      </c>
      <c r="H102" s="43">
        <f t="shared" si="8"/>
        <v>119.68566203198827</v>
      </c>
    </row>
    <row r="103" spans="1:8" x14ac:dyDescent="0.25">
      <c r="A103" s="52">
        <v>86</v>
      </c>
      <c r="B103" s="51">
        <v>130</v>
      </c>
      <c r="C103" s="44">
        <f t="shared" si="9"/>
        <v>125.25</v>
      </c>
      <c r="D103" s="45">
        <f t="shared" si="10"/>
        <v>128</v>
      </c>
      <c r="E103" s="46">
        <f t="shared" si="11"/>
        <v>131.66666666666666</v>
      </c>
      <c r="F103" s="39">
        <f t="shared" si="6"/>
        <v>132.15963249426295</v>
      </c>
      <c r="G103" s="42">
        <f t="shared" si="7"/>
        <v>131.34685539195149</v>
      </c>
      <c r="H103" s="43">
        <f t="shared" si="8"/>
        <v>134.92141550799707</v>
      </c>
    </row>
    <row r="104" spans="1:8" x14ac:dyDescent="0.25">
      <c r="A104" s="52">
        <v>87</v>
      </c>
      <c r="B104" s="51">
        <v>122</v>
      </c>
      <c r="C104" s="44">
        <f t="shared" si="9"/>
        <v>127.25</v>
      </c>
      <c r="D104" s="45">
        <f t="shared" si="10"/>
        <v>126.2</v>
      </c>
      <c r="E104" s="46">
        <f t="shared" si="11"/>
        <v>128.33333333333334</v>
      </c>
      <c r="F104" s="39">
        <f t="shared" si="6"/>
        <v>131.61972437069721</v>
      </c>
      <c r="G104" s="42">
        <f t="shared" si="7"/>
        <v>130.67342769597576</v>
      </c>
      <c r="H104" s="43">
        <f t="shared" si="8"/>
        <v>131.23035387699926</v>
      </c>
    </row>
    <row r="105" spans="1:8" x14ac:dyDescent="0.25">
      <c r="A105" s="52">
        <v>88</v>
      </c>
      <c r="B105" s="51">
        <v>118</v>
      </c>
      <c r="C105" s="44">
        <f t="shared" si="9"/>
        <v>127.75</v>
      </c>
      <c r="D105" s="45">
        <f t="shared" si="10"/>
        <v>126.2</v>
      </c>
      <c r="E105" s="46">
        <f t="shared" si="11"/>
        <v>125.5</v>
      </c>
      <c r="F105" s="39">
        <f t="shared" si="6"/>
        <v>129.21479327802291</v>
      </c>
      <c r="G105" s="42">
        <f t="shared" si="7"/>
        <v>126.33671384798788</v>
      </c>
      <c r="H105" s="43">
        <f t="shared" si="8"/>
        <v>124.30758846924982</v>
      </c>
    </row>
    <row r="106" spans="1:8" x14ac:dyDescent="0.25">
      <c r="A106" s="52">
        <v>89</v>
      </c>
      <c r="B106" s="51">
        <v>156</v>
      </c>
      <c r="C106" s="44">
        <f t="shared" si="9"/>
        <v>127.5</v>
      </c>
      <c r="D106" s="45">
        <f t="shared" si="10"/>
        <v>125.8</v>
      </c>
      <c r="E106" s="46">
        <f t="shared" si="11"/>
        <v>124.83333333333333</v>
      </c>
      <c r="F106" s="39">
        <f t="shared" si="6"/>
        <v>126.41109495851718</v>
      </c>
      <c r="G106" s="42">
        <f t="shared" si="7"/>
        <v>122.16835692399394</v>
      </c>
      <c r="H106" s="43">
        <f t="shared" si="8"/>
        <v>119.57689711731246</v>
      </c>
    </row>
    <row r="107" spans="1:8" x14ac:dyDescent="0.25">
      <c r="A107" s="52">
        <v>90</v>
      </c>
      <c r="B107" s="51">
        <v>138</v>
      </c>
      <c r="C107" s="44">
        <f t="shared" si="9"/>
        <v>131.5</v>
      </c>
      <c r="D107" s="45">
        <f t="shared" si="10"/>
        <v>133.19999999999999</v>
      </c>
      <c r="E107" s="46">
        <f t="shared" si="11"/>
        <v>130.83333333333334</v>
      </c>
      <c r="F107" s="39">
        <f t="shared" si="6"/>
        <v>133.8083212188879</v>
      </c>
      <c r="G107" s="42">
        <f t="shared" si="7"/>
        <v>139.08417846199697</v>
      </c>
      <c r="H107" s="43">
        <f t="shared" si="8"/>
        <v>146.89422427932811</v>
      </c>
    </row>
    <row r="108" spans="1:8" x14ac:dyDescent="0.25">
      <c r="A108" s="52">
        <v>91</v>
      </c>
      <c r="B108" s="51">
        <v>118</v>
      </c>
      <c r="C108" s="44">
        <f t="shared" si="9"/>
        <v>133.5</v>
      </c>
      <c r="D108" s="45">
        <f t="shared" si="10"/>
        <v>132.80000000000001</v>
      </c>
      <c r="E108" s="46">
        <f t="shared" si="11"/>
        <v>134</v>
      </c>
      <c r="F108" s="39">
        <f t="shared" si="6"/>
        <v>134.85624091416594</v>
      </c>
      <c r="G108" s="42">
        <f t="shared" si="7"/>
        <v>138.5420892309985</v>
      </c>
      <c r="H108" s="43">
        <f t="shared" si="8"/>
        <v>140.22355606983203</v>
      </c>
    </row>
    <row r="109" spans="1:8" x14ac:dyDescent="0.25">
      <c r="A109" s="52">
        <v>92</v>
      </c>
      <c r="B109" s="51">
        <v>146</v>
      </c>
      <c r="C109" s="44">
        <f t="shared" si="9"/>
        <v>132.5</v>
      </c>
      <c r="D109" s="45">
        <f t="shared" si="10"/>
        <v>130.4</v>
      </c>
      <c r="E109" s="46">
        <f t="shared" si="11"/>
        <v>130.33333333333334</v>
      </c>
      <c r="F109" s="39">
        <f t="shared" si="6"/>
        <v>130.64218068562445</v>
      </c>
      <c r="G109" s="42">
        <f t="shared" si="7"/>
        <v>128.27104461549925</v>
      </c>
      <c r="H109" s="43">
        <f t="shared" si="8"/>
        <v>123.55588901745801</v>
      </c>
    </row>
    <row r="110" spans="1:8" x14ac:dyDescent="0.25">
      <c r="A110" s="52">
        <v>93</v>
      </c>
      <c r="B110" s="51">
        <v>138</v>
      </c>
      <c r="C110" s="44">
        <f t="shared" si="9"/>
        <v>139.5</v>
      </c>
      <c r="D110" s="45">
        <f t="shared" si="10"/>
        <v>135.19999999999999</v>
      </c>
      <c r="E110" s="46">
        <f t="shared" si="11"/>
        <v>133</v>
      </c>
      <c r="F110" s="39">
        <f t="shared" si="6"/>
        <v>134.48163551421834</v>
      </c>
      <c r="G110" s="42">
        <f t="shared" si="7"/>
        <v>137.13552230774962</v>
      </c>
      <c r="H110" s="43">
        <f t="shared" si="8"/>
        <v>140.38897225436449</v>
      </c>
    </row>
    <row r="111" spans="1:8" x14ac:dyDescent="0.25">
      <c r="A111" s="52">
        <v>94</v>
      </c>
      <c r="B111" s="51">
        <v>126</v>
      </c>
      <c r="C111" s="44">
        <f t="shared" si="9"/>
        <v>135</v>
      </c>
      <c r="D111" s="45">
        <f t="shared" si="10"/>
        <v>139.19999999999999</v>
      </c>
      <c r="E111" s="46">
        <f t="shared" si="11"/>
        <v>135.66666666666666</v>
      </c>
      <c r="F111" s="39">
        <f t="shared" si="6"/>
        <v>135.36122663566374</v>
      </c>
      <c r="G111" s="42">
        <f t="shared" si="7"/>
        <v>137.56776115387481</v>
      </c>
      <c r="H111" s="43">
        <f t="shared" si="8"/>
        <v>138.59724306359112</v>
      </c>
    </row>
    <row r="112" spans="1:8" x14ac:dyDescent="0.25">
      <c r="A112" s="52">
        <v>95</v>
      </c>
      <c r="B112" s="51">
        <v>123</v>
      </c>
      <c r="C112" s="44">
        <f t="shared" si="9"/>
        <v>132</v>
      </c>
      <c r="D112" s="45">
        <f t="shared" si="10"/>
        <v>133.19999999999999</v>
      </c>
      <c r="E112" s="46">
        <f t="shared" si="11"/>
        <v>137</v>
      </c>
      <c r="F112" s="39">
        <f t="shared" si="6"/>
        <v>133.02091997674779</v>
      </c>
      <c r="G112" s="42">
        <f t="shared" si="7"/>
        <v>131.78388057693741</v>
      </c>
      <c r="H112" s="43">
        <f t="shared" si="8"/>
        <v>129.14931076589778</v>
      </c>
    </row>
    <row r="113" spans="1:8" x14ac:dyDescent="0.25">
      <c r="A113" s="52">
        <v>96</v>
      </c>
      <c r="B113" s="51">
        <v>120</v>
      </c>
      <c r="C113" s="44">
        <f t="shared" si="9"/>
        <v>133.25</v>
      </c>
      <c r="D113" s="45">
        <f t="shared" si="10"/>
        <v>130.19999999999999</v>
      </c>
      <c r="E113" s="46">
        <f t="shared" si="11"/>
        <v>131.5</v>
      </c>
      <c r="F113" s="39">
        <f t="shared" si="6"/>
        <v>130.51568998256084</v>
      </c>
      <c r="G113" s="42">
        <f t="shared" si="7"/>
        <v>127.3919402884687</v>
      </c>
      <c r="H113" s="43">
        <f t="shared" si="8"/>
        <v>124.53732769147445</v>
      </c>
    </row>
    <row r="114" spans="1:8" x14ac:dyDescent="0.25">
      <c r="A114" s="52">
        <v>97</v>
      </c>
      <c r="B114" s="51">
        <v>144</v>
      </c>
      <c r="C114" s="44">
        <f t="shared" si="9"/>
        <v>126.75</v>
      </c>
      <c r="D114" s="45">
        <f t="shared" si="10"/>
        <v>130.6</v>
      </c>
      <c r="E114" s="46">
        <f t="shared" si="11"/>
        <v>128.5</v>
      </c>
      <c r="F114" s="39">
        <f t="shared" si="6"/>
        <v>127.88676748692063</v>
      </c>
      <c r="G114" s="42">
        <f t="shared" si="7"/>
        <v>123.69597014423435</v>
      </c>
      <c r="H114" s="43">
        <f t="shared" si="8"/>
        <v>121.13433192286861</v>
      </c>
    </row>
    <row r="115" spans="1:8" x14ac:dyDescent="0.25">
      <c r="A115" s="52">
        <v>98</v>
      </c>
      <c r="B115" s="51">
        <v>146</v>
      </c>
      <c r="C115" s="44">
        <f t="shared" si="9"/>
        <v>128.25</v>
      </c>
      <c r="D115" s="45">
        <f t="shared" si="10"/>
        <v>130.19999999999999</v>
      </c>
      <c r="E115" s="46">
        <f t="shared" si="11"/>
        <v>132.83333333333334</v>
      </c>
      <c r="F115" s="39">
        <f t="shared" si="6"/>
        <v>131.91507561519046</v>
      </c>
      <c r="G115" s="42">
        <f t="shared" si="7"/>
        <v>133.84798507211718</v>
      </c>
      <c r="H115" s="43">
        <f t="shared" si="8"/>
        <v>138.28358298071714</v>
      </c>
    </row>
    <row r="116" spans="1:8" x14ac:dyDescent="0.25">
      <c r="A116" s="52">
        <v>99</v>
      </c>
      <c r="B116" s="51">
        <v>144</v>
      </c>
      <c r="C116" s="44">
        <f t="shared" si="9"/>
        <v>133.25</v>
      </c>
      <c r="D116" s="45">
        <f t="shared" si="10"/>
        <v>131.80000000000001</v>
      </c>
      <c r="E116" s="46">
        <f t="shared" si="11"/>
        <v>132.83333333333334</v>
      </c>
      <c r="F116" s="39">
        <f t="shared" si="6"/>
        <v>135.43630671139283</v>
      </c>
      <c r="G116" s="42">
        <f t="shared" si="7"/>
        <v>139.92399253605859</v>
      </c>
      <c r="H116" s="43">
        <f t="shared" si="8"/>
        <v>144.07089574517929</v>
      </c>
    </row>
    <row r="117" spans="1:8" x14ac:dyDescent="0.25">
      <c r="A117" s="52">
        <v>100</v>
      </c>
      <c r="B117" s="51">
        <v>132</v>
      </c>
      <c r="C117" s="44">
        <f t="shared" si="9"/>
        <v>138.5</v>
      </c>
      <c r="D117" s="45">
        <f t="shared" si="10"/>
        <v>135.4</v>
      </c>
      <c r="E117" s="46">
        <f t="shared" si="11"/>
        <v>133.83333333333334</v>
      </c>
      <c r="F117" s="39">
        <f t="shared" si="6"/>
        <v>137.57723003354462</v>
      </c>
      <c r="G117" s="42">
        <f t="shared" si="7"/>
        <v>141.96199626802928</v>
      </c>
      <c r="H117" s="43">
        <f t="shared" si="8"/>
        <v>144.01772393629483</v>
      </c>
    </row>
    <row r="118" spans="1:8" x14ac:dyDescent="0.25">
      <c r="A118" s="52">
        <v>101</v>
      </c>
      <c r="B118" s="51">
        <v>134</v>
      </c>
      <c r="C118" s="44">
        <f t="shared" si="9"/>
        <v>141.5</v>
      </c>
      <c r="D118" s="45">
        <f t="shared" si="10"/>
        <v>137.19999999999999</v>
      </c>
      <c r="E118" s="46">
        <f t="shared" si="11"/>
        <v>134.83333333333334</v>
      </c>
      <c r="F118" s="39">
        <f t="shared" si="6"/>
        <v>136.18292252515846</v>
      </c>
      <c r="G118" s="42">
        <f t="shared" si="7"/>
        <v>136.98099813401464</v>
      </c>
      <c r="H118" s="43">
        <f t="shared" si="8"/>
        <v>135.00443098407371</v>
      </c>
    </row>
    <row r="119" spans="1:8" x14ac:dyDescent="0.25">
      <c r="A119" s="52">
        <v>102</v>
      </c>
      <c r="B119" s="51">
        <v>122</v>
      </c>
      <c r="C119" s="44">
        <f t="shared" si="9"/>
        <v>139</v>
      </c>
      <c r="D119" s="45">
        <f t="shared" si="10"/>
        <v>140</v>
      </c>
      <c r="E119" s="46">
        <f t="shared" si="11"/>
        <v>136.66666666666666</v>
      </c>
      <c r="F119" s="39">
        <f t="shared" si="6"/>
        <v>135.63719189386885</v>
      </c>
      <c r="G119" s="42">
        <f t="shared" si="7"/>
        <v>135.49049906700731</v>
      </c>
      <c r="H119" s="43">
        <f t="shared" si="8"/>
        <v>134.25110774601842</v>
      </c>
    </row>
    <row r="120" spans="1:8" x14ac:dyDescent="0.25">
      <c r="A120" s="52">
        <v>103</v>
      </c>
      <c r="B120" s="51">
        <v>130</v>
      </c>
      <c r="C120" s="44">
        <f t="shared" si="9"/>
        <v>133</v>
      </c>
      <c r="D120" s="45">
        <f t="shared" si="10"/>
        <v>135.6</v>
      </c>
      <c r="E120" s="46">
        <f t="shared" si="11"/>
        <v>137</v>
      </c>
      <c r="F120" s="39">
        <f t="shared" si="6"/>
        <v>132.22789392040164</v>
      </c>
      <c r="G120" s="42">
        <f t="shared" si="7"/>
        <v>128.74524953350365</v>
      </c>
      <c r="H120" s="43">
        <f t="shared" si="8"/>
        <v>125.0627769365046</v>
      </c>
    </row>
    <row r="121" spans="1:8" x14ac:dyDescent="0.25">
      <c r="A121" s="52">
        <v>104</v>
      </c>
      <c r="B121" s="53">
        <v>150</v>
      </c>
      <c r="C121" s="44">
        <f t="shared" si="9"/>
        <v>129.5</v>
      </c>
      <c r="D121" s="45">
        <f t="shared" si="10"/>
        <v>132.4</v>
      </c>
      <c r="E121" s="46">
        <f t="shared" si="11"/>
        <v>134.66666666666666</v>
      </c>
      <c r="F121" s="39">
        <f t="shared" si="6"/>
        <v>131.67092044030124</v>
      </c>
      <c r="G121" s="42">
        <f t="shared" si="7"/>
        <v>129.37262476675181</v>
      </c>
      <c r="H121" s="43">
        <f t="shared" si="8"/>
        <v>128.76569423412616</v>
      </c>
    </row>
    <row r="122" spans="1:8" x14ac:dyDescent="0.25">
      <c r="A122" s="52">
        <v>105</v>
      </c>
      <c r="B122" s="53">
        <v>156</v>
      </c>
      <c r="C122" s="44">
        <f t="shared" si="9"/>
        <v>134</v>
      </c>
      <c r="D122" s="45">
        <f t="shared" si="10"/>
        <v>133.6</v>
      </c>
      <c r="E122" s="46">
        <f t="shared" si="11"/>
        <v>135.33333333333334</v>
      </c>
      <c r="F122" s="39">
        <f t="shared" si="6"/>
        <v>136.25319033022595</v>
      </c>
      <c r="G122" s="42">
        <f t="shared" si="7"/>
        <v>139.68631238337591</v>
      </c>
      <c r="H122" s="43">
        <f t="shared" si="8"/>
        <v>144.69142355853154</v>
      </c>
    </row>
    <row r="123" spans="1:8" x14ac:dyDescent="0.25">
      <c r="A123" s="52">
        <v>106</v>
      </c>
      <c r="B123" s="53">
        <v>154</v>
      </c>
      <c r="C123" s="44">
        <f t="shared" si="9"/>
        <v>139.5</v>
      </c>
      <c r="D123" s="45">
        <f t="shared" si="10"/>
        <v>138.4</v>
      </c>
      <c r="E123" s="46">
        <f t="shared" si="11"/>
        <v>137.33333333333334</v>
      </c>
      <c r="F123" s="39">
        <f t="shared" si="6"/>
        <v>141.18989274766946</v>
      </c>
      <c r="G123" s="42">
        <f t="shared" si="7"/>
        <v>147.84315619168797</v>
      </c>
      <c r="H123" s="43">
        <f t="shared" si="8"/>
        <v>153.1728558896329</v>
      </c>
    </row>
    <row r="124" spans="1:8" x14ac:dyDescent="0.25">
      <c r="A124" s="52">
        <v>107</v>
      </c>
      <c r="B124" s="53">
        <v>145</v>
      </c>
      <c r="C124" s="44">
        <f t="shared" si="9"/>
        <v>147.5</v>
      </c>
      <c r="D124" s="45">
        <f t="shared" si="10"/>
        <v>142.4</v>
      </c>
      <c r="E124" s="46">
        <f t="shared" si="11"/>
        <v>141</v>
      </c>
      <c r="F124" s="39">
        <f t="shared" si="6"/>
        <v>144.3924195607521</v>
      </c>
      <c r="G124" s="42">
        <f t="shared" si="7"/>
        <v>150.92157809584398</v>
      </c>
      <c r="H124" s="43">
        <f t="shared" si="8"/>
        <v>153.79321397240824</v>
      </c>
    </row>
    <row r="125" spans="1:8" x14ac:dyDescent="0.25">
      <c r="A125" s="52">
        <v>108</v>
      </c>
      <c r="B125" s="53">
        <v>155</v>
      </c>
      <c r="C125" s="44">
        <f t="shared" si="9"/>
        <v>151.25</v>
      </c>
      <c r="D125" s="45">
        <f t="shared" si="10"/>
        <v>147</v>
      </c>
      <c r="E125" s="46">
        <f t="shared" si="11"/>
        <v>142.83333333333334</v>
      </c>
      <c r="F125" s="39">
        <f t="shared" si="6"/>
        <v>144.54431467056406</v>
      </c>
      <c r="G125" s="42">
        <f t="shared" si="7"/>
        <v>147.96078904792199</v>
      </c>
      <c r="H125" s="43">
        <f t="shared" si="8"/>
        <v>147.19830349310206</v>
      </c>
    </row>
    <row r="126" spans="1:8" x14ac:dyDescent="0.25">
      <c r="A126" s="52">
        <v>109</v>
      </c>
      <c r="B126" s="53">
        <v>132</v>
      </c>
      <c r="C126" s="44">
        <f t="shared" si="9"/>
        <v>152.5</v>
      </c>
      <c r="D126" s="45">
        <f t="shared" si="10"/>
        <v>152</v>
      </c>
      <c r="E126" s="46">
        <f t="shared" si="11"/>
        <v>148.33333333333334</v>
      </c>
      <c r="F126" s="39">
        <f t="shared" si="6"/>
        <v>147.15823600292305</v>
      </c>
      <c r="G126" s="42">
        <f t="shared" si="7"/>
        <v>151.480394523961</v>
      </c>
      <c r="H126" s="43">
        <f t="shared" si="8"/>
        <v>153.0495758732755</v>
      </c>
    </row>
    <row r="127" spans="1:8" x14ac:dyDescent="0.25">
      <c r="A127" s="52">
        <v>110</v>
      </c>
      <c r="B127" s="53">
        <v>144</v>
      </c>
      <c r="C127" s="44">
        <f t="shared" si="9"/>
        <v>146.5</v>
      </c>
      <c r="D127" s="45">
        <f t="shared" si="10"/>
        <v>148.4</v>
      </c>
      <c r="E127" s="46">
        <f t="shared" si="11"/>
        <v>148.66666666666666</v>
      </c>
      <c r="F127" s="39">
        <f t="shared" si="6"/>
        <v>143.36867700219227</v>
      </c>
      <c r="G127" s="42">
        <f t="shared" si="7"/>
        <v>141.74019726198048</v>
      </c>
      <c r="H127" s="43">
        <f t="shared" si="8"/>
        <v>137.26239396831886</v>
      </c>
    </row>
    <row r="128" spans="1:8" x14ac:dyDescent="0.25">
      <c r="A128" s="52">
        <v>111</v>
      </c>
      <c r="B128" s="53">
        <v>131</v>
      </c>
      <c r="C128" s="44">
        <f t="shared" si="9"/>
        <v>144</v>
      </c>
      <c r="D128" s="45">
        <f t="shared" si="10"/>
        <v>146</v>
      </c>
      <c r="E128" s="46">
        <f t="shared" si="11"/>
        <v>147.66666666666666</v>
      </c>
      <c r="F128" s="39">
        <f t="shared" si="6"/>
        <v>143.5265077516442</v>
      </c>
      <c r="G128" s="42">
        <f t="shared" si="7"/>
        <v>142.87009863099024</v>
      </c>
      <c r="H128" s="43">
        <f t="shared" si="8"/>
        <v>142.31559849207972</v>
      </c>
    </row>
    <row r="129" spans="1:8" x14ac:dyDescent="0.25">
      <c r="A129" s="52">
        <v>112</v>
      </c>
      <c r="B129" s="53">
        <v>129</v>
      </c>
      <c r="C129" s="44">
        <f t="shared" si="9"/>
        <v>140.5</v>
      </c>
      <c r="D129" s="45">
        <f t="shared" si="10"/>
        <v>141.4</v>
      </c>
      <c r="E129" s="46">
        <f t="shared" si="11"/>
        <v>143.5</v>
      </c>
      <c r="F129" s="39">
        <f t="shared" si="6"/>
        <v>140.39488081373315</v>
      </c>
      <c r="G129" s="42">
        <f t="shared" si="7"/>
        <v>136.93504931549512</v>
      </c>
      <c r="H129" s="43">
        <f t="shared" si="8"/>
        <v>133.82889962301994</v>
      </c>
    </row>
    <row r="130" spans="1:8" x14ac:dyDescent="0.25">
      <c r="A130" s="52">
        <v>113</v>
      </c>
      <c r="B130" s="53">
        <v>153</v>
      </c>
      <c r="C130" s="44">
        <f t="shared" si="9"/>
        <v>134</v>
      </c>
      <c r="D130" s="45">
        <f t="shared" si="10"/>
        <v>138.19999999999999</v>
      </c>
      <c r="E130" s="46">
        <f t="shared" si="11"/>
        <v>139.33333333333334</v>
      </c>
      <c r="F130" s="39">
        <f t="shared" si="6"/>
        <v>137.54616061029986</v>
      </c>
      <c r="G130" s="42">
        <f t="shared" si="7"/>
        <v>132.96752465774756</v>
      </c>
      <c r="H130" s="43">
        <f t="shared" si="8"/>
        <v>130.20722490575497</v>
      </c>
    </row>
    <row r="131" spans="1:8" x14ac:dyDescent="0.25">
      <c r="A131" s="52">
        <v>114</v>
      </c>
      <c r="B131" s="53">
        <v>133</v>
      </c>
      <c r="C131" s="44">
        <f t="shared" si="9"/>
        <v>139.25</v>
      </c>
      <c r="D131" s="45">
        <f t="shared" si="10"/>
        <v>137.80000000000001</v>
      </c>
      <c r="E131" s="46">
        <f>AVERAGE(B125:B130)</f>
        <v>140.66666666666666</v>
      </c>
      <c r="F131" s="39">
        <f t="shared" si="6"/>
        <v>141.40962045772488</v>
      </c>
      <c r="G131" s="42">
        <f t="shared" si="7"/>
        <v>142.98376232887378</v>
      </c>
      <c r="H131" s="43">
        <f t="shared" si="8"/>
        <v>147.30180622643874</v>
      </c>
    </row>
    <row r="132" spans="1:8" x14ac:dyDescent="0.25">
      <c r="A132" s="52">
        <v>115</v>
      </c>
      <c r="B132" s="53">
        <v>127</v>
      </c>
      <c r="C132" s="44">
        <f t="shared" si="9"/>
        <v>136.5</v>
      </c>
      <c r="D132" s="45">
        <f t="shared" si="10"/>
        <v>138</v>
      </c>
      <c r="E132" s="46">
        <f t="shared" si="11"/>
        <v>137</v>
      </c>
      <c r="F132" s="39">
        <f t="shared" si="6"/>
        <v>139.30721534329365</v>
      </c>
      <c r="G132" s="42">
        <f t="shared" si="7"/>
        <v>137.9918811644369</v>
      </c>
      <c r="H132" s="43">
        <f t="shared" si="8"/>
        <v>136.57545155660969</v>
      </c>
    </row>
    <row r="133" spans="1:8" x14ac:dyDescent="0.25">
      <c r="A133" s="52">
        <v>116</v>
      </c>
      <c r="B133" s="53">
        <v>148</v>
      </c>
      <c r="C133" s="44">
        <f t="shared" si="9"/>
        <v>135.5</v>
      </c>
      <c r="D133" s="45">
        <f t="shared" si="10"/>
        <v>134.6</v>
      </c>
      <c r="E133" s="46">
        <f t="shared" si="11"/>
        <v>136.16666666666666</v>
      </c>
      <c r="F133" s="39">
        <f t="shared" si="6"/>
        <v>136.23041150747025</v>
      </c>
      <c r="G133" s="42">
        <f t="shared" si="7"/>
        <v>132.49594058221845</v>
      </c>
      <c r="H133" s="43">
        <f t="shared" si="8"/>
        <v>129.39386288915242</v>
      </c>
    </row>
    <row r="134" spans="1:8" x14ac:dyDescent="0.25">
      <c r="A134" s="52">
        <v>117</v>
      </c>
      <c r="B134" s="53">
        <v>147</v>
      </c>
      <c r="C134" s="44">
        <f t="shared" si="9"/>
        <v>140.25</v>
      </c>
      <c r="D134" s="45">
        <f t="shared" si="10"/>
        <v>138</v>
      </c>
      <c r="E134" s="46">
        <f t="shared" si="11"/>
        <v>136.83333333333334</v>
      </c>
      <c r="F134" s="39">
        <f t="shared" si="6"/>
        <v>139.17280863060267</v>
      </c>
      <c r="G134" s="42">
        <f t="shared" si="7"/>
        <v>140.24797029110923</v>
      </c>
      <c r="H134" s="43">
        <f t="shared" si="8"/>
        <v>143.3484657222881</v>
      </c>
    </row>
    <row r="135" spans="1:8" x14ac:dyDescent="0.25">
      <c r="A135" s="52">
        <v>118</v>
      </c>
      <c r="B135" s="53">
        <v>130</v>
      </c>
      <c r="C135" s="44">
        <f t="shared" si="9"/>
        <v>138.75</v>
      </c>
      <c r="D135" s="45">
        <f t="shared" si="10"/>
        <v>141.6</v>
      </c>
      <c r="E135" s="46">
        <f t="shared" si="11"/>
        <v>139.5</v>
      </c>
      <c r="F135" s="39">
        <f t="shared" si="6"/>
        <v>141.12960647295199</v>
      </c>
      <c r="G135" s="42">
        <f t="shared" si="7"/>
        <v>143.62398514555463</v>
      </c>
      <c r="H135" s="43">
        <f t="shared" si="8"/>
        <v>146.08711643057202</v>
      </c>
    </row>
    <row r="136" spans="1:8" x14ac:dyDescent="0.25">
      <c r="A136" s="52">
        <v>119</v>
      </c>
      <c r="B136" s="53">
        <v>120</v>
      </c>
      <c r="C136" s="44">
        <f t="shared" si="9"/>
        <v>138</v>
      </c>
      <c r="D136" s="45">
        <f t="shared" si="10"/>
        <v>137</v>
      </c>
      <c r="E136" s="46">
        <f t="shared" si="11"/>
        <v>139.66666666666666</v>
      </c>
      <c r="F136" s="39">
        <f t="shared" si="6"/>
        <v>138.34720485471399</v>
      </c>
      <c r="G136" s="42">
        <f t="shared" si="7"/>
        <v>136.81199257277731</v>
      </c>
      <c r="H136" s="43">
        <f t="shared" si="8"/>
        <v>134.021779107643</v>
      </c>
    </row>
    <row r="137" spans="1:8" x14ac:dyDescent="0.25">
      <c r="A137" s="52">
        <v>120</v>
      </c>
      <c r="B137" s="53">
        <v>148</v>
      </c>
      <c r="C137" s="44">
        <f t="shared" si="9"/>
        <v>136.25</v>
      </c>
      <c r="D137" s="45">
        <f t="shared" si="10"/>
        <v>134.4</v>
      </c>
      <c r="E137" s="46">
        <f t="shared" si="11"/>
        <v>134.16666666666666</v>
      </c>
      <c r="F137" s="39">
        <f t="shared" si="6"/>
        <v>133.76040364103551</v>
      </c>
      <c r="G137" s="42">
        <f t="shared" si="7"/>
        <v>128.40599628638864</v>
      </c>
      <c r="H137" s="43">
        <f t="shared" si="8"/>
        <v>123.50544477691075</v>
      </c>
    </row>
    <row r="138" spans="1:8" x14ac:dyDescent="0.25">
      <c r="A138" s="52">
        <v>121</v>
      </c>
      <c r="B138" s="53">
        <v>135</v>
      </c>
      <c r="C138" s="44">
        <f t="shared" si="9"/>
        <v>136.25</v>
      </c>
      <c r="D138" s="45">
        <f t="shared" si="10"/>
        <v>138.6</v>
      </c>
      <c r="E138" s="46">
        <f t="shared" si="11"/>
        <v>136.66666666666666</v>
      </c>
      <c r="F138" s="39">
        <f t="shared" si="6"/>
        <v>137.32030273077663</v>
      </c>
      <c r="G138" s="42">
        <f t="shared" si="7"/>
        <v>138.20299814319432</v>
      </c>
      <c r="H138" s="43">
        <f t="shared" si="8"/>
        <v>141.87636119422768</v>
      </c>
    </row>
    <row r="139" spans="1:8" x14ac:dyDescent="0.25">
      <c r="A139" s="52">
        <v>122</v>
      </c>
      <c r="B139" s="53">
        <v>143</v>
      </c>
      <c r="C139" s="44">
        <f t="shared" si="9"/>
        <v>133.25</v>
      </c>
      <c r="D139" s="45">
        <f t="shared" si="10"/>
        <v>136</v>
      </c>
      <c r="E139" s="46">
        <f t="shared" si="11"/>
        <v>138</v>
      </c>
      <c r="F139" s="39">
        <f t="shared" si="6"/>
        <v>136.74022704808249</v>
      </c>
      <c r="G139" s="42">
        <f t="shared" si="7"/>
        <v>136.60149907159717</v>
      </c>
      <c r="H139" s="43">
        <f t="shared" si="8"/>
        <v>136.71909029855692</v>
      </c>
    </row>
    <row r="140" spans="1:8" x14ac:dyDescent="0.25">
      <c r="A140" s="52">
        <v>123</v>
      </c>
      <c r="B140" s="53">
        <v>134</v>
      </c>
      <c r="C140" s="44">
        <f t="shared" si="9"/>
        <v>136.5</v>
      </c>
      <c r="D140" s="45">
        <f t="shared" si="10"/>
        <v>135.19999999999999</v>
      </c>
      <c r="E140" s="46">
        <f t="shared" si="11"/>
        <v>137.16666666666666</v>
      </c>
      <c r="F140" s="39">
        <f t="shared" si="6"/>
        <v>138.30517028606187</v>
      </c>
      <c r="G140" s="42">
        <f t="shared" si="7"/>
        <v>139.80074953579859</v>
      </c>
      <c r="H140" s="43">
        <f t="shared" si="8"/>
        <v>141.42977257463923</v>
      </c>
    </row>
    <row r="141" spans="1:8" x14ac:dyDescent="0.25">
      <c r="A141" s="52">
        <v>124</v>
      </c>
      <c r="B141" s="53">
        <v>150</v>
      </c>
      <c r="C141" s="44">
        <f t="shared" si="9"/>
        <v>140</v>
      </c>
      <c r="D141" s="45">
        <f t="shared" si="10"/>
        <v>136</v>
      </c>
      <c r="E141" s="46">
        <f t="shared" si="11"/>
        <v>135</v>
      </c>
      <c r="F141" s="39">
        <f t="shared" si="6"/>
        <v>137.2288777145464</v>
      </c>
      <c r="G141" s="42">
        <f t="shared" si="7"/>
        <v>136.90037476789928</v>
      </c>
      <c r="H141" s="43">
        <f t="shared" si="8"/>
        <v>135.85744314365979</v>
      </c>
    </row>
    <row r="142" spans="1:8" x14ac:dyDescent="0.25">
      <c r="A142" s="52">
        <v>125</v>
      </c>
      <c r="B142" s="53">
        <v>145</v>
      </c>
      <c r="C142" s="44">
        <f t="shared" si="9"/>
        <v>140.5</v>
      </c>
      <c r="D142" s="45">
        <f t="shared" si="10"/>
        <v>142</v>
      </c>
      <c r="E142" s="46">
        <f t="shared" si="11"/>
        <v>138.33333333333334</v>
      </c>
      <c r="F142" s="39">
        <f t="shared" si="6"/>
        <v>140.42165828590981</v>
      </c>
      <c r="G142" s="42">
        <f t="shared" si="7"/>
        <v>143.45018738394964</v>
      </c>
      <c r="H142" s="43">
        <f t="shared" si="8"/>
        <v>146.46436078591495</v>
      </c>
    </row>
    <row r="143" spans="1:8" x14ac:dyDescent="0.25">
      <c r="A143" s="52">
        <v>126</v>
      </c>
      <c r="B143" s="53">
        <v>115</v>
      </c>
      <c r="C143" s="44">
        <f t="shared" si="9"/>
        <v>143</v>
      </c>
      <c r="D143" s="45">
        <f t="shared" si="10"/>
        <v>141.4</v>
      </c>
      <c r="E143" s="46">
        <f t="shared" si="11"/>
        <v>142.5</v>
      </c>
      <c r="F143" s="39">
        <f t="shared" si="6"/>
        <v>141.56624371443235</v>
      </c>
      <c r="G143" s="42">
        <f t="shared" si="7"/>
        <v>144.22509369197482</v>
      </c>
      <c r="H143" s="43">
        <f t="shared" si="8"/>
        <v>145.36609019647875</v>
      </c>
    </row>
    <row r="144" spans="1:8" x14ac:dyDescent="0.25">
      <c r="A144" s="52">
        <v>127</v>
      </c>
      <c r="B144" s="53">
        <v>158</v>
      </c>
      <c r="C144" s="44">
        <f t="shared" si="9"/>
        <v>136</v>
      </c>
      <c r="D144" s="45">
        <f t="shared" si="10"/>
        <v>137.4</v>
      </c>
      <c r="E144" s="46">
        <f t="shared" si="11"/>
        <v>137</v>
      </c>
      <c r="F144" s="39">
        <f t="shared" si="6"/>
        <v>134.92468278582425</v>
      </c>
      <c r="G144" s="42">
        <f t="shared" si="7"/>
        <v>129.61254684598742</v>
      </c>
      <c r="H144" s="43">
        <f t="shared" si="8"/>
        <v>122.59152254911969</v>
      </c>
    </row>
    <row r="145" spans="1:8" x14ac:dyDescent="0.25">
      <c r="A145" s="52">
        <v>128</v>
      </c>
      <c r="B145" s="53">
        <v>148</v>
      </c>
      <c r="C145" s="44">
        <f t="shared" si="9"/>
        <v>142</v>
      </c>
      <c r="D145" s="45">
        <f t="shared" si="10"/>
        <v>140.4</v>
      </c>
      <c r="E145" s="46">
        <f t="shared" si="11"/>
        <v>140.83333333333334</v>
      </c>
      <c r="F145" s="39">
        <f t="shared" si="6"/>
        <v>140.6935120893682</v>
      </c>
      <c r="G145" s="42">
        <f t="shared" si="7"/>
        <v>143.80627342299371</v>
      </c>
      <c r="H145" s="43">
        <f t="shared" si="8"/>
        <v>149.14788063727991</v>
      </c>
    </row>
    <row r="146" spans="1:8" x14ac:dyDescent="0.25">
      <c r="A146" s="52">
        <v>129</v>
      </c>
      <c r="B146" s="53">
        <v>127</v>
      </c>
      <c r="C146" s="44">
        <f t="shared" si="9"/>
        <v>141.5</v>
      </c>
      <c r="D146" s="45">
        <f t="shared" si="10"/>
        <v>143.19999999999999</v>
      </c>
      <c r="E146" s="46">
        <f t="shared" si="11"/>
        <v>141.66666666666666</v>
      </c>
      <c r="F146" s="39">
        <f t="shared" si="6"/>
        <v>142.52013406702616</v>
      </c>
      <c r="G146" s="42">
        <f t="shared" si="7"/>
        <v>145.90313671149687</v>
      </c>
      <c r="H146" s="43">
        <f t="shared" si="8"/>
        <v>148.28697015931999</v>
      </c>
    </row>
    <row r="147" spans="1:8" x14ac:dyDescent="0.25">
      <c r="A147" s="52">
        <v>130</v>
      </c>
      <c r="B147" s="53">
        <v>140</v>
      </c>
      <c r="C147" s="44">
        <f t="shared" si="9"/>
        <v>137</v>
      </c>
      <c r="D147" s="45">
        <f t="shared" si="10"/>
        <v>138.6</v>
      </c>
      <c r="E147" s="46">
        <f t="shared" si="11"/>
        <v>140.5</v>
      </c>
      <c r="F147" s="39">
        <f t="shared" si="6"/>
        <v>138.64010055026961</v>
      </c>
      <c r="G147" s="42">
        <f t="shared" si="7"/>
        <v>136.45156835574844</v>
      </c>
      <c r="H147" s="43">
        <f t="shared" si="8"/>
        <v>132.32174253982998</v>
      </c>
    </row>
    <row r="148" spans="1:8" x14ac:dyDescent="0.25">
      <c r="A148" s="52">
        <v>131</v>
      </c>
      <c r="B148" s="53">
        <v>122</v>
      </c>
      <c r="C148" s="44">
        <f t="shared" si="9"/>
        <v>143.25</v>
      </c>
      <c r="D148" s="45">
        <f t="shared" si="10"/>
        <v>137.6</v>
      </c>
      <c r="E148" s="46">
        <f t="shared" si="11"/>
        <v>138.83333333333334</v>
      </c>
      <c r="F148" s="39">
        <f t="shared" si="6"/>
        <v>138.98007541270221</v>
      </c>
      <c r="G148" s="42">
        <f t="shared" si="7"/>
        <v>138.22578417787423</v>
      </c>
      <c r="H148" s="43">
        <f t="shared" si="8"/>
        <v>138.0804356349575</v>
      </c>
    </row>
    <row r="149" spans="1:8" x14ac:dyDescent="0.25">
      <c r="A149" s="52">
        <v>132</v>
      </c>
      <c r="B149" s="53">
        <v>121</v>
      </c>
      <c r="C149" s="44">
        <f t="shared" si="9"/>
        <v>134.25</v>
      </c>
      <c r="D149" s="45">
        <f t="shared" si="10"/>
        <v>139</v>
      </c>
      <c r="E149" s="46">
        <f t="shared" si="11"/>
        <v>135</v>
      </c>
      <c r="F149" s="39">
        <f t="shared" ref="F149:F173" si="12">0.25*B148+0.75*F148</f>
        <v>134.73505655952664</v>
      </c>
      <c r="G149" s="42">
        <f t="shared" ref="G149:G173" si="13">0.5*B148+0.5*G148</f>
        <v>130.11289208893712</v>
      </c>
      <c r="H149" s="43">
        <f t="shared" ref="H149:H173" si="14">0.75*B148+0.25*H148</f>
        <v>126.02010890873937</v>
      </c>
    </row>
    <row r="150" spans="1:8" x14ac:dyDescent="0.25">
      <c r="A150" s="52">
        <v>133</v>
      </c>
      <c r="B150" s="53">
        <v>137</v>
      </c>
      <c r="C150" s="44">
        <f t="shared" si="9"/>
        <v>127.5</v>
      </c>
      <c r="D150" s="45">
        <f t="shared" si="10"/>
        <v>131.6</v>
      </c>
      <c r="E150" s="46">
        <f t="shared" si="11"/>
        <v>136</v>
      </c>
      <c r="F150" s="39">
        <f t="shared" si="12"/>
        <v>131.30129241964499</v>
      </c>
      <c r="G150" s="42">
        <f t="shared" si="13"/>
        <v>125.55644604446856</v>
      </c>
      <c r="H150" s="43">
        <f t="shared" si="14"/>
        <v>122.25502722718484</v>
      </c>
    </row>
    <row r="151" spans="1:8" x14ac:dyDescent="0.25">
      <c r="A151" s="52">
        <v>134</v>
      </c>
      <c r="B151" s="53">
        <v>159</v>
      </c>
      <c r="C151" s="44">
        <f t="shared" ref="C151:C174" si="15">AVERAGE(B147:B150)</f>
        <v>130</v>
      </c>
      <c r="D151" s="45">
        <f t="shared" si="10"/>
        <v>129.4</v>
      </c>
      <c r="E151" s="46">
        <f t="shared" si="11"/>
        <v>132.5</v>
      </c>
      <c r="F151" s="39">
        <f t="shared" si="12"/>
        <v>132.72596931473373</v>
      </c>
      <c r="G151" s="42">
        <f t="shared" si="13"/>
        <v>131.27822302223427</v>
      </c>
      <c r="H151" s="43">
        <f t="shared" si="14"/>
        <v>133.31375680679622</v>
      </c>
    </row>
    <row r="152" spans="1:8" x14ac:dyDescent="0.25">
      <c r="A152" s="52">
        <v>135</v>
      </c>
      <c r="B152" s="53">
        <v>143</v>
      </c>
      <c r="C152" s="44">
        <f t="shared" si="15"/>
        <v>134.75</v>
      </c>
      <c r="D152" s="45">
        <f t="shared" ref="D152:D174" si="16">AVERAGE(B147:B151)</f>
        <v>135.80000000000001</v>
      </c>
      <c r="E152" s="46">
        <f t="shared" si="11"/>
        <v>134.33333333333334</v>
      </c>
      <c r="F152" s="39">
        <f t="shared" si="12"/>
        <v>139.29447698605031</v>
      </c>
      <c r="G152" s="42">
        <f t="shared" si="13"/>
        <v>145.13911151111714</v>
      </c>
      <c r="H152" s="43">
        <f t="shared" si="14"/>
        <v>152.57843920169904</v>
      </c>
    </row>
    <row r="153" spans="1:8" x14ac:dyDescent="0.25">
      <c r="A153" s="52">
        <v>136</v>
      </c>
      <c r="B153" s="53">
        <v>118</v>
      </c>
      <c r="C153" s="44">
        <f t="shared" si="15"/>
        <v>140</v>
      </c>
      <c r="D153" s="45">
        <f t="shared" si="16"/>
        <v>136.4</v>
      </c>
      <c r="E153" s="46">
        <f t="shared" ref="E153:E174" si="17">AVERAGE(B147:B152)</f>
        <v>137</v>
      </c>
      <c r="F153" s="39">
        <f t="shared" si="12"/>
        <v>140.22085773953773</v>
      </c>
      <c r="G153" s="42">
        <f t="shared" si="13"/>
        <v>144.06955575555855</v>
      </c>
      <c r="H153" s="43">
        <f t="shared" si="14"/>
        <v>145.39460980042475</v>
      </c>
    </row>
    <row r="154" spans="1:8" x14ac:dyDescent="0.25">
      <c r="A154" s="52">
        <v>137</v>
      </c>
      <c r="B154" s="53">
        <v>134</v>
      </c>
      <c r="C154" s="44">
        <f t="shared" si="15"/>
        <v>139.25</v>
      </c>
      <c r="D154" s="45">
        <f t="shared" si="16"/>
        <v>135.6</v>
      </c>
      <c r="E154" s="46">
        <f t="shared" si="17"/>
        <v>133.33333333333334</v>
      </c>
      <c r="F154" s="39">
        <f t="shared" si="12"/>
        <v>134.66564330465332</v>
      </c>
      <c r="G154" s="42">
        <f t="shared" si="13"/>
        <v>131.03477787777928</v>
      </c>
      <c r="H154" s="43">
        <f t="shared" si="14"/>
        <v>124.84865245010619</v>
      </c>
    </row>
    <row r="155" spans="1:8" x14ac:dyDescent="0.25">
      <c r="A155" s="52">
        <v>138</v>
      </c>
      <c r="B155" s="53">
        <v>124</v>
      </c>
      <c r="C155" s="44">
        <f t="shared" si="15"/>
        <v>138.5</v>
      </c>
      <c r="D155" s="45">
        <f t="shared" si="16"/>
        <v>138.19999999999999</v>
      </c>
      <c r="E155" s="46">
        <f t="shared" si="17"/>
        <v>135.33333333333334</v>
      </c>
      <c r="F155" s="39">
        <f t="shared" si="12"/>
        <v>134.49923247849</v>
      </c>
      <c r="G155" s="42">
        <f t="shared" si="13"/>
        <v>132.51738893888964</v>
      </c>
      <c r="H155" s="43">
        <f t="shared" si="14"/>
        <v>131.71216311252655</v>
      </c>
    </row>
    <row r="156" spans="1:8" x14ac:dyDescent="0.25">
      <c r="A156" s="52">
        <v>139</v>
      </c>
      <c r="B156" s="53">
        <v>129</v>
      </c>
      <c r="C156" s="44">
        <f t="shared" si="15"/>
        <v>129.75</v>
      </c>
      <c r="D156" s="45">
        <f t="shared" si="16"/>
        <v>135.6</v>
      </c>
      <c r="E156" s="46">
        <f t="shared" si="17"/>
        <v>135.83333333333334</v>
      </c>
      <c r="F156" s="39">
        <f t="shared" si="12"/>
        <v>131.87442435886749</v>
      </c>
      <c r="G156" s="42">
        <f t="shared" si="13"/>
        <v>128.25869446944483</v>
      </c>
      <c r="H156" s="43">
        <f t="shared" si="14"/>
        <v>125.92804077813165</v>
      </c>
    </row>
    <row r="157" spans="1:8" x14ac:dyDescent="0.25">
      <c r="A157" s="52">
        <v>140</v>
      </c>
      <c r="B157" s="53">
        <v>141</v>
      </c>
      <c r="C157" s="44">
        <f t="shared" si="15"/>
        <v>126.25</v>
      </c>
      <c r="D157" s="45">
        <f t="shared" si="16"/>
        <v>129.6</v>
      </c>
      <c r="E157" s="46">
        <f t="shared" si="17"/>
        <v>134.5</v>
      </c>
      <c r="F157" s="39">
        <f t="shared" si="12"/>
        <v>131.15581826915061</v>
      </c>
      <c r="G157" s="42">
        <f t="shared" si="13"/>
        <v>128.62934723472242</v>
      </c>
      <c r="H157" s="43">
        <f t="shared" si="14"/>
        <v>128.2320101945329</v>
      </c>
    </row>
    <row r="158" spans="1:8" x14ac:dyDescent="0.25">
      <c r="A158" s="52">
        <v>141</v>
      </c>
      <c r="B158" s="53">
        <v>152</v>
      </c>
      <c r="C158" s="44">
        <f t="shared" si="15"/>
        <v>132</v>
      </c>
      <c r="D158" s="45">
        <f t="shared" si="16"/>
        <v>129.19999999999999</v>
      </c>
      <c r="E158" s="46">
        <f t="shared" si="17"/>
        <v>131.5</v>
      </c>
      <c r="F158" s="39">
        <f t="shared" si="12"/>
        <v>133.61686370186297</v>
      </c>
      <c r="G158" s="42">
        <f t="shared" si="13"/>
        <v>134.81467361736122</v>
      </c>
      <c r="H158" s="43">
        <f t="shared" si="14"/>
        <v>137.80800254863323</v>
      </c>
    </row>
    <row r="159" spans="1:8" x14ac:dyDescent="0.25">
      <c r="A159" s="52">
        <v>142</v>
      </c>
      <c r="B159" s="53">
        <v>151</v>
      </c>
      <c r="C159" s="44">
        <f t="shared" si="15"/>
        <v>136.5</v>
      </c>
      <c r="D159" s="45">
        <f t="shared" si="16"/>
        <v>136</v>
      </c>
      <c r="E159" s="46">
        <f t="shared" si="17"/>
        <v>133</v>
      </c>
      <c r="F159" s="39">
        <f t="shared" si="12"/>
        <v>138.21264777639723</v>
      </c>
      <c r="G159" s="42">
        <f t="shared" si="13"/>
        <v>143.40733680868061</v>
      </c>
      <c r="H159" s="43">
        <f t="shared" si="14"/>
        <v>148.45200063715831</v>
      </c>
    </row>
    <row r="160" spans="1:8" x14ac:dyDescent="0.25">
      <c r="A160" s="52">
        <v>143</v>
      </c>
      <c r="B160" s="53">
        <v>122</v>
      </c>
      <c r="C160" s="44">
        <f t="shared" si="15"/>
        <v>143.25</v>
      </c>
      <c r="D160" s="45">
        <f t="shared" si="16"/>
        <v>139.4</v>
      </c>
      <c r="E160" s="46">
        <f t="shared" si="17"/>
        <v>138.5</v>
      </c>
      <c r="F160" s="39">
        <f t="shared" si="12"/>
        <v>141.40948583229792</v>
      </c>
      <c r="G160" s="42">
        <f t="shared" si="13"/>
        <v>147.20366840434031</v>
      </c>
      <c r="H160" s="43">
        <f t="shared" si="14"/>
        <v>150.36300015928958</v>
      </c>
    </row>
    <row r="161" spans="1:8" x14ac:dyDescent="0.25">
      <c r="A161" s="52">
        <v>144</v>
      </c>
      <c r="B161" s="53">
        <v>132</v>
      </c>
      <c r="C161" s="44">
        <f t="shared" si="15"/>
        <v>141.5</v>
      </c>
      <c r="D161" s="45">
        <f t="shared" si="16"/>
        <v>139</v>
      </c>
      <c r="E161" s="46">
        <f t="shared" si="17"/>
        <v>136.5</v>
      </c>
      <c r="F161" s="39">
        <f t="shared" si="12"/>
        <v>136.55711437422343</v>
      </c>
      <c r="G161" s="42">
        <f t="shared" si="13"/>
        <v>134.60183420217015</v>
      </c>
      <c r="H161" s="43">
        <f t="shared" si="14"/>
        <v>129.09075003982241</v>
      </c>
    </row>
    <row r="162" spans="1:8" x14ac:dyDescent="0.25">
      <c r="A162" s="52">
        <v>145</v>
      </c>
      <c r="B162" s="53">
        <v>120</v>
      </c>
      <c r="C162" s="44">
        <f t="shared" si="15"/>
        <v>139.25</v>
      </c>
      <c r="D162" s="45">
        <f t="shared" si="16"/>
        <v>139.6</v>
      </c>
      <c r="E162" s="46">
        <f t="shared" si="17"/>
        <v>137.83333333333334</v>
      </c>
      <c r="F162" s="39">
        <f t="shared" si="12"/>
        <v>135.41783578066759</v>
      </c>
      <c r="G162" s="42">
        <f t="shared" si="13"/>
        <v>133.30091710108508</v>
      </c>
      <c r="H162" s="43">
        <f t="shared" si="14"/>
        <v>131.2726875099556</v>
      </c>
    </row>
    <row r="163" spans="1:8" x14ac:dyDescent="0.25">
      <c r="A163" s="52">
        <v>146</v>
      </c>
      <c r="B163" s="53">
        <v>129</v>
      </c>
      <c r="C163" s="44">
        <f t="shared" si="15"/>
        <v>131.25</v>
      </c>
      <c r="D163" s="45">
        <f t="shared" si="16"/>
        <v>135.4</v>
      </c>
      <c r="E163" s="46">
        <f t="shared" si="17"/>
        <v>136.33333333333334</v>
      </c>
      <c r="F163" s="39">
        <f t="shared" si="12"/>
        <v>131.56337683550069</v>
      </c>
      <c r="G163" s="42">
        <f t="shared" si="13"/>
        <v>126.65045855054254</v>
      </c>
      <c r="H163" s="43">
        <f t="shared" si="14"/>
        <v>122.81817187748891</v>
      </c>
    </row>
    <row r="164" spans="1:8" x14ac:dyDescent="0.25">
      <c r="A164" s="52">
        <v>147</v>
      </c>
      <c r="B164" s="53">
        <v>127</v>
      </c>
      <c r="C164" s="44">
        <f t="shared" si="15"/>
        <v>125.75</v>
      </c>
      <c r="D164" s="45">
        <f t="shared" si="16"/>
        <v>130.80000000000001</v>
      </c>
      <c r="E164" s="46">
        <f t="shared" si="17"/>
        <v>134.33333333333334</v>
      </c>
      <c r="F164" s="39">
        <f t="shared" si="12"/>
        <v>130.92253262662553</v>
      </c>
      <c r="G164" s="42">
        <f t="shared" si="13"/>
        <v>127.82522927527127</v>
      </c>
      <c r="H164" s="43">
        <f t="shared" si="14"/>
        <v>127.45454296937223</v>
      </c>
    </row>
    <row r="165" spans="1:8" x14ac:dyDescent="0.25">
      <c r="A165" s="52">
        <v>148</v>
      </c>
      <c r="B165" s="53">
        <v>150</v>
      </c>
      <c r="C165" s="44">
        <f t="shared" si="15"/>
        <v>127</v>
      </c>
      <c r="D165" s="45">
        <f t="shared" si="16"/>
        <v>126</v>
      </c>
      <c r="E165" s="46">
        <f t="shared" si="17"/>
        <v>130.16666666666666</v>
      </c>
      <c r="F165" s="39">
        <f t="shared" si="12"/>
        <v>129.94189946996914</v>
      </c>
      <c r="G165" s="42">
        <f t="shared" si="13"/>
        <v>127.41261463763564</v>
      </c>
      <c r="H165" s="43">
        <f t="shared" si="14"/>
        <v>127.11363574234306</v>
      </c>
    </row>
    <row r="166" spans="1:8" x14ac:dyDescent="0.25">
      <c r="A166" s="52">
        <v>149</v>
      </c>
      <c r="B166" s="53">
        <v>133</v>
      </c>
      <c r="C166" s="44">
        <f t="shared" si="15"/>
        <v>131.5</v>
      </c>
      <c r="D166" s="45">
        <f t="shared" si="16"/>
        <v>131.6</v>
      </c>
      <c r="E166" s="46">
        <f t="shared" si="17"/>
        <v>130</v>
      </c>
      <c r="F166" s="39">
        <f t="shared" si="12"/>
        <v>134.95642460247686</v>
      </c>
      <c r="G166" s="42">
        <f t="shared" si="13"/>
        <v>138.70630731881784</v>
      </c>
      <c r="H166" s="43">
        <f t="shared" si="14"/>
        <v>144.27840893558576</v>
      </c>
    </row>
    <row r="167" spans="1:8" x14ac:dyDescent="0.25">
      <c r="A167" s="52">
        <v>150</v>
      </c>
      <c r="B167" s="53">
        <v>159</v>
      </c>
      <c r="C167" s="44">
        <f t="shared" si="15"/>
        <v>134.75</v>
      </c>
      <c r="D167" s="45">
        <f t="shared" si="16"/>
        <v>131.80000000000001</v>
      </c>
      <c r="E167" s="46">
        <f t="shared" si="17"/>
        <v>131.83333333333334</v>
      </c>
      <c r="F167" s="39">
        <f t="shared" si="12"/>
        <v>134.46731845185764</v>
      </c>
      <c r="G167" s="42">
        <f t="shared" si="13"/>
        <v>135.85315365940892</v>
      </c>
      <c r="H167" s="43">
        <f t="shared" si="14"/>
        <v>135.81960223389643</v>
      </c>
    </row>
    <row r="168" spans="1:8" x14ac:dyDescent="0.25">
      <c r="A168" s="52">
        <v>151</v>
      </c>
      <c r="B168" s="53">
        <v>129</v>
      </c>
      <c r="C168" s="44">
        <f t="shared" si="15"/>
        <v>142.25</v>
      </c>
      <c r="D168" s="45">
        <f t="shared" si="16"/>
        <v>139.6</v>
      </c>
      <c r="E168" s="46">
        <f t="shared" si="17"/>
        <v>136.33333333333334</v>
      </c>
      <c r="F168" s="39">
        <f t="shared" si="12"/>
        <v>140.60048883889323</v>
      </c>
      <c r="G168" s="42">
        <f t="shared" si="13"/>
        <v>147.42657682970446</v>
      </c>
      <c r="H168" s="43">
        <f t="shared" si="14"/>
        <v>153.20490055847409</v>
      </c>
    </row>
    <row r="169" spans="1:8" x14ac:dyDescent="0.25">
      <c r="A169" s="52">
        <v>152</v>
      </c>
      <c r="B169" s="53">
        <v>156</v>
      </c>
      <c r="C169" s="44">
        <f t="shared" si="15"/>
        <v>142.75</v>
      </c>
      <c r="D169" s="45">
        <f t="shared" si="16"/>
        <v>139.6</v>
      </c>
      <c r="E169" s="46">
        <f t="shared" si="17"/>
        <v>137.83333333333334</v>
      </c>
      <c r="F169" s="39">
        <f t="shared" si="12"/>
        <v>137.70036662916993</v>
      </c>
      <c r="G169" s="42">
        <f t="shared" si="13"/>
        <v>138.21328841485223</v>
      </c>
      <c r="H169" s="43">
        <f t="shared" si="14"/>
        <v>135.05122513961851</v>
      </c>
    </row>
    <row r="170" spans="1:8" x14ac:dyDescent="0.25">
      <c r="A170" s="52">
        <v>153</v>
      </c>
      <c r="B170" s="53">
        <v>133</v>
      </c>
      <c r="C170" s="44">
        <f t="shared" si="15"/>
        <v>144.25</v>
      </c>
      <c r="D170" s="45">
        <f t="shared" si="16"/>
        <v>145.4</v>
      </c>
      <c r="E170" s="46">
        <f t="shared" si="17"/>
        <v>142.33333333333334</v>
      </c>
      <c r="F170" s="39">
        <f t="shared" si="12"/>
        <v>142.27527497187745</v>
      </c>
      <c r="G170" s="42">
        <f t="shared" si="13"/>
        <v>147.10664420742611</v>
      </c>
      <c r="H170" s="43">
        <f t="shared" si="14"/>
        <v>150.76280628490463</v>
      </c>
    </row>
    <row r="171" spans="1:8" x14ac:dyDescent="0.25">
      <c r="A171" s="52">
        <v>154</v>
      </c>
      <c r="B171" s="53">
        <v>130</v>
      </c>
      <c r="C171" s="44">
        <f t="shared" si="15"/>
        <v>144.25</v>
      </c>
      <c r="D171" s="45">
        <f t="shared" si="16"/>
        <v>142</v>
      </c>
      <c r="E171" s="46">
        <f t="shared" si="17"/>
        <v>143.33333333333334</v>
      </c>
      <c r="F171" s="39">
        <f t="shared" si="12"/>
        <v>139.95645622890808</v>
      </c>
      <c r="G171" s="42">
        <f t="shared" si="13"/>
        <v>140.05332210371307</v>
      </c>
      <c r="H171" s="43">
        <f t="shared" si="14"/>
        <v>137.44070157122616</v>
      </c>
    </row>
    <row r="172" spans="1:8" x14ac:dyDescent="0.25">
      <c r="A172" s="52">
        <v>155</v>
      </c>
      <c r="B172" s="53">
        <v>121</v>
      </c>
      <c r="C172" s="44">
        <f t="shared" si="15"/>
        <v>137</v>
      </c>
      <c r="D172" s="45">
        <f t="shared" si="16"/>
        <v>141.4</v>
      </c>
      <c r="E172" s="46">
        <f t="shared" si="17"/>
        <v>140</v>
      </c>
      <c r="F172" s="39">
        <f t="shared" si="12"/>
        <v>137.46734217168105</v>
      </c>
      <c r="G172" s="42">
        <f t="shared" si="13"/>
        <v>135.02666105185654</v>
      </c>
      <c r="H172" s="43">
        <f t="shared" si="14"/>
        <v>131.86017539280652</v>
      </c>
    </row>
    <row r="173" spans="1:8" ht="15.75" thickBot="1" x14ac:dyDescent="0.3">
      <c r="A173" s="54">
        <v>156</v>
      </c>
      <c r="B173" s="55">
        <v>125</v>
      </c>
      <c r="C173" s="44">
        <f>AVERAGE(B169:B172)</f>
        <v>135</v>
      </c>
      <c r="D173" s="45">
        <f t="shared" si="16"/>
        <v>133.80000000000001</v>
      </c>
      <c r="E173" s="46">
        <f t="shared" si="17"/>
        <v>138</v>
      </c>
      <c r="F173" s="39">
        <f t="shared" si="12"/>
        <v>133.3505066287608</v>
      </c>
      <c r="G173" s="42">
        <f>0.5*B172+0.5*G172</f>
        <v>128.01333052592827</v>
      </c>
      <c r="H173" s="43">
        <f>0.75*B172+0.25*H172</f>
        <v>123.71504384820163</v>
      </c>
    </row>
    <row r="174" spans="1:8" ht="15.75" thickBot="1" x14ac:dyDescent="0.3">
      <c r="A174" s="56">
        <v>157</v>
      </c>
      <c r="B174" s="57"/>
      <c r="C174" s="113">
        <f>AVERAGE(B170:B173)</f>
        <v>127.25</v>
      </c>
      <c r="D174" s="114">
        <f>AVERAGE(B169:B173)</f>
        <v>133</v>
      </c>
      <c r="E174" s="115">
        <f>AVERAGE(B168:B173)</f>
        <v>132.33333333333334</v>
      </c>
      <c r="F174" s="113">
        <f>0.25*B173+0.75*F173</f>
        <v>131.26287997157061</v>
      </c>
      <c r="G174" s="114">
        <f>0.5*B173+0.5*G173</f>
        <v>126.50666526296413</v>
      </c>
      <c r="H174" s="115">
        <f>0.75*B173+0.25*H173</f>
        <v>124.6787609620504</v>
      </c>
    </row>
    <row r="175" spans="1:8" x14ac:dyDescent="0.25">
      <c r="A175" s="47"/>
      <c r="B175" s="47"/>
      <c r="C175" s="47"/>
      <c r="D175" s="47"/>
      <c r="E175" s="47"/>
      <c r="F175" s="47"/>
      <c r="G175" s="47"/>
      <c r="H175" s="47"/>
    </row>
    <row r="176" spans="1:8" x14ac:dyDescent="0.25">
      <c r="A176" s="47"/>
      <c r="B176" s="48"/>
      <c r="C176" s="47"/>
      <c r="D176" s="47"/>
      <c r="E176" s="47"/>
      <c r="F176" s="47"/>
      <c r="G176" s="47"/>
      <c r="H176" s="47"/>
    </row>
    <row r="177" spans="1:8" x14ac:dyDescent="0.25">
      <c r="A177" s="47"/>
      <c r="B177" s="47"/>
      <c r="C177" s="47"/>
      <c r="D177" s="47"/>
      <c r="E177" s="47"/>
      <c r="F177" s="47"/>
      <c r="G177" s="47"/>
      <c r="H177" s="47"/>
    </row>
    <row r="178" spans="1:8" x14ac:dyDescent="0.25">
      <c r="A178" s="49"/>
      <c r="B178" s="49"/>
      <c r="C178" s="49"/>
      <c r="D178" s="49"/>
      <c r="E178" s="49"/>
      <c r="F178" s="49"/>
      <c r="G178" s="49"/>
      <c r="H178" s="49"/>
    </row>
    <row r="179" spans="1:8" x14ac:dyDescent="0.25">
      <c r="A179" s="49"/>
      <c r="B179" s="49"/>
      <c r="C179" s="49"/>
      <c r="D179" s="49"/>
      <c r="E179" s="49"/>
      <c r="F179" s="49"/>
      <c r="G179" s="49"/>
      <c r="H179" s="49"/>
    </row>
    <row r="180" spans="1:8" x14ac:dyDescent="0.25">
      <c r="A180" s="49"/>
      <c r="B180" s="49"/>
      <c r="C180" s="49"/>
      <c r="D180" s="49"/>
      <c r="E180" s="49"/>
      <c r="F180" s="49"/>
      <c r="G180" s="49"/>
      <c r="H180" s="49"/>
    </row>
  </sheetData>
  <mergeCells count="29">
    <mergeCell ref="Q18:S19"/>
    <mergeCell ref="J18:J19"/>
    <mergeCell ref="K18:K19"/>
    <mergeCell ref="L18:L19"/>
    <mergeCell ref="M18:M19"/>
    <mergeCell ref="N18:N19"/>
    <mergeCell ref="O18:O19"/>
    <mergeCell ref="P18:P19"/>
    <mergeCell ref="O16:O17"/>
    <mergeCell ref="J14:O15"/>
    <mergeCell ref="Q16:S17"/>
    <mergeCell ref="P16:P17"/>
    <mergeCell ref="Q14:S15"/>
    <mergeCell ref="P14:P15"/>
    <mergeCell ref="J16:J17"/>
    <mergeCell ref="K16:K17"/>
    <mergeCell ref="L16:L17"/>
    <mergeCell ref="M16:M17"/>
    <mergeCell ref="N16:N17"/>
    <mergeCell ref="B15:B17"/>
    <mergeCell ref="A15:A17"/>
    <mergeCell ref="C15:E15"/>
    <mergeCell ref="F15:H15"/>
    <mergeCell ref="C16:C17"/>
    <mergeCell ref="D16:D17"/>
    <mergeCell ref="E16:E17"/>
    <mergeCell ref="F16:F17"/>
    <mergeCell ref="G16:G17"/>
    <mergeCell ref="H16:H17"/>
  </mergeCells>
  <phoneticPr fontId="2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20"/>
  <sheetViews>
    <sheetView tabSelected="1" zoomScale="150" zoomScaleNormal="150" workbookViewId="0">
      <selection activeCell="E14" sqref="E14"/>
    </sheetView>
  </sheetViews>
  <sheetFormatPr defaultColWidth="9.140625" defaultRowHeight="15.75" x14ac:dyDescent="0.25"/>
  <cols>
    <col min="1" max="1" width="9.140625" style="1"/>
    <col min="2" max="2" width="33.140625" style="4" bestFit="1" customWidth="1"/>
    <col min="3" max="3" width="13.28515625" style="1" bestFit="1" customWidth="1"/>
    <col min="4" max="4" width="23.140625" style="1" bestFit="1" customWidth="1"/>
    <col min="5" max="5" width="17.42578125" style="1" bestFit="1" customWidth="1"/>
    <col min="6" max="16384" width="9.140625" style="1"/>
  </cols>
  <sheetData>
    <row r="4" spans="2:5" x14ac:dyDescent="0.25">
      <c r="B4"/>
      <c r="C4"/>
    </row>
    <row r="5" spans="2:5" x14ac:dyDescent="0.25">
      <c r="B5"/>
      <c r="C5"/>
    </row>
    <row r="6" spans="2:5" x14ac:dyDescent="0.25">
      <c r="B6"/>
      <c r="C6"/>
    </row>
    <row r="7" spans="2:5" x14ac:dyDescent="0.25">
      <c r="B7"/>
      <c r="C7"/>
    </row>
    <row r="8" spans="2:5" x14ac:dyDescent="0.25">
      <c r="B8"/>
      <c r="C8"/>
    </row>
    <row r="9" spans="2:5" x14ac:dyDescent="0.25">
      <c r="B9"/>
      <c r="C9"/>
    </row>
    <row r="10" spans="2:5" x14ac:dyDescent="0.25">
      <c r="B10" s="5"/>
    </row>
    <row r="11" spans="2:5" x14ac:dyDescent="0.25">
      <c r="B11" s="104" t="s">
        <v>3</v>
      </c>
      <c r="C11" s="36"/>
    </row>
    <row r="12" spans="2:5" x14ac:dyDescent="0.25">
      <c r="B12" s="104"/>
      <c r="C12" s="37"/>
    </row>
    <row r="13" spans="2:5" x14ac:dyDescent="0.25">
      <c r="B13" s="1"/>
      <c r="C13" s="38"/>
    </row>
    <row r="14" spans="2:5" x14ac:dyDescent="0.25">
      <c r="B14" s="5" t="s">
        <v>112</v>
      </c>
      <c r="C14" s="35"/>
    </row>
    <row r="15" spans="2:5" x14ac:dyDescent="0.25">
      <c r="C15" s="38"/>
    </row>
    <row r="16" spans="2:5" x14ac:dyDescent="0.25">
      <c r="B16" s="5" t="s">
        <v>4</v>
      </c>
      <c r="C16" s="35"/>
      <c r="D16" s="3"/>
      <c r="E16" s="3"/>
    </row>
    <row r="17" spans="2:5" x14ac:dyDescent="0.25">
      <c r="C17" s="38"/>
      <c r="D17" s="3"/>
      <c r="E17" s="3"/>
    </row>
    <row r="18" spans="2:5" x14ac:dyDescent="0.25">
      <c r="B18" s="5" t="s">
        <v>5</v>
      </c>
      <c r="C18" s="35"/>
      <c r="D18" s="3"/>
      <c r="E18" s="3"/>
    </row>
    <row r="19" spans="2:5" x14ac:dyDescent="0.25">
      <c r="C19" s="38"/>
    </row>
    <row r="20" spans="2:5" x14ac:dyDescent="0.25">
      <c r="B20" s="5" t="s">
        <v>12</v>
      </c>
      <c r="C20" s="35"/>
    </row>
  </sheetData>
  <mergeCells count="1">
    <mergeCell ref="B11:B12"/>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XFD1048575"/>
  <sheetViews>
    <sheetView zoomScale="170" zoomScaleNormal="170" workbookViewId="0">
      <selection activeCell="K13" sqref="K13"/>
    </sheetView>
  </sheetViews>
  <sheetFormatPr defaultColWidth="8.85546875" defaultRowHeight="12.75" x14ac:dyDescent="0.2"/>
  <cols>
    <col min="1" max="2" width="12.42578125" customWidth="1"/>
    <col min="3" max="3" width="10.7109375" customWidth="1"/>
    <col min="4" max="4" width="11.28515625" customWidth="1"/>
    <col min="5" max="5" width="12.42578125" customWidth="1"/>
    <col min="7" max="7" width="37.140625" customWidth="1"/>
    <col min="8" max="8" width="9.42578125" bestFit="1" customWidth="1"/>
    <col min="10" max="10" width="17.42578125" customWidth="1"/>
    <col min="11" max="11" width="21.140625" bestFit="1" customWidth="1"/>
    <col min="12" max="12" width="11.42578125" bestFit="1" customWidth="1"/>
  </cols>
  <sheetData>
    <row r="2" spans="1:12" ht="18.75" x14ac:dyDescent="0.3">
      <c r="G2" s="109"/>
      <c r="H2" s="109"/>
      <c r="K2" s="61"/>
      <c r="L2" s="61"/>
    </row>
    <row r="3" spans="1:12" ht="47.25" x14ac:dyDescent="0.2">
      <c r="A3" s="111" t="s">
        <v>116</v>
      </c>
      <c r="B3" s="111"/>
      <c r="C3" s="62" t="s">
        <v>117</v>
      </c>
      <c r="D3" s="62" t="s">
        <v>118</v>
      </c>
      <c r="E3" s="62" t="s">
        <v>119</v>
      </c>
      <c r="F3" s="60"/>
      <c r="G3" s="110" t="s">
        <v>1</v>
      </c>
      <c r="H3" s="110"/>
      <c r="I3" s="60"/>
      <c r="J3" s="62"/>
      <c r="K3" s="63" t="s">
        <v>2</v>
      </c>
    </row>
    <row r="4" spans="1:12" ht="31.5" x14ac:dyDescent="0.25">
      <c r="A4" s="112" t="s">
        <v>120</v>
      </c>
      <c r="B4" s="83" t="s">
        <v>130</v>
      </c>
      <c r="C4" s="68">
        <v>90</v>
      </c>
      <c r="D4" s="69">
        <v>4000</v>
      </c>
      <c r="E4" s="107">
        <v>10000</v>
      </c>
      <c r="F4" s="60"/>
      <c r="G4" s="58" t="s">
        <v>123</v>
      </c>
      <c r="H4" s="78"/>
      <c r="I4" s="60"/>
      <c r="J4" s="62" t="s">
        <v>129</v>
      </c>
      <c r="K4" s="64"/>
    </row>
    <row r="5" spans="1:12" ht="25.5" x14ac:dyDescent="0.25">
      <c r="A5" s="106"/>
      <c r="B5" s="70" t="s">
        <v>133</v>
      </c>
      <c r="C5" s="71">
        <v>55</v>
      </c>
      <c r="D5" s="72">
        <v>1500</v>
      </c>
      <c r="E5" s="108"/>
      <c r="F5" s="60"/>
      <c r="G5" s="58" t="s">
        <v>125</v>
      </c>
      <c r="H5" s="65"/>
      <c r="I5" s="60"/>
      <c r="J5" s="60"/>
      <c r="K5" s="60"/>
    </row>
    <row r="6" spans="1:12" ht="25.5" x14ac:dyDescent="0.25">
      <c r="A6" s="105" t="s">
        <v>121</v>
      </c>
      <c r="B6" s="67" t="s">
        <v>131</v>
      </c>
      <c r="C6" s="73">
        <v>25</v>
      </c>
      <c r="D6" s="69">
        <v>2000</v>
      </c>
      <c r="E6" s="107">
        <v>3000</v>
      </c>
      <c r="F6" s="60"/>
      <c r="G6" s="81" t="s">
        <v>124</v>
      </c>
      <c r="H6" s="79"/>
      <c r="I6" s="60"/>
      <c r="J6" s="60"/>
      <c r="K6" s="60"/>
    </row>
    <row r="7" spans="1:12" ht="25.5" x14ac:dyDescent="0.2">
      <c r="A7" s="106"/>
      <c r="B7" s="84" t="s">
        <v>132</v>
      </c>
      <c r="C7" s="74">
        <v>20</v>
      </c>
      <c r="D7" s="72">
        <v>1200</v>
      </c>
      <c r="E7" s="108"/>
      <c r="F7" s="60"/>
      <c r="G7" s="58" t="s">
        <v>126</v>
      </c>
      <c r="H7" s="82"/>
      <c r="I7" s="60"/>
      <c r="J7" s="60"/>
      <c r="K7" s="60"/>
    </row>
    <row r="8" spans="1:12" ht="25.5" x14ac:dyDescent="0.2">
      <c r="A8" s="105" t="s">
        <v>122</v>
      </c>
      <c r="B8" s="67" t="s">
        <v>134</v>
      </c>
      <c r="C8" s="75">
        <v>10</v>
      </c>
      <c r="D8" s="68">
        <v>1000</v>
      </c>
      <c r="E8" s="107">
        <v>1000</v>
      </c>
      <c r="F8" s="60"/>
      <c r="G8" s="81" t="s">
        <v>127</v>
      </c>
      <c r="H8" s="80"/>
      <c r="I8" s="60"/>
      <c r="J8" s="60"/>
      <c r="K8" s="60"/>
    </row>
    <row r="9" spans="1:12" ht="25.5" x14ac:dyDescent="0.2">
      <c r="A9" s="106"/>
      <c r="B9" s="84" t="s">
        <v>135</v>
      </c>
      <c r="C9" s="76">
        <v>5</v>
      </c>
      <c r="D9" s="77">
        <v>800</v>
      </c>
      <c r="E9" s="108"/>
      <c r="F9" s="60"/>
      <c r="G9" s="59" t="s">
        <v>128</v>
      </c>
      <c r="H9" s="66"/>
      <c r="I9" s="60"/>
      <c r="J9" s="60"/>
      <c r="K9" s="60"/>
    </row>
    <row r="37" ht="30" customHeight="1" x14ac:dyDescent="0.2"/>
    <row r="38" ht="28.5" customHeight="1" x14ac:dyDescent="0.2"/>
    <row r="1048550" spans="16384:16384" x14ac:dyDescent="0.2">
      <c r="XFD1048550">
        <f>solver_pre</f>
        <v>9.9999999999999995E-7</v>
      </c>
    </row>
    <row r="1048551" spans="16384:16384" x14ac:dyDescent="0.2">
      <c r="XFD1048551">
        <f>solver_scl</f>
        <v>2</v>
      </c>
    </row>
    <row r="1048552" spans="16384:16384" x14ac:dyDescent="0.2">
      <c r="XFD1048552">
        <f>solver_rlx</f>
        <v>2</v>
      </c>
    </row>
    <row r="1048553" spans="16384:16384" x14ac:dyDescent="0.2">
      <c r="XFD1048553">
        <f>solver_tol</f>
        <v>0.01</v>
      </c>
    </row>
    <row r="1048554" spans="16384:16384" x14ac:dyDescent="0.2">
      <c r="XFD1048554">
        <f>solver_cvg</f>
        <v>1E-4</v>
      </c>
    </row>
    <row r="1048555" spans="16384:16384" x14ac:dyDescent="0.2">
      <c r="XFD1048555" t="e" cm="1">
        <f t="array" ref="XFD1048555">AREAS(solver_adj1)</f>
        <v>#NAME?</v>
      </c>
    </row>
    <row r="1048556" spans="16384:16384" x14ac:dyDescent="0.2">
      <c r="XFD1048556">
        <f>solver_ssz</f>
        <v>100</v>
      </c>
    </row>
    <row r="1048557" spans="16384:16384" x14ac:dyDescent="0.2">
      <c r="XFD1048557">
        <f>solver_rsd</f>
        <v>0</v>
      </c>
    </row>
    <row r="1048558" spans="16384:16384" x14ac:dyDescent="0.2">
      <c r="XFD1048558">
        <f>solver_mrt</f>
        <v>7.4999999999999997E-2</v>
      </c>
    </row>
    <row r="1048559" spans="16384:16384" x14ac:dyDescent="0.2">
      <c r="XFD1048559">
        <f>solver_mni</f>
        <v>30</v>
      </c>
    </row>
    <row r="1048560" spans="16384:16384" x14ac:dyDescent="0.2">
      <c r="XFD1048560">
        <f>solver_rbv</f>
        <v>2</v>
      </c>
    </row>
    <row r="1048561" spans="16384:16384" x14ac:dyDescent="0.2">
      <c r="XFD1048561">
        <f>solver_neg</f>
        <v>2</v>
      </c>
    </row>
    <row r="1048562" spans="16384:16384" x14ac:dyDescent="0.2">
      <c r="XFD1048562" t="e" cm="1">
        <f t="array" ref="XFD1048562">solver_ntr</f>
        <v>#NAME?</v>
      </c>
    </row>
    <row r="1048563" spans="16384:16384" x14ac:dyDescent="0.2">
      <c r="XFD1048563" t="e" cm="1">
        <f t="array" ref="XFD1048563">solver_acc</f>
        <v>#NAME?</v>
      </c>
    </row>
    <row r="1048564" spans="16384:16384" x14ac:dyDescent="0.2">
      <c r="XFD1048564" t="e" cm="1">
        <f t="array" ref="XFD1048564">solver_res</f>
        <v>#NAME?</v>
      </c>
    </row>
    <row r="1048565" spans="16384:16384" x14ac:dyDescent="0.2">
      <c r="XFD1048565" t="e" cm="1">
        <f t="array" ref="XFD1048565">solver_ars</f>
        <v>#NAME?</v>
      </c>
    </row>
    <row r="1048566" spans="16384:16384" x14ac:dyDescent="0.2">
      <c r="XFD1048566" t="e" cm="1">
        <f t="array" ref="XFD1048566">solver_sta</f>
        <v>#NAME?</v>
      </c>
    </row>
    <row r="1048567" spans="16384:16384" x14ac:dyDescent="0.2">
      <c r="XFD1048567" t="e" cm="1">
        <f t="array" ref="XFD1048567">solver_met</f>
        <v>#NAME?</v>
      </c>
    </row>
    <row r="1048568" spans="16384:16384" x14ac:dyDescent="0.2">
      <c r="XFD1048568" t="e" cm="1">
        <f t="array" ref="XFD1048568">solver_soc</f>
        <v>#NAME?</v>
      </c>
    </row>
    <row r="1048569" spans="16384:16384" x14ac:dyDescent="0.2">
      <c r="XFD1048569" t="e" cm="1">
        <f t="array" ref="XFD1048569">solver_lpt</f>
        <v>#NAME?</v>
      </c>
    </row>
    <row r="1048570" spans="16384:16384" x14ac:dyDescent="0.2">
      <c r="XFD1048570" t="e" cm="1">
        <f t="array" ref="XFD1048570">solver_lpp</f>
        <v>#NAME?</v>
      </c>
    </row>
    <row r="1048571" spans="16384:16384" x14ac:dyDescent="0.2">
      <c r="XFD1048571" t="e" cm="1">
        <f t="array" ref="XFD1048571">solver_gap</f>
        <v>#NAME?</v>
      </c>
    </row>
    <row r="1048572" spans="16384:16384" x14ac:dyDescent="0.2">
      <c r="XFD1048572" t="e" cm="1">
        <f t="array" ref="XFD1048572">solver_ips</f>
        <v>#NAME?</v>
      </c>
    </row>
    <row r="1048573" spans="16384:16384" x14ac:dyDescent="0.2">
      <c r="XFD1048573" t="e" cm="1">
        <f t="array" ref="XFD1048573">solver_fea</f>
        <v>#NAME?</v>
      </c>
    </row>
    <row r="1048574" spans="16384:16384" x14ac:dyDescent="0.2">
      <c r="XFD1048574" t="e" cm="1">
        <f t="array" ref="XFD1048574">solver_ipi</f>
        <v>#NAME?</v>
      </c>
    </row>
    <row r="1048575" spans="16384:16384" x14ac:dyDescent="0.2">
      <c r="XFD1048575" t="e" cm="1">
        <f t="array" ref="XFD1048575">solver_ipd</f>
        <v>#NAME?</v>
      </c>
    </row>
  </sheetData>
  <mergeCells count="9">
    <mergeCell ref="A8:A9"/>
    <mergeCell ref="E4:E5"/>
    <mergeCell ref="E6:E7"/>
    <mergeCell ref="E8:E9"/>
    <mergeCell ref="G2:H2"/>
    <mergeCell ref="G3:H3"/>
    <mergeCell ref="A3:B3"/>
    <mergeCell ref="A4:A5"/>
    <mergeCell ref="A6:A7"/>
  </mergeCells>
  <pageMargins left="0.7" right="0.7" top="0.75" bottom="0.75" header="0.3" footer="0.3"/>
  <pageSetup paperSize="9" orientation="portrait" r:id="rId1"/>
  <extLst>
    <ext xmlns:x15="http://schemas.microsoft.com/office/spreadsheetml/2010/11/main" uri="{F7C9EE02-42E1-4005-9D12-6889AFFD525C}">
      <x15:webExtensions xmlns:xm="http://schemas.microsoft.com/office/excel/2006/main">
        <x15:webExtension appRef="{83B5D8B2-AF49-6D41-B7BB-A01E4097B078}">
          <xm:f>'Q4.Flamingo Grill'!1:1048576</xm:f>
        </x15:webExtension>
        <x15:webExtension appRef="{A0C87E43-B8AD-0641-A98E-254343A9F0BF}">
          <xm:f>'Q4.Flamingo Grill'!XFD1048550:XFD1048575</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Name and Matriculation Number</vt:lpstr>
      <vt:lpstr>Q1.President’s Inn Guest</vt:lpstr>
      <vt:lpstr>Q2.Sales Volume</vt:lpstr>
      <vt:lpstr>Q3.Batteries Life Expectancy</vt:lpstr>
      <vt:lpstr>Q4.Flamingo Grill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Xiaolu Wang</dc:creator>
  <cp:lastModifiedBy>Hektor Dahlberg</cp:lastModifiedBy>
  <dcterms:created xsi:type="dcterms:W3CDTF">2009-07-09T05:51:11Z</dcterms:created>
  <dcterms:modified xsi:type="dcterms:W3CDTF">2024-09-30T09:05:29Z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73789c54-4928-4b9b-a68e-f7ee359011ab</vt:lpwstr>
  </property>
</Properties>
</file>