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marine-seguros/"/>
    </mc:Choice>
  </mc:AlternateContent>
  <xr:revisionPtr revIDLastSave="0" documentId="8_{CBCFDC93-AF4C-804C-B6C3-1D4E766052D7}" xr6:coauthVersionLast="47" xr6:coauthVersionMax="47" xr10:uidLastSave="{00000000-0000-0000-0000-000000000000}"/>
  <bookViews>
    <workbookView xWindow="380" yWindow="760" windowWidth="23880" windowHeight="12340" xr2:uid="{3C5D265E-AF03-4F51-9CCE-24892D1B456A}"/>
  </bookViews>
  <sheets>
    <sheet name="Resultado" sheetId="6" r:id="rId1"/>
    <sheet name="Previsão 2024" sheetId="7" r:id="rId2"/>
    <sheet name="Comparativo" sheetId="4" r:id="rId3"/>
    <sheet name="Análise previsã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0" i="6" l="1"/>
  <c r="AB80" i="6"/>
  <c r="Z81" i="6"/>
  <c r="Z77" i="6" l="1"/>
  <c r="Z78" i="6"/>
  <c r="AB77" i="6"/>
  <c r="AB78" i="6"/>
  <c r="AB79" i="6"/>
  <c r="AC79" i="6" s="1"/>
  <c r="AC70" i="6"/>
  <c r="AC71" i="6"/>
  <c r="AC72" i="6"/>
  <c r="AC73" i="6"/>
  <c r="AC74" i="6"/>
  <c r="AC75" i="6"/>
  <c r="AC76" i="6"/>
  <c r="AC77" i="6"/>
  <c r="AC78" i="6"/>
  <c r="AC69" i="6"/>
  <c r="AC63" i="6"/>
  <c r="AC64" i="6"/>
  <c r="AC65" i="6"/>
  <c r="AC66" i="6"/>
  <c r="AC67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25" i="6"/>
  <c r="AC26" i="6"/>
  <c r="AC27" i="6"/>
  <c r="AC28" i="6"/>
  <c r="AC24" i="6"/>
  <c r="AC23" i="6"/>
  <c r="AC22" i="6"/>
  <c r="AC5" i="6"/>
  <c r="AC4" i="6"/>
  <c r="AC3" i="6"/>
  <c r="X105" i="6" l="1"/>
  <c r="X96" i="6"/>
  <c r="X106" i="6"/>
  <c r="V106" i="6"/>
  <c r="X42" i="6"/>
  <c r="X35" i="6"/>
  <c r="X26" i="6"/>
  <c r="X72" i="6" l="1"/>
  <c r="X67" i="6"/>
  <c r="AB70" i="6" l="1"/>
  <c r="AB73" i="6"/>
  <c r="AB74" i="6"/>
  <c r="AB75" i="6"/>
  <c r="AB76" i="6"/>
  <c r="X11" i="6" l="1"/>
  <c r="X14" i="6"/>
  <c r="X12" i="6"/>
  <c r="X10" i="6"/>
  <c r="V26" i="6" l="1"/>
  <c r="V59" i="6" l="1"/>
  <c r="V71" i="6" l="1"/>
  <c r="V49" i="6"/>
  <c r="V53" i="6"/>
  <c r="T61" i="6" l="1"/>
  <c r="T67" i="6"/>
  <c r="T66" i="6"/>
  <c r="T38" i="6"/>
  <c r="T29" i="6"/>
  <c r="V10" i="6"/>
  <c r="V12" i="6"/>
  <c r="V11" i="6"/>
  <c r="T26" i="6"/>
  <c r="T12" i="6" l="1"/>
  <c r="T10" i="6"/>
  <c r="T11" i="6"/>
  <c r="R109" i="6"/>
  <c r="R71" i="6"/>
  <c r="AB71" i="6" s="1"/>
  <c r="R61" i="6"/>
  <c r="R29" i="6" l="1"/>
  <c r="R26" i="6"/>
  <c r="R31" i="6"/>
  <c r="R11" i="6" l="1"/>
  <c r="R12" i="6" l="1"/>
  <c r="R10" i="6"/>
  <c r="P69" i="6"/>
  <c r="AB69" i="6" s="1"/>
  <c r="P26" i="6"/>
  <c r="N31" i="6" l="1"/>
  <c r="P11" i="6"/>
  <c r="N68" i="6"/>
  <c r="N26" i="6"/>
  <c r="P12" i="6"/>
  <c r="P10" i="6"/>
  <c r="N10" i="6"/>
  <c r="N33" i="6"/>
  <c r="AB16" i="6"/>
  <c r="R25" i="6" l="1"/>
  <c r="AB28" i="6"/>
  <c r="P9" i="6"/>
  <c r="R9" i="6"/>
  <c r="T9" i="6"/>
  <c r="V9" i="6"/>
  <c r="X9" i="6"/>
  <c r="L4" i="6" l="1"/>
  <c r="L85" i="6" s="1"/>
  <c r="H85" i="6"/>
  <c r="AB17" i="6"/>
  <c r="AB14" i="6"/>
  <c r="AB11" i="6"/>
  <c r="N39" i="6" l="1"/>
  <c r="N25" i="6" l="1"/>
  <c r="N12" i="6"/>
  <c r="N9" i="6" s="1"/>
  <c r="N109" i="6"/>
  <c r="L109" i="6"/>
  <c r="L26" i="6"/>
  <c r="L12" i="6"/>
  <c r="L10" i="6"/>
  <c r="L49" i="6"/>
  <c r="L51" i="6"/>
  <c r="L65" i="6"/>
  <c r="L72" i="6"/>
  <c r="L66" i="6"/>
  <c r="L8" i="6"/>
  <c r="AB8" i="6" l="1"/>
  <c r="P25" i="6"/>
  <c r="J42" i="6"/>
  <c r="J107" i="6" s="1"/>
  <c r="J105" i="6"/>
  <c r="H109" i="6"/>
  <c r="H2" i="6"/>
  <c r="J68" i="6"/>
  <c r="J109" i="6"/>
  <c r="J26" i="6"/>
  <c r="J12" i="6"/>
  <c r="J10" i="6"/>
  <c r="J9" i="6" s="1"/>
  <c r="J6" i="6" s="1"/>
  <c r="H105" i="6" l="1"/>
  <c r="I7" i="6"/>
  <c r="J54" i="6"/>
  <c r="J55" i="6"/>
  <c r="J67" i="6"/>
  <c r="J33" i="6"/>
  <c r="T25" i="6" l="1"/>
  <c r="AB4" i="6"/>
  <c r="AB3" i="6"/>
  <c r="L9" i="6"/>
  <c r="AB27" i="6"/>
  <c r="H26" i="6"/>
  <c r="H29" i="6"/>
  <c r="H31" i="6"/>
  <c r="H65" i="6"/>
  <c r="H64" i="6"/>
  <c r="J31" i="6"/>
  <c r="J25" i="6" s="1"/>
  <c r="J20" i="6" s="1"/>
  <c r="J83" i="6" s="1"/>
  <c r="J106" i="6" s="1"/>
  <c r="V25" i="6" l="1"/>
  <c r="J89" i="6"/>
  <c r="F105" i="6"/>
  <c r="X25" i="6" l="1"/>
  <c r="H12" i="6"/>
  <c r="H10" i="6"/>
  <c r="F2" i="6"/>
  <c r="G7" i="6" s="1"/>
  <c r="F42" i="6"/>
  <c r="F107" i="6" s="1"/>
  <c r="F68" i="6"/>
  <c r="D65" i="6" l="1"/>
  <c r="D49" i="6"/>
  <c r="D67" i="6"/>
  <c r="D72" i="6"/>
  <c r="AB72" i="6" s="1"/>
  <c r="D66" i="6"/>
  <c r="D54" i="6"/>
  <c r="F10" i="6"/>
  <c r="F12" i="6"/>
  <c r="F26" i="6"/>
  <c r="D51" i="6" l="1"/>
  <c r="D26" i="6" l="1"/>
  <c r="D25" i="6" s="1"/>
  <c r="D12" i="6"/>
  <c r="D10" i="6"/>
  <c r="B42" i="6"/>
  <c r="B109" i="6"/>
  <c r="B96" i="6"/>
  <c r="D96" i="6" s="1"/>
  <c r="F96" i="6" s="1"/>
  <c r="H96" i="6" s="1"/>
  <c r="J96" i="6" s="1"/>
  <c r="L96" i="6" s="1"/>
  <c r="N96" i="6" s="1"/>
  <c r="N93" i="6" l="1"/>
  <c r="P96" i="6"/>
  <c r="R96" i="6" s="1"/>
  <c r="T96" i="6" s="1"/>
  <c r="V96" i="6" s="1"/>
  <c r="J93" i="6"/>
  <c r="B26" i="6"/>
  <c r="B25" i="6" s="1"/>
  <c r="B10" i="6"/>
  <c r="B65" i="6"/>
  <c r="B67" i="6"/>
  <c r="B41" i="6"/>
  <c r="B20" i="6" l="1"/>
  <c r="R111" i="7"/>
  <c r="X102" i="7"/>
  <c r="P102" i="7"/>
  <c r="L102" i="7"/>
  <c r="F102" i="7"/>
  <c r="B102" i="7"/>
  <c r="Z102" i="7" s="1"/>
  <c r="Z101" i="7"/>
  <c r="X101" i="7"/>
  <c r="V101" i="7"/>
  <c r="T101" i="7"/>
  <c r="P101" i="7"/>
  <c r="Z100" i="7"/>
  <c r="X99" i="7"/>
  <c r="V99" i="7"/>
  <c r="T99" i="7"/>
  <c r="R99" i="7"/>
  <c r="P99" i="7"/>
  <c r="N99" i="7"/>
  <c r="L99" i="7"/>
  <c r="J99" i="7"/>
  <c r="H99" i="7"/>
  <c r="X97" i="7"/>
  <c r="V97" i="7"/>
  <c r="T97" i="7"/>
  <c r="J97" i="7"/>
  <c r="H97" i="7"/>
  <c r="F97" i="7"/>
  <c r="B96" i="7"/>
  <c r="B88" i="7"/>
  <c r="D88" i="7" s="1"/>
  <c r="X85" i="7"/>
  <c r="B85" i="7"/>
  <c r="AB77" i="7"/>
  <c r="AB71" i="7"/>
  <c r="AB70" i="7"/>
  <c r="AB69" i="7"/>
  <c r="AB68" i="7"/>
  <c r="AB67" i="7"/>
  <c r="AB66" i="7"/>
  <c r="AB65" i="7"/>
  <c r="AB64" i="7"/>
  <c r="AB63" i="7"/>
  <c r="AB62" i="7"/>
  <c r="AB61" i="7"/>
  <c r="X61" i="7"/>
  <c r="V61" i="7"/>
  <c r="T61" i="7"/>
  <c r="R61" i="7"/>
  <c r="P61" i="7"/>
  <c r="N61" i="7"/>
  <c r="L61" i="7"/>
  <c r="J61" i="7"/>
  <c r="H61" i="7"/>
  <c r="F61" i="7"/>
  <c r="D61" i="7"/>
  <c r="B61" i="7"/>
  <c r="AB60" i="7"/>
  <c r="AB59" i="7"/>
  <c r="AB58" i="7"/>
  <c r="AB57" i="7"/>
  <c r="AB56" i="7"/>
  <c r="AB55" i="7"/>
  <c r="AB54" i="7"/>
  <c r="AB53" i="7"/>
  <c r="AB52" i="7"/>
  <c r="AB51" i="7"/>
  <c r="AB50" i="7"/>
  <c r="Q50" i="7"/>
  <c r="AB49" i="7"/>
  <c r="AB48" i="7"/>
  <c r="AB47" i="7"/>
  <c r="AB46" i="7"/>
  <c r="K46" i="7"/>
  <c r="AB45" i="7"/>
  <c r="M45" i="7"/>
  <c r="AB44" i="7"/>
  <c r="AB43" i="7"/>
  <c r="Y43" i="7"/>
  <c r="AB42" i="7"/>
  <c r="E42" i="7"/>
  <c r="AB41" i="7"/>
  <c r="AB40" i="7"/>
  <c r="AB39" i="7"/>
  <c r="AB38" i="7"/>
  <c r="AB37" i="7"/>
  <c r="AB36" i="7"/>
  <c r="W36" i="7"/>
  <c r="X35" i="7"/>
  <c r="V35" i="7"/>
  <c r="T35" i="7"/>
  <c r="R35" i="7"/>
  <c r="P35" i="7"/>
  <c r="N35" i="7"/>
  <c r="L35" i="7"/>
  <c r="M35" i="7" s="1"/>
  <c r="J35" i="7"/>
  <c r="H35" i="7"/>
  <c r="F35" i="7"/>
  <c r="F99" i="7" s="1"/>
  <c r="D35" i="7"/>
  <c r="D99" i="7" s="1"/>
  <c r="B35" i="7"/>
  <c r="AB34" i="7"/>
  <c r="M34" i="7"/>
  <c r="AB33" i="7"/>
  <c r="W33" i="7"/>
  <c r="E33" i="7"/>
  <c r="AB32" i="7"/>
  <c r="AB31" i="7"/>
  <c r="M31" i="7"/>
  <c r="AB30" i="7"/>
  <c r="M30" i="7"/>
  <c r="AB29" i="7"/>
  <c r="W29" i="7"/>
  <c r="E29" i="7"/>
  <c r="AB28" i="7"/>
  <c r="AB27" i="7"/>
  <c r="M27" i="7"/>
  <c r="AB26" i="7"/>
  <c r="M26" i="7"/>
  <c r="AB25" i="7"/>
  <c r="W25" i="7"/>
  <c r="E25" i="7"/>
  <c r="AB24" i="7"/>
  <c r="E24" i="7"/>
  <c r="AB23" i="7"/>
  <c r="Y23" i="7"/>
  <c r="U22" i="7"/>
  <c r="B22" i="7"/>
  <c r="D22" i="7" s="1"/>
  <c r="M21" i="7"/>
  <c r="B21" i="7"/>
  <c r="X20" i="7"/>
  <c r="V20" i="7"/>
  <c r="T20" i="7"/>
  <c r="R20" i="7"/>
  <c r="S20" i="7" s="1"/>
  <c r="P20" i="7"/>
  <c r="N20" i="7"/>
  <c r="L20" i="7"/>
  <c r="J20" i="7"/>
  <c r="K20" i="7" s="1"/>
  <c r="D20" i="7"/>
  <c r="M19" i="7"/>
  <c r="G19" i="7"/>
  <c r="B19" i="7"/>
  <c r="AB19" i="7" s="1"/>
  <c r="AB18" i="7"/>
  <c r="M18" i="7"/>
  <c r="AB17" i="7"/>
  <c r="S17" i="7"/>
  <c r="M17" i="7"/>
  <c r="C17" i="7"/>
  <c r="AB16" i="7"/>
  <c r="S16" i="7"/>
  <c r="M16" i="7"/>
  <c r="X15" i="7"/>
  <c r="R15" i="7"/>
  <c r="P15" i="7"/>
  <c r="N15" i="7"/>
  <c r="J15" i="7"/>
  <c r="AB13" i="7"/>
  <c r="S13" i="7"/>
  <c r="M13" i="7"/>
  <c r="G13" i="7"/>
  <c r="C13" i="7"/>
  <c r="AB12" i="7"/>
  <c r="W12" i="7"/>
  <c r="S12" i="7"/>
  <c r="M12" i="7"/>
  <c r="K12" i="7"/>
  <c r="AC11" i="7"/>
  <c r="AB11" i="7"/>
  <c r="S11" i="7"/>
  <c r="M11" i="7"/>
  <c r="AB10" i="7"/>
  <c r="S10" i="7"/>
  <c r="M10" i="7"/>
  <c r="G10" i="7"/>
  <c r="AB9" i="7"/>
  <c r="S9" i="7"/>
  <c r="M9" i="7"/>
  <c r="K9" i="7"/>
  <c r="AB8" i="7"/>
  <c r="X8" i="7"/>
  <c r="Y8" i="7" s="1"/>
  <c r="W8" i="7"/>
  <c r="V8" i="7"/>
  <c r="T8" i="7"/>
  <c r="R8" i="7"/>
  <c r="S8" i="7" s="1"/>
  <c r="P8" i="7"/>
  <c r="N8" i="7"/>
  <c r="O8" i="7" s="1"/>
  <c r="M8" i="7"/>
  <c r="L8" i="7"/>
  <c r="K8" i="7"/>
  <c r="J8" i="7"/>
  <c r="H8" i="7"/>
  <c r="F8" i="7"/>
  <c r="D8" i="7"/>
  <c r="B8" i="7"/>
  <c r="X7" i="7"/>
  <c r="V7" i="7"/>
  <c r="W7" i="7" s="1"/>
  <c r="T7" i="7"/>
  <c r="U7" i="7" s="1"/>
  <c r="R7" i="7"/>
  <c r="R6" i="7" s="1"/>
  <c r="P7" i="7"/>
  <c r="P6" i="7" s="1"/>
  <c r="Q6" i="7" s="1"/>
  <c r="N7" i="7"/>
  <c r="L7" i="7"/>
  <c r="M7" i="7" s="1"/>
  <c r="J7" i="7"/>
  <c r="J6" i="7" s="1"/>
  <c r="H7" i="7"/>
  <c r="G7" i="7"/>
  <c r="F7" i="7"/>
  <c r="F6" i="7" s="1"/>
  <c r="D7" i="7"/>
  <c r="E7" i="7" s="1"/>
  <c r="C7" i="7"/>
  <c r="V6" i="7"/>
  <c r="V14" i="7" s="1"/>
  <c r="W14" i="7" s="1"/>
  <c r="N6" i="7"/>
  <c r="O6" i="7" s="1"/>
  <c r="L6" i="7"/>
  <c r="L14" i="7" s="1"/>
  <c r="M14" i="7" s="1"/>
  <c r="D6" i="7"/>
  <c r="E6" i="7" s="1"/>
  <c r="B6" i="7"/>
  <c r="AB5" i="7"/>
  <c r="W5" i="7"/>
  <c r="S5" i="7"/>
  <c r="M5" i="7"/>
  <c r="AB4" i="7"/>
  <c r="W4" i="7"/>
  <c r="S4" i="7"/>
  <c r="M4" i="7"/>
  <c r="K4" i="7"/>
  <c r="G4" i="7"/>
  <c r="AB3" i="7"/>
  <c r="AC12" i="7" s="1"/>
  <c r="Y3" i="7"/>
  <c r="S3" i="7"/>
  <c r="M3" i="7"/>
  <c r="G3" i="7"/>
  <c r="AE2" i="7"/>
  <c r="Z18" i="7" s="1"/>
  <c r="X2" i="7"/>
  <c r="Y54" i="7" s="1"/>
  <c r="V2" i="7"/>
  <c r="W40" i="7" s="1"/>
  <c r="T2" i="7"/>
  <c r="R2" i="7"/>
  <c r="S56" i="7" s="1"/>
  <c r="P2" i="7"/>
  <c r="Q36" i="7" s="1"/>
  <c r="N2" i="7"/>
  <c r="L2" i="7"/>
  <c r="J2" i="7"/>
  <c r="K49" i="7" s="1"/>
  <c r="H2" i="7"/>
  <c r="I34" i="7" s="1"/>
  <c r="F2" i="7"/>
  <c r="G18" i="7" s="1"/>
  <c r="D2" i="7"/>
  <c r="E56" i="7" s="1"/>
  <c r="B2" i="7"/>
  <c r="C68" i="7" s="1"/>
  <c r="AC26" i="7" l="1"/>
  <c r="AC30" i="7"/>
  <c r="AC42" i="7"/>
  <c r="C47" i="7"/>
  <c r="Z10" i="7"/>
  <c r="C12" i="7"/>
  <c r="AC23" i="7"/>
  <c r="AC34" i="7"/>
  <c r="AC37" i="7"/>
  <c r="Z4" i="7"/>
  <c r="AC5" i="7"/>
  <c r="AC27" i="7"/>
  <c r="AC31" i="7"/>
  <c r="AC48" i="7"/>
  <c r="AC55" i="7"/>
  <c r="AB2" i="7"/>
  <c r="AB91" i="7" s="1"/>
  <c r="AC28" i="7"/>
  <c r="AC9" i="7"/>
  <c r="C11" i="7"/>
  <c r="C16" i="7"/>
  <c r="AC39" i="7"/>
  <c r="AC57" i="7"/>
  <c r="AC3" i="7"/>
  <c r="AC10" i="7"/>
  <c r="C4" i="7"/>
  <c r="C3" i="7"/>
  <c r="C5" i="7"/>
  <c r="Z8" i="7"/>
  <c r="C10" i="7"/>
  <c r="AC13" i="7"/>
  <c r="AC4" i="7"/>
  <c r="C8" i="7"/>
  <c r="AC8" i="7"/>
  <c r="B14" i="7"/>
  <c r="C14" i="7" s="1"/>
  <c r="AC18" i="7"/>
  <c r="AC41" i="7"/>
  <c r="C9" i="7"/>
  <c r="AC19" i="7"/>
  <c r="AC36" i="7"/>
  <c r="C64" i="7"/>
  <c r="S6" i="7"/>
  <c r="R14" i="7"/>
  <c r="S14" i="7" s="1"/>
  <c r="G6" i="7"/>
  <c r="F14" i="7"/>
  <c r="G14" i="7" s="1"/>
  <c r="K6" i="7"/>
  <c r="J14" i="7"/>
  <c r="K14" i="7" s="1"/>
  <c r="J80" i="7" s="1"/>
  <c r="AB7" i="7"/>
  <c r="Q15" i="7"/>
  <c r="F22" i="7"/>
  <c r="E22" i="7"/>
  <c r="Z58" i="7"/>
  <c r="Z57" i="7"/>
  <c r="Z56" i="7"/>
  <c r="Z55" i="7"/>
  <c r="Z54" i="7"/>
  <c r="Z53" i="7"/>
  <c r="Z52" i="7"/>
  <c r="Z51" i="7"/>
  <c r="Z50" i="7"/>
  <c r="Z77" i="7"/>
  <c r="Z64" i="7"/>
  <c r="Z71" i="7"/>
  <c r="Z49" i="7"/>
  <c r="Z45" i="7"/>
  <c r="Z67" i="7"/>
  <c r="Z63" i="7"/>
  <c r="Z68" i="7"/>
  <c r="Z60" i="7"/>
  <c r="Z46" i="7"/>
  <c r="Z69" i="7"/>
  <c r="Z66" i="7"/>
  <c r="Z62" i="7"/>
  <c r="Z76" i="7"/>
  <c r="Z70" i="7"/>
  <c r="Z65" i="7"/>
  <c r="Z59" i="7"/>
  <c r="Z48" i="7"/>
  <c r="Z47" i="7"/>
  <c r="Z41" i="7"/>
  <c r="Z31" i="7"/>
  <c r="Z27" i="7"/>
  <c r="Z44" i="7"/>
  <c r="Z40" i="7"/>
  <c r="Z38" i="7"/>
  <c r="Z36" i="7"/>
  <c r="Z32" i="7"/>
  <c r="Z28" i="7"/>
  <c r="Z43" i="7"/>
  <c r="Z24" i="7"/>
  <c r="Z23" i="7"/>
  <c r="Z42" i="7"/>
  <c r="Z39" i="7"/>
  <c r="Z37" i="7"/>
  <c r="W3" i="7"/>
  <c r="I4" i="7"/>
  <c r="Q5" i="7"/>
  <c r="C6" i="7"/>
  <c r="M6" i="7"/>
  <c r="W6" i="7"/>
  <c r="H6" i="7"/>
  <c r="I6" i="7" s="1"/>
  <c r="S7" i="7"/>
  <c r="G9" i="7"/>
  <c r="W11" i="7"/>
  <c r="K13" i="7"/>
  <c r="D14" i="7"/>
  <c r="E14" i="7" s="1"/>
  <c r="R80" i="7"/>
  <c r="R74" i="7"/>
  <c r="S74" i="7" s="1"/>
  <c r="S15" i="7"/>
  <c r="W16" i="7"/>
  <c r="W17" i="7"/>
  <c r="I25" i="7"/>
  <c r="I29" i="7"/>
  <c r="I33" i="7"/>
  <c r="K39" i="7"/>
  <c r="V15" i="7"/>
  <c r="W20" i="7"/>
  <c r="P97" i="7"/>
  <c r="P91" i="7"/>
  <c r="Q71" i="7"/>
  <c r="Q70" i="7"/>
  <c r="Q69" i="7"/>
  <c r="Q68" i="7"/>
  <c r="Q67" i="7"/>
  <c r="Q66" i="7"/>
  <c r="Q65" i="7"/>
  <c r="Q64" i="7"/>
  <c r="Q63" i="7"/>
  <c r="Q62" i="7"/>
  <c r="Q59" i="7"/>
  <c r="P72" i="7"/>
  <c r="Q58" i="7"/>
  <c r="Q56" i="7"/>
  <c r="Q54" i="7"/>
  <c r="Q52" i="7"/>
  <c r="Q47" i="7"/>
  <c r="Q48" i="7"/>
  <c r="Q61" i="7"/>
  <c r="Q55" i="7"/>
  <c r="Q42" i="7"/>
  <c r="Q33" i="7"/>
  <c r="Q29" i="7"/>
  <c r="Q25" i="7"/>
  <c r="Q24" i="7"/>
  <c r="Q23" i="7"/>
  <c r="Q22" i="7"/>
  <c r="Q53" i="7"/>
  <c r="Q20" i="7"/>
  <c r="Q19" i="7"/>
  <c r="Q18" i="7"/>
  <c r="Q17" i="7"/>
  <c r="Q16" i="7"/>
  <c r="Q13" i="7"/>
  <c r="Q12" i="7"/>
  <c r="Q11" i="7"/>
  <c r="Q10" i="7"/>
  <c r="Q9" i="7"/>
  <c r="Q7" i="7"/>
  <c r="Q60" i="7"/>
  <c r="Q49" i="7"/>
  <c r="Q46" i="7"/>
  <c r="Q41" i="7"/>
  <c r="Q39" i="7"/>
  <c r="Q37" i="7"/>
  <c r="Q34" i="7"/>
  <c r="Q30" i="7"/>
  <c r="Q26" i="7"/>
  <c r="P14" i="7"/>
  <c r="Q14" i="7" s="1"/>
  <c r="P74" i="7" s="1"/>
  <c r="Q74" i="7" s="1"/>
  <c r="Q45" i="7"/>
  <c r="Q57" i="7"/>
  <c r="Q43" i="7"/>
  <c r="Q40" i="7"/>
  <c r="Q38" i="7"/>
  <c r="Q31" i="7"/>
  <c r="Q35" i="7"/>
  <c r="Q51" i="7"/>
  <c r="Z6" i="7"/>
  <c r="AA6" i="7" s="1"/>
  <c r="L15" i="7"/>
  <c r="M20" i="7"/>
  <c r="Z21" i="7"/>
  <c r="B20" i="7"/>
  <c r="C21" i="7"/>
  <c r="AB21" i="7"/>
  <c r="Z29" i="7"/>
  <c r="Z33" i="7"/>
  <c r="AA33" i="7" s="1"/>
  <c r="D97" i="7"/>
  <c r="D91" i="7"/>
  <c r="E71" i="7"/>
  <c r="E70" i="7"/>
  <c r="E69" i="7"/>
  <c r="E68" i="7"/>
  <c r="E67" i="7"/>
  <c r="E66" i="7"/>
  <c r="E65" i="7"/>
  <c r="E64" i="7"/>
  <c r="E63" i="7"/>
  <c r="E62" i="7"/>
  <c r="E57" i="7"/>
  <c r="E55" i="7"/>
  <c r="E53" i="7"/>
  <c r="E49" i="7"/>
  <c r="E60" i="7"/>
  <c r="E47" i="7"/>
  <c r="E51" i="7"/>
  <c r="E41" i="7"/>
  <c r="E39" i="7"/>
  <c r="E37" i="7"/>
  <c r="E19" i="7"/>
  <c r="E18" i="7"/>
  <c r="E17" i="7"/>
  <c r="E16" i="7"/>
  <c r="E13" i="7"/>
  <c r="E12" i="7"/>
  <c r="E11" i="7"/>
  <c r="E10" i="7"/>
  <c r="E9" i="7"/>
  <c r="E52" i="7"/>
  <c r="E44" i="7"/>
  <c r="E34" i="7"/>
  <c r="E30" i="7"/>
  <c r="E26" i="7"/>
  <c r="E35" i="7"/>
  <c r="E8" i="7"/>
  <c r="E58" i="7"/>
  <c r="E43" i="7"/>
  <c r="E31" i="7"/>
  <c r="E27" i="7"/>
  <c r="E21" i="7"/>
  <c r="E5" i="7"/>
  <c r="E4" i="7"/>
  <c r="E3" i="7"/>
  <c r="E40" i="7"/>
  <c r="E38" i="7"/>
  <c r="E36" i="7"/>
  <c r="E50" i="7"/>
  <c r="E46" i="7"/>
  <c r="E54" i="7"/>
  <c r="E45" i="7"/>
  <c r="T91" i="7"/>
  <c r="U71" i="7"/>
  <c r="U70" i="7"/>
  <c r="U69" i="7"/>
  <c r="U68" i="7"/>
  <c r="U67" i="7"/>
  <c r="U66" i="7"/>
  <c r="U65" i="7"/>
  <c r="U64" i="7"/>
  <c r="U63" i="7"/>
  <c r="U62" i="7"/>
  <c r="U48" i="7"/>
  <c r="U57" i="7"/>
  <c r="U55" i="7"/>
  <c r="U53" i="7"/>
  <c r="U51" i="7"/>
  <c r="U49" i="7"/>
  <c r="U45" i="7"/>
  <c r="U60" i="7"/>
  <c r="U58" i="7"/>
  <c r="U56" i="7"/>
  <c r="U54" i="7"/>
  <c r="U52" i="7"/>
  <c r="U50" i="7"/>
  <c r="U42" i="7"/>
  <c r="U33" i="7"/>
  <c r="U29" i="7"/>
  <c r="U25" i="7"/>
  <c r="U19" i="7"/>
  <c r="U18" i="7"/>
  <c r="U17" i="7"/>
  <c r="U16" i="7"/>
  <c r="U13" i="7"/>
  <c r="U12" i="7"/>
  <c r="U11" i="7"/>
  <c r="U10" i="7"/>
  <c r="U9" i="7"/>
  <c r="U47" i="7"/>
  <c r="U46" i="7"/>
  <c r="U41" i="7"/>
  <c r="U39" i="7"/>
  <c r="U37" i="7"/>
  <c r="U34" i="7"/>
  <c r="U30" i="7"/>
  <c r="U26" i="7"/>
  <c r="U8" i="7"/>
  <c r="U21" i="7"/>
  <c r="U5" i="7"/>
  <c r="U4" i="7"/>
  <c r="U3" i="7"/>
  <c r="U44" i="7"/>
  <c r="U31" i="7"/>
  <c r="U27" i="7"/>
  <c r="U43" i="7"/>
  <c r="U40" i="7"/>
  <c r="U38" i="7"/>
  <c r="U36" i="7"/>
  <c r="U32" i="7"/>
  <c r="U28" i="7"/>
  <c r="I3" i="7"/>
  <c r="Q4" i="7"/>
  <c r="Y5" i="7"/>
  <c r="K10" i="7"/>
  <c r="Z12" i="7"/>
  <c r="W13" i="7"/>
  <c r="K19" i="7"/>
  <c r="O20" i="7"/>
  <c r="Y22" i="7"/>
  <c r="I24" i="7"/>
  <c r="E28" i="7"/>
  <c r="E32" i="7"/>
  <c r="U35" i="7"/>
  <c r="K37" i="7"/>
  <c r="Q44" i="7"/>
  <c r="E48" i="7"/>
  <c r="D15" i="7"/>
  <c r="E20" i="7"/>
  <c r="N97" i="7"/>
  <c r="N91" i="7"/>
  <c r="O71" i="7"/>
  <c r="O70" i="7"/>
  <c r="O69" i="7"/>
  <c r="O68" i="7"/>
  <c r="O60" i="7"/>
  <c r="O59" i="7"/>
  <c r="O65" i="7"/>
  <c r="O58" i="7"/>
  <c r="O56" i="7"/>
  <c r="O54" i="7"/>
  <c r="O52" i="7"/>
  <c r="O50" i="7"/>
  <c r="O47" i="7"/>
  <c r="O64" i="7"/>
  <c r="N72" i="7"/>
  <c r="O67" i="7"/>
  <c r="O63" i="7"/>
  <c r="O49" i="7"/>
  <c r="O45" i="7"/>
  <c r="O66" i="7"/>
  <c r="O43" i="7"/>
  <c r="O40" i="7"/>
  <c r="O38" i="7"/>
  <c r="O36" i="7"/>
  <c r="O32" i="7"/>
  <c r="O28" i="7"/>
  <c r="O62" i="7"/>
  <c r="O55" i="7"/>
  <c r="O35" i="7"/>
  <c r="O48" i="7"/>
  <c r="O42" i="7"/>
  <c r="O33" i="7"/>
  <c r="O29" i="7"/>
  <c r="O25" i="7"/>
  <c r="O24" i="7"/>
  <c r="O23" i="7"/>
  <c r="O22" i="7"/>
  <c r="O53" i="7"/>
  <c r="O19" i="7"/>
  <c r="O18" i="7"/>
  <c r="O17" i="7"/>
  <c r="O16" i="7"/>
  <c r="O13" i="7"/>
  <c r="O12" i="7"/>
  <c r="O11" i="7"/>
  <c r="O10" i="7"/>
  <c r="O9" i="7"/>
  <c r="O46" i="7"/>
  <c r="O41" i="7"/>
  <c r="O39" i="7"/>
  <c r="O37" i="7"/>
  <c r="O34" i="7"/>
  <c r="O30" i="7"/>
  <c r="O26" i="7"/>
  <c r="O51" i="7"/>
  <c r="O44" i="7"/>
  <c r="O31" i="7"/>
  <c r="O27" i="7"/>
  <c r="O21" i="7"/>
  <c r="O5" i="7"/>
  <c r="O4" i="7"/>
  <c r="O3" i="7"/>
  <c r="O57" i="7"/>
  <c r="Z16" i="7"/>
  <c r="Z25" i="7"/>
  <c r="F91" i="7"/>
  <c r="G71" i="7"/>
  <c r="G70" i="7"/>
  <c r="G69" i="7"/>
  <c r="G68" i="7"/>
  <c r="G67" i="7"/>
  <c r="G66" i="7"/>
  <c r="G65" i="7"/>
  <c r="G64" i="7"/>
  <c r="G63" i="7"/>
  <c r="G62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60" i="7"/>
  <c r="G35" i="7"/>
  <c r="G34" i="7"/>
  <c r="G30" i="7"/>
  <c r="G26" i="7"/>
  <c r="G31" i="7"/>
  <c r="G27" i="7"/>
  <c r="G21" i="7"/>
  <c r="G40" i="7"/>
  <c r="G38" i="7"/>
  <c r="G36" i="7"/>
  <c r="G32" i="7"/>
  <c r="G28" i="7"/>
  <c r="G33" i="7"/>
  <c r="G29" i="7"/>
  <c r="G25" i="7"/>
  <c r="G24" i="7"/>
  <c r="G23" i="7"/>
  <c r="G41" i="7"/>
  <c r="G39" i="7"/>
  <c r="G37" i="7"/>
  <c r="V91" i="7"/>
  <c r="W71" i="7"/>
  <c r="W70" i="7"/>
  <c r="W69" i="7"/>
  <c r="W68" i="7"/>
  <c r="W67" i="7"/>
  <c r="W66" i="7"/>
  <c r="W65" i="7"/>
  <c r="W64" i="7"/>
  <c r="W63" i="7"/>
  <c r="W62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V72" i="7"/>
  <c r="W39" i="7"/>
  <c r="W37" i="7"/>
  <c r="W34" i="7"/>
  <c r="W30" i="7"/>
  <c r="W26" i="7"/>
  <c r="W60" i="7"/>
  <c r="W35" i="7"/>
  <c r="W21" i="7"/>
  <c r="W31" i="7"/>
  <c r="W27" i="7"/>
  <c r="W24" i="7"/>
  <c r="W23" i="7"/>
  <c r="W22" i="7"/>
  <c r="K3" i="7"/>
  <c r="G5" i="7"/>
  <c r="Z5" i="7"/>
  <c r="AA5" i="7" s="1"/>
  <c r="X6" i="7"/>
  <c r="Y6" i="7" s="1"/>
  <c r="G8" i="7"/>
  <c r="Q8" i="7"/>
  <c r="W9" i="7"/>
  <c r="G11" i="7"/>
  <c r="Z13" i="7"/>
  <c r="N14" i="7"/>
  <c r="O14" i="7" s="1"/>
  <c r="N80" i="7" s="1"/>
  <c r="G16" i="7"/>
  <c r="G17" i="7"/>
  <c r="K18" i="7"/>
  <c r="Q21" i="7"/>
  <c r="E23" i="7"/>
  <c r="U24" i="7"/>
  <c r="I26" i="7"/>
  <c r="Q28" i="7"/>
  <c r="I30" i="7"/>
  <c r="Q32" i="7"/>
  <c r="I35" i="7"/>
  <c r="Z11" i="7"/>
  <c r="AA11" i="7" s="1"/>
  <c r="Z17" i="7"/>
  <c r="Q27" i="7"/>
  <c r="Z3" i="7"/>
  <c r="K7" i="7"/>
  <c r="I71" i="7"/>
  <c r="I70" i="7"/>
  <c r="I69" i="7"/>
  <c r="I68" i="7"/>
  <c r="I60" i="7"/>
  <c r="I67" i="7"/>
  <c r="I63" i="7"/>
  <c r="I49" i="7"/>
  <c r="I45" i="7"/>
  <c r="I66" i="7"/>
  <c r="I62" i="7"/>
  <c r="I58" i="7"/>
  <c r="I56" i="7"/>
  <c r="I54" i="7"/>
  <c r="I52" i="7"/>
  <c r="I50" i="7"/>
  <c r="I46" i="7"/>
  <c r="I65" i="7"/>
  <c r="H91" i="7"/>
  <c r="I64" i="7"/>
  <c r="I57" i="7"/>
  <c r="I44" i="7"/>
  <c r="I31" i="7"/>
  <c r="I27" i="7"/>
  <c r="I21" i="7"/>
  <c r="I55" i="7"/>
  <c r="I43" i="7"/>
  <c r="I40" i="7"/>
  <c r="I38" i="7"/>
  <c r="I36" i="7"/>
  <c r="I7" i="7"/>
  <c r="I32" i="7"/>
  <c r="I28" i="7"/>
  <c r="H14" i="7"/>
  <c r="I14" i="7" s="1"/>
  <c r="I53" i="7"/>
  <c r="I48" i="7"/>
  <c r="I47" i="7"/>
  <c r="I42" i="7"/>
  <c r="I41" i="7"/>
  <c r="I39" i="7"/>
  <c r="I37" i="7"/>
  <c r="I19" i="7"/>
  <c r="I18" i="7"/>
  <c r="I17" i="7"/>
  <c r="I16" i="7"/>
  <c r="I13" i="7"/>
  <c r="I12" i="7"/>
  <c r="I11" i="7"/>
  <c r="I10" i="7"/>
  <c r="I9" i="7"/>
  <c r="I51" i="7"/>
  <c r="I5" i="7"/>
  <c r="T6" i="7"/>
  <c r="U6" i="7" s="1"/>
  <c r="I8" i="7"/>
  <c r="Z9" i="7"/>
  <c r="AA9" i="7" s="1"/>
  <c r="K11" i="7"/>
  <c r="K15" i="7"/>
  <c r="K16" i="7"/>
  <c r="K17" i="7"/>
  <c r="W19" i="7"/>
  <c r="I23" i="7"/>
  <c r="Y24" i="7"/>
  <c r="W28" i="7"/>
  <c r="W32" i="7"/>
  <c r="K35" i="7"/>
  <c r="K41" i="7"/>
  <c r="D75" i="7"/>
  <c r="Y15" i="7"/>
  <c r="X91" i="7"/>
  <c r="Y71" i="7"/>
  <c r="Y70" i="7"/>
  <c r="Y69" i="7"/>
  <c r="Y68" i="7"/>
  <c r="Y60" i="7"/>
  <c r="X72" i="7"/>
  <c r="Y64" i="7"/>
  <c r="Y57" i="7"/>
  <c r="Y55" i="7"/>
  <c r="Y53" i="7"/>
  <c r="Y51" i="7"/>
  <c r="Y49" i="7"/>
  <c r="Y67" i="7"/>
  <c r="Y63" i="7"/>
  <c r="Y66" i="7"/>
  <c r="Y62" i="7"/>
  <c r="Y47" i="7"/>
  <c r="Y39" i="7"/>
  <c r="Y37" i="7"/>
  <c r="Y35" i="7"/>
  <c r="Y34" i="7"/>
  <c r="Y30" i="7"/>
  <c r="Y26" i="7"/>
  <c r="Y58" i="7"/>
  <c r="Y48" i="7"/>
  <c r="Y46" i="7"/>
  <c r="Y41" i="7"/>
  <c r="Y21" i="7"/>
  <c r="Y65" i="7"/>
  <c r="Y45" i="7"/>
  <c r="Y31" i="7"/>
  <c r="Y27" i="7"/>
  <c r="Y20" i="7"/>
  <c r="Y7" i="7"/>
  <c r="Y61" i="7"/>
  <c r="Y56" i="7"/>
  <c r="Y50" i="7"/>
  <c r="Y44" i="7"/>
  <c r="X14" i="7"/>
  <c r="Y14" i="7" s="1"/>
  <c r="X74" i="7" s="1"/>
  <c r="Y74" i="7" s="1"/>
  <c r="Y40" i="7"/>
  <c r="Y38" i="7"/>
  <c r="Y36" i="7"/>
  <c r="Y32" i="7"/>
  <c r="Y28" i="7"/>
  <c r="Y33" i="7"/>
  <c r="Y29" i="7"/>
  <c r="Y25" i="7"/>
  <c r="Y19" i="7"/>
  <c r="Y18" i="7"/>
  <c r="Y17" i="7"/>
  <c r="Y16" i="7"/>
  <c r="Y13" i="7"/>
  <c r="Y12" i="7"/>
  <c r="Y11" i="7"/>
  <c r="Y10" i="7"/>
  <c r="Y9" i="7"/>
  <c r="Y52" i="7"/>
  <c r="Y42" i="7"/>
  <c r="O7" i="7"/>
  <c r="Z7" i="7"/>
  <c r="AA7" i="7" s="1"/>
  <c r="K58" i="7"/>
  <c r="K57" i="7"/>
  <c r="K56" i="7"/>
  <c r="K55" i="7"/>
  <c r="K54" i="7"/>
  <c r="K53" i="7"/>
  <c r="K52" i="7"/>
  <c r="K51" i="7"/>
  <c r="K50" i="7"/>
  <c r="J72" i="7"/>
  <c r="K70" i="7"/>
  <c r="K66" i="7"/>
  <c r="K62" i="7"/>
  <c r="K60" i="7"/>
  <c r="K59" i="7"/>
  <c r="K71" i="7"/>
  <c r="K65" i="7"/>
  <c r="J91" i="7"/>
  <c r="K64" i="7"/>
  <c r="K68" i="7"/>
  <c r="K48" i="7"/>
  <c r="K31" i="7"/>
  <c r="K27" i="7"/>
  <c r="K21" i="7"/>
  <c r="K43" i="7"/>
  <c r="K40" i="7"/>
  <c r="K38" i="7"/>
  <c r="K36" i="7"/>
  <c r="K69" i="7"/>
  <c r="K32" i="7"/>
  <c r="K28" i="7"/>
  <c r="K47" i="7"/>
  <c r="K42" i="7"/>
  <c r="K33" i="7"/>
  <c r="K29" i="7"/>
  <c r="K25" i="7"/>
  <c r="K24" i="7"/>
  <c r="K23" i="7"/>
  <c r="K22" i="7"/>
  <c r="K67" i="7"/>
  <c r="K45" i="7"/>
  <c r="K34" i="7"/>
  <c r="K30" i="7"/>
  <c r="K26" i="7"/>
  <c r="K63" i="7"/>
  <c r="K44" i="7"/>
  <c r="Z2" i="7"/>
  <c r="Q3" i="7"/>
  <c r="Y4" i="7"/>
  <c r="K5" i="7"/>
  <c r="W10" i="7"/>
  <c r="G12" i="7"/>
  <c r="N74" i="7"/>
  <c r="O74" i="7" s="1"/>
  <c r="O15" i="7"/>
  <c r="W18" i="7"/>
  <c r="Z19" i="7"/>
  <c r="AA19" i="7" s="1"/>
  <c r="T15" i="7"/>
  <c r="U20" i="7"/>
  <c r="U23" i="7"/>
  <c r="Z26" i="7"/>
  <c r="Z30" i="7"/>
  <c r="Z34" i="7"/>
  <c r="Z35" i="7"/>
  <c r="AA35" i="7" s="1"/>
  <c r="W38" i="7"/>
  <c r="C46" i="7"/>
  <c r="C50" i="7"/>
  <c r="C61" i="7"/>
  <c r="L72" i="7"/>
  <c r="M60" i="7"/>
  <c r="L97" i="7"/>
  <c r="L91" i="7"/>
  <c r="M66" i="7"/>
  <c r="M62" i="7"/>
  <c r="M46" i="7"/>
  <c r="M71" i="7"/>
  <c r="M65" i="7"/>
  <c r="M58" i="7"/>
  <c r="M56" i="7"/>
  <c r="M54" i="7"/>
  <c r="M52" i="7"/>
  <c r="M50" i="7"/>
  <c r="M47" i="7"/>
  <c r="M64" i="7"/>
  <c r="M68" i="7"/>
  <c r="M69" i="7"/>
  <c r="M67" i="7"/>
  <c r="M63" i="7"/>
  <c r="M57" i="7"/>
  <c r="M55" i="7"/>
  <c r="M53" i="7"/>
  <c r="M51" i="7"/>
  <c r="M44" i="7"/>
  <c r="M43" i="7"/>
  <c r="M42" i="7"/>
  <c r="M41" i="7"/>
  <c r="M40" i="7"/>
  <c r="M39" i="7"/>
  <c r="M38" i="7"/>
  <c r="M37" i="7"/>
  <c r="M36" i="7"/>
  <c r="AC58" i="7"/>
  <c r="AC56" i="7"/>
  <c r="AC54" i="7"/>
  <c r="AC52" i="7"/>
  <c r="AC50" i="7"/>
  <c r="AC47" i="7"/>
  <c r="S35" i="7"/>
  <c r="AB35" i="7"/>
  <c r="AC35" i="7" s="1"/>
  <c r="AC46" i="7"/>
  <c r="S54" i="7"/>
  <c r="C56" i="7"/>
  <c r="S59" i="7"/>
  <c r="AC71" i="7"/>
  <c r="S21" i="7"/>
  <c r="B99" i="7"/>
  <c r="Z99" i="7" s="1"/>
  <c r="C35" i="7"/>
  <c r="M49" i="7"/>
  <c r="S50" i="7"/>
  <c r="C58" i="7"/>
  <c r="C60" i="7"/>
  <c r="B97" i="7"/>
  <c r="B91" i="7"/>
  <c r="C71" i="7"/>
  <c r="C69" i="7"/>
  <c r="C70" i="7"/>
  <c r="C67" i="7"/>
  <c r="C63" i="7"/>
  <c r="C57" i="7"/>
  <c r="C55" i="7"/>
  <c r="C53" i="7"/>
  <c r="C51" i="7"/>
  <c r="C48" i="7"/>
  <c r="C66" i="7"/>
  <c r="C62" i="7"/>
  <c r="C49" i="7"/>
  <c r="C45" i="7"/>
  <c r="C44" i="7"/>
  <c r="C43" i="7"/>
  <c r="C42" i="7"/>
  <c r="C41" i="7"/>
  <c r="C40" i="7"/>
  <c r="C39" i="7"/>
  <c r="C38" i="7"/>
  <c r="C37" i="7"/>
  <c r="C36" i="7"/>
  <c r="C65" i="7"/>
  <c r="C34" i="7"/>
  <c r="C33" i="7"/>
  <c r="C32" i="7"/>
  <c r="C31" i="7"/>
  <c r="C30" i="7"/>
  <c r="C29" i="7"/>
  <c r="C28" i="7"/>
  <c r="C27" i="7"/>
  <c r="C26" i="7"/>
  <c r="R97" i="7"/>
  <c r="R91" i="7"/>
  <c r="R72" i="7"/>
  <c r="S71" i="7"/>
  <c r="S70" i="7"/>
  <c r="S65" i="7"/>
  <c r="S64" i="7"/>
  <c r="S48" i="7"/>
  <c r="S57" i="7"/>
  <c r="S55" i="7"/>
  <c r="S53" i="7"/>
  <c r="S51" i="7"/>
  <c r="S44" i="7"/>
  <c r="S43" i="7"/>
  <c r="S42" i="7"/>
  <c r="S41" i="7"/>
  <c r="S40" i="7"/>
  <c r="S39" i="7"/>
  <c r="S38" i="7"/>
  <c r="S37" i="7"/>
  <c r="S36" i="7"/>
  <c r="S68" i="7"/>
  <c r="S67" i="7"/>
  <c r="S63" i="7"/>
  <c r="S77" i="7"/>
  <c r="S69" i="7"/>
  <c r="S66" i="7"/>
  <c r="S62" i="7"/>
  <c r="S60" i="7"/>
  <c r="S46" i="7"/>
  <c r="S34" i="7"/>
  <c r="S33" i="7"/>
  <c r="S32" i="7"/>
  <c r="S31" i="7"/>
  <c r="S30" i="7"/>
  <c r="S29" i="7"/>
  <c r="S28" i="7"/>
  <c r="S27" i="7"/>
  <c r="S26" i="7"/>
  <c r="S25" i="7"/>
  <c r="C22" i="7"/>
  <c r="M22" i="7"/>
  <c r="M23" i="7"/>
  <c r="M24" i="7"/>
  <c r="M25" i="7"/>
  <c r="M29" i="7"/>
  <c r="M33" i="7"/>
  <c r="S45" i="7"/>
  <c r="M48" i="7"/>
  <c r="AC51" i="7"/>
  <c r="AC16" i="7"/>
  <c r="AC17" i="7"/>
  <c r="AC25" i="7"/>
  <c r="AC29" i="7"/>
  <c r="AC33" i="7"/>
  <c r="AC43" i="7"/>
  <c r="S47" i="7"/>
  <c r="S49" i="7"/>
  <c r="C52" i="7"/>
  <c r="S58" i="7"/>
  <c r="C18" i="7"/>
  <c r="S18" i="7"/>
  <c r="C19" i="7"/>
  <c r="S19" i="7"/>
  <c r="AC24" i="7"/>
  <c r="M28" i="7"/>
  <c r="M32" i="7"/>
  <c r="AC38" i="7"/>
  <c r="AC40" i="7"/>
  <c r="AC53" i="7"/>
  <c r="AC60" i="7"/>
  <c r="O61" i="7"/>
  <c r="N75" i="7"/>
  <c r="S22" i="7"/>
  <c r="C23" i="7"/>
  <c r="S23" i="7"/>
  <c r="C24" i="7"/>
  <c r="S24" i="7"/>
  <c r="C25" i="7"/>
  <c r="AC32" i="7"/>
  <c r="AC44" i="7"/>
  <c r="AC45" i="7"/>
  <c r="AC49" i="7"/>
  <c r="S52" i="7"/>
  <c r="C54" i="7"/>
  <c r="Z61" i="7"/>
  <c r="AA61" i="7" s="1"/>
  <c r="M70" i="7"/>
  <c r="E61" i="7"/>
  <c r="P75" i="7"/>
  <c r="AC64" i="7"/>
  <c r="G61" i="7"/>
  <c r="R75" i="7"/>
  <c r="AC61" i="7"/>
  <c r="AC65" i="7"/>
  <c r="AC70" i="7"/>
  <c r="AC77" i="7"/>
  <c r="I61" i="7"/>
  <c r="S61" i="7"/>
  <c r="J75" i="7"/>
  <c r="U61" i="7"/>
  <c r="AC62" i="7"/>
  <c r="AC66" i="7"/>
  <c r="AC69" i="7"/>
  <c r="K61" i="7"/>
  <c r="W61" i="7"/>
  <c r="AC68" i="7"/>
  <c r="L75" i="7"/>
  <c r="M61" i="7"/>
  <c r="X75" i="7"/>
  <c r="AC63" i="7"/>
  <c r="AC67" i="7"/>
  <c r="V75" i="7"/>
  <c r="D85" i="7"/>
  <c r="F88" i="7"/>
  <c r="AA25" i="7" l="1"/>
  <c r="AA12" i="7"/>
  <c r="AA16" i="7"/>
  <c r="AA3" i="7"/>
  <c r="AA13" i="7"/>
  <c r="AA30" i="7"/>
  <c r="AA23" i="7"/>
  <c r="AA44" i="7"/>
  <c r="AA70" i="7"/>
  <c r="AA63" i="7"/>
  <c r="AA51" i="7"/>
  <c r="AA26" i="7"/>
  <c r="P81" i="7"/>
  <c r="P98" i="7"/>
  <c r="Q75" i="7"/>
  <c r="K72" i="7"/>
  <c r="J73" i="7"/>
  <c r="J78" i="7"/>
  <c r="J79" i="7" s="1"/>
  <c r="X73" i="7"/>
  <c r="Y72" i="7"/>
  <c r="X78" i="7"/>
  <c r="X79" i="7" s="1"/>
  <c r="X80" i="7"/>
  <c r="AA29" i="7"/>
  <c r="AA24" i="7"/>
  <c r="AA27" i="7"/>
  <c r="AA67" i="7"/>
  <c r="AA52" i="7"/>
  <c r="H22" i="7"/>
  <c r="G22" i="7"/>
  <c r="F20" i="7"/>
  <c r="U15" i="7"/>
  <c r="AC21" i="7"/>
  <c r="AA43" i="7"/>
  <c r="AA31" i="7"/>
  <c r="AA62" i="7"/>
  <c r="AA45" i="7"/>
  <c r="AA53" i="7"/>
  <c r="M75" i="7"/>
  <c r="L81" i="7"/>
  <c r="L98" i="7"/>
  <c r="N73" i="7"/>
  <c r="N78" i="7"/>
  <c r="N79" i="7" s="1"/>
  <c r="O72" i="7"/>
  <c r="AA28" i="7"/>
  <c r="AA41" i="7"/>
  <c r="AA66" i="7"/>
  <c r="AA49" i="7"/>
  <c r="AA54" i="7"/>
  <c r="P80" i="7"/>
  <c r="T72" i="7"/>
  <c r="T75" i="7"/>
  <c r="E75" i="7"/>
  <c r="D98" i="7"/>
  <c r="D81" i="7"/>
  <c r="H88" i="7"/>
  <c r="F85" i="7"/>
  <c r="J98" i="7"/>
  <c r="K75" i="7"/>
  <c r="J81" i="7"/>
  <c r="S75" i="7"/>
  <c r="R98" i="7"/>
  <c r="R81" i="7"/>
  <c r="Z91" i="7"/>
  <c r="AA17" i="7"/>
  <c r="C20" i="7"/>
  <c r="B15" i="7"/>
  <c r="AA32" i="7"/>
  <c r="AA47" i="7"/>
  <c r="AA69" i="7"/>
  <c r="AA71" i="7"/>
  <c r="AA55" i="7"/>
  <c r="X98" i="7"/>
  <c r="X81" i="7"/>
  <c r="Y75" i="7"/>
  <c r="M72" i="7"/>
  <c r="L73" i="7"/>
  <c r="L78" i="7"/>
  <c r="L79" i="7" s="1"/>
  <c r="D80" i="7"/>
  <c r="D74" i="7"/>
  <c r="E74" i="7" s="1"/>
  <c r="E15" i="7"/>
  <c r="D72" i="7"/>
  <c r="AA21" i="7"/>
  <c r="V80" i="7"/>
  <c r="V74" i="7"/>
  <c r="W74" i="7" s="1"/>
  <c r="W15" i="7"/>
  <c r="AA37" i="7"/>
  <c r="AA36" i="7"/>
  <c r="AA48" i="7"/>
  <c r="AA46" i="7"/>
  <c r="AA64" i="7"/>
  <c r="AA56" i="7"/>
  <c r="AB6" i="7"/>
  <c r="AC7" i="7"/>
  <c r="AA10" i="7"/>
  <c r="N81" i="7"/>
  <c r="N98" i="7"/>
  <c r="O75" i="7"/>
  <c r="T14" i="7"/>
  <c r="U14" i="7" s="1"/>
  <c r="T80" i="7" s="1"/>
  <c r="P73" i="7"/>
  <c r="P78" i="7"/>
  <c r="P79" i="7" s="1"/>
  <c r="Q72" i="7"/>
  <c r="AA39" i="7"/>
  <c r="AA38" i="7"/>
  <c r="AA60" i="7"/>
  <c r="AA77" i="7"/>
  <c r="AA57" i="7"/>
  <c r="AA4" i="7"/>
  <c r="V73" i="7"/>
  <c r="V78" i="7"/>
  <c r="V79" i="7" s="1"/>
  <c r="W72" i="7"/>
  <c r="Z97" i="7"/>
  <c r="V98" i="7"/>
  <c r="V81" i="7"/>
  <c r="W75" i="7"/>
  <c r="J74" i="7"/>
  <c r="K74" i="7" s="1"/>
  <c r="R78" i="7"/>
  <c r="R79" i="7" s="1"/>
  <c r="S72" i="7"/>
  <c r="R73" i="7"/>
  <c r="L80" i="7"/>
  <c r="L74" i="7"/>
  <c r="M74" i="7" s="1"/>
  <c r="M15" i="7"/>
  <c r="Z14" i="7"/>
  <c r="AA14" i="7" s="1"/>
  <c r="AA42" i="7"/>
  <c r="AA40" i="7"/>
  <c r="AA65" i="7"/>
  <c r="AA68" i="7"/>
  <c r="AA50" i="7"/>
  <c r="AA58" i="7"/>
  <c r="AA8" i="7"/>
  <c r="J88" i="7" l="1"/>
  <c r="H85" i="7"/>
  <c r="AB22" i="7"/>
  <c r="H20" i="7"/>
  <c r="I22" i="7"/>
  <c r="Z22" i="7"/>
  <c r="AA22" i="7" s="1"/>
  <c r="AC6" i="7"/>
  <c r="AB14" i="7"/>
  <c r="AC14" i="7" s="1"/>
  <c r="T74" i="7"/>
  <c r="U74" i="7" s="1"/>
  <c r="B80" i="7"/>
  <c r="B74" i="7"/>
  <c r="C15" i="7"/>
  <c r="B72" i="7"/>
  <c r="B75" i="7"/>
  <c r="D78" i="7"/>
  <c r="D79" i="7" s="1"/>
  <c r="E72" i="7"/>
  <c r="D73" i="7"/>
  <c r="U75" i="7"/>
  <c r="T98" i="7"/>
  <c r="T81" i="7"/>
  <c r="G20" i="7"/>
  <c r="F15" i="7"/>
  <c r="T78" i="7"/>
  <c r="T79" i="7" s="1"/>
  <c r="U72" i="7"/>
  <c r="T73" i="7"/>
  <c r="I20" i="7" l="1"/>
  <c r="H15" i="7"/>
  <c r="Z20" i="7"/>
  <c r="AA20" i="7" s="1"/>
  <c r="B78" i="7"/>
  <c r="C72" i="7"/>
  <c r="B73" i="7"/>
  <c r="C74" i="7"/>
  <c r="AC22" i="7"/>
  <c r="AB20" i="7"/>
  <c r="L88" i="7"/>
  <c r="J85" i="7"/>
  <c r="F80" i="7"/>
  <c r="F74" i="7"/>
  <c r="G74" i="7" s="1"/>
  <c r="G15" i="7"/>
  <c r="F75" i="7"/>
  <c r="F72" i="7"/>
  <c r="C75" i="7"/>
  <c r="B98" i="7"/>
  <c r="B81" i="7"/>
  <c r="B103" i="7" l="1"/>
  <c r="D96" i="7" s="1"/>
  <c r="D103" i="7" s="1"/>
  <c r="F96" i="7" s="1"/>
  <c r="B79" i="7"/>
  <c r="AC20" i="7"/>
  <c r="AB15" i="7"/>
  <c r="H74" i="7"/>
  <c r="I74" i="7" s="1"/>
  <c r="H80" i="7"/>
  <c r="Z80" i="7" s="1"/>
  <c r="I15" i="7"/>
  <c r="H75" i="7"/>
  <c r="H72" i="7"/>
  <c r="L85" i="7"/>
  <c r="N88" i="7"/>
  <c r="F98" i="7"/>
  <c r="F81" i="7"/>
  <c r="G75" i="7"/>
  <c r="F73" i="7"/>
  <c r="F78" i="7"/>
  <c r="F79" i="7" s="1"/>
  <c r="G72" i="7"/>
  <c r="Z15" i="7"/>
  <c r="N85" i="7" l="1"/>
  <c r="P88" i="7"/>
  <c r="H73" i="7"/>
  <c r="I72" i="7"/>
  <c r="H78" i="7"/>
  <c r="H79" i="7" s="1"/>
  <c r="AB80" i="7"/>
  <c r="AB74" i="7"/>
  <c r="AC74" i="7" s="1"/>
  <c r="AC15" i="7"/>
  <c r="AB72" i="7"/>
  <c r="H98" i="7"/>
  <c r="Z98" i="7" s="1"/>
  <c r="Z103" i="7" s="1"/>
  <c r="H81" i="7"/>
  <c r="I75" i="7"/>
  <c r="AB75" i="7"/>
  <c r="Z75" i="7"/>
  <c r="F103" i="7"/>
  <c r="H96" i="7" s="1"/>
  <c r="H103" i="7" s="1"/>
  <c r="J96" i="7" s="1"/>
  <c r="J103" i="7" s="1"/>
  <c r="L96" i="7" s="1"/>
  <c r="L103" i="7" s="1"/>
  <c r="N96" i="7" s="1"/>
  <c r="N103" i="7" s="1"/>
  <c r="P96" i="7" s="1"/>
  <c r="P103" i="7" s="1"/>
  <c r="R96" i="7" s="1"/>
  <c r="R103" i="7" s="1"/>
  <c r="T96" i="7" s="1"/>
  <c r="T103" i="7" s="1"/>
  <c r="V96" i="7" s="1"/>
  <c r="V103" i="7" s="1"/>
  <c r="AA15" i="7"/>
  <c r="Z72" i="7"/>
  <c r="Z74" i="7"/>
  <c r="AA74" i="7" s="1"/>
  <c r="AA75" i="7" l="1"/>
  <c r="Z81" i="7"/>
  <c r="AC75" i="7"/>
  <c r="AB81" i="7"/>
  <c r="X96" i="7"/>
  <c r="X103" i="7" s="1"/>
  <c r="Z78" i="7"/>
  <c r="Z79" i="7" s="1"/>
  <c r="P85" i="7"/>
  <c r="R88" i="7"/>
  <c r="AA72" i="7"/>
  <c r="Z73" i="7"/>
  <c r="AA73" i="7" s="1"/>
  <c r="AC72" i="7"/>
  <c r="AB73" i="7"/>
  <c r="AC73" i="7" s="1"/>
  <c r="AB78" i="7"/>
  <c r="AB79" i="7" s="1"/>
  <c r="R85" i="7" l="1"/>
  <c r="T88" i="7"/>
  <c r="T85" i="7" l="1"/>
  <c r="V88" i="7"/>
  <c r="V85" i="7" s="1"/>
  <c r="V105" i="7" s="1"/>
  <c r="R119" i="6" l="1"/>
  <c r="P110" i="6"/>
  <c r="L110" i="6"/>
  <c r="X109" i="6"/>
  <c r="V109" i="6"/>
  <c r="T109" i="6"/>
  <c r="P109" i="6"/>
  <c r="Z108" i="6"/>
  <c r="V105" i="6"/>
  <c r="T105" i="6"/>
  <c r="D93" i="6"/>
  <c r="X93" i="6"/>
  <c r="B93" i="6"/>
  <c r="AB85" i="6"/>
  <c r="X68" i="6"/>
  <c r="V68" i="6"/>
  <c r="T68" i="6"/>
  <c r="R68" i="6"/>
  <c r="P68" i="6"/>
  <c r="L68" i="6"/>
  <c r="H68" i="6"/>
  <c r="D68" i="6"/>
  <c r="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V42" i="6"/>
  <c r="T42" i="6"/>
  <c r="T107" i="6" s="1"/>
  <c r="R42" i="6"/>
  <c r="R107" i="6" s="1"/>
  <c r="P42" i="6"/>
  <c r="P107" i="6" s="1"/>
  <c r="N42" i="6"/>
  <c r="L42" i="6"/>
  <c r="L107" i="6" s="1"/>
  <c r="H42" i="6"/>
  <c r="H107" i="6" s="1"/>
  <c r="D42" i="6"/>
  <c r="D107" i="6" s="1"/>
  <c r="AB41" i="6"/>
  <c r="AB40" i="6"/>
  <c r="AB39" i="6"/>
  <c r="AB38" i="6"/>
  <c r="AB37" i="6"/>
  <c r="AB36" i="6"/>
  <c r="AB35" i="6"/>
  <c r="AB34" i="6"/>
  <c r="AB33" i="6"/>
  <c r="AB32" i="6"/>
  <c r="AB31" i="6"/>
  <c r="AB30" i="6"/>
  <c r="F29" i="6"/>
  <c r="AB29" i="6" s="1"/>
  <c r="AB26" i="6"/>
  <c r="L25" i="6"/>
  <c r="AB24" i="6"/>
  <c r="AB23" i="6"/>
  <c r="AB22" i="6"/>
  <c r="AB21" i="6"/>
  <c r="AB18" i="6"/>
  <c r="AB15" i="6"/>
  <c r="AB13" i="6"/>
  <c r="AB12" i="6"/>
  <c r="AB10" i="6"/>
  <c r="H9" i="6"/>
  <c r="H6" i="6" s="1"/>
  <c r="F9" i="6"/>
  <c r="D9" i="6"/>
  <c r="D6" i="6" s="1"/>
  <c r="B9" i="6"/>
  <c r="AB5" i="6"/>
  <c r="AB2" i="6" s="1"/>
  <c r="X2" i="6"/>
  <c r="V2" i="6"/>
  <c r="T2" i="6"/>
  <c r="R2" i="6"/>
  <c r="P2" i="6"/>
  <c r="Q49" i="6" s="1"/>
  <c r="N2" i="6"/>
  <c r="O3" i="6" s="1"/>
  <c r="L2" i="6"/>
  <c r="J2" i="6"/>
  <c r="J80" i="6" s="1"/>
  <c r="J86" i="6" s="1"/>
  <c r="D2" i="6"/>
  <c r="B2" i="6"/>
  <c r="M18" i="6" l="1"/>
  <c r="M16" i="6"/>
  <c r="M15" i="6"/>
  <c r="M17" i="6"/>
  <c r="M11" i="6"/>
  <c r="M14" i="6"/>
  <c r="M13" i="6"/>
  <c r="M12" i="6"/>
  <c r="M8" i="6"/>
  <c r="M10" i="6"/>
  <c r="M9" i="6"/>
  <c r="S13" i="6"/>
  <c r="S14" i="6"/>
  <c r="S15" i="6"/>
  <c r="S8" i="6"/>
  <c r="S16" i="6"/>
  <c r="S17" i="6"/>
  <c r="S11" i="6"/>
  <c r="S10" i="6"/>
  <c r="S12" i="6"/>
  <c r="S9" i="6"/>
  <c r="U8" i="6"/>
  <c r="U16" i="6"/>
  <c r="U15" i="6"/>
  <c r="U17" i="6"/>
  <c r="U18" i="6"/>
  <c r="U13" i="6"/>
  <c r="U14" i="6"/>
  <c r="U11" i="6"/>
  <c r="U10" i="6"/>
  <c r="U12" i="6"/>
  <c r="U9" i="6"/>
  <c r="AC8" i="6"/>
  <c r="AC16" i="6"/>
  <c r="AC17" i="6"/>
  <c r="AC10" i="6"/>
  <c r="AC18" i="6"/>
  <c r="AC11" i="6"/>
  <c r="AC12" i="6"/>
  <c r="AC13" i="6"/>
  <c r="AC14" i="6"/>
  <c r="AC21" i="6"/>
  <c r="AC15" i="6"/>
  <c r="V107" i="6"/>
  <c r="V20" i="6"/>
  <c r="Y65" i="6"/>
  <c r="Y66" i="6"/>
  <c r="Y14" i="6"/>
  <c r="Y67" i="6"/>
  <c r="Y15" i="6"/>
  <c r="Y16" i="6"/>
  <c r="Y17" i="6"/>
  <c r="Y10" i="6"/>
  <c r="Y11" i="6"/>
  <c r="Y12" i="6"/>
  <c r="Y13" i="6"/>
  <c r="Y8" i="6"/>
  <c r="Y9" i="6"/>
  <c r="W8" i="6"/>
  <c r="W9" i="6"/>
  <c r="W16" i="6"/>
  <c r="W10" i="6"/>
  <c r="W11" i="6"/>
  <c r="W12" i="6"/>
  <c r="W13" i="6"/>
  <c r="W14" i="6"/>
  <c r="W15" i="6"/>
  <c r="S29" i="6"/>
  <c r="AB9" i="6"/>
  <c r="AC9" i="6" s="1"/>
  <c r="Z110" i="6"/>
  <c r="N107" i="6"/>
  <c r="N20" i="6"/>
  <c r="AE2" i="6"/>
  <c r="Z68" i="6" s="1"/>
  <c r="Y24" i="6"/>
  <c r="W64" i="6"/>
  <c r="W17" i="6"/>
  <c r="U37" i="6"/>
  <c r="Z109" i="6"/>
  <c r="T20" i="6"/>
  <c r="U20" i="6" s="1"/>
  <c r="N6" i="6"/>
  <c r="N83" i="6" s="1"/>
  <c r="N106" i="6" s="1"/>
  <c r="X20" i="6"/>
  <c r="Y20" i="6" s="1"/>
  <c r="X107" i="6"/>
  <c r="M7" i="6"/>
  <c r="K20" i="6"/>
  <c r="I26" i="6"/>
  <c r="V6" i="6"/>
  <c r="V19" i="6" s="1"/>
  <c r="W19" i="6" s="1"/>
  <c r="T6" i="6"/>
  <c r="F25" i="6"/>
  <c r="F20" i="6" s="1"/>
  <c r="L20" i="6"/>
  <c r="L83" i="6" s="1"/>
  <c r="L106" i="6" s="1"/>
  <c r="C22" i="6"/>
  <c r="C3" i="4"/>
  <c r="S56" i="6"/>
  <c r="X6" i="6"/>
  <c r="Y6" i="6" s="1"/>
  <c r="M24" i="6"/>
  <c r="Y7" i="6"/>
  <c r="W7" i="6"/>
  <c r="W38" i="6"/>
  <c r="W29" i="6"/>
  <c r="W57" i="6"/>
  <c r="W3" i="6"/>
  <c r="W22" i="6"/>
  <c r="W30" i="6"/>
  <c r="W40" i="6"/>
  <c r="W36" i="6"/>
  <c r="W42" i="6"/>
  <c r="W4" i="6"/>
  <c r="W23" i="6"/>
  <c r="W31" i="6"/>
  <c r="W54" i="6"/>
  <c r="W37" i="6"/>
  <c r="W5" i="6"/>
  <c r="W18" i="6"/>
  <c r="W32" i="6"/>
  <c r="W61" i="6"/>
  <c r="S22" i="6"/>
  <c r="S25" i="6"/>
  <c r="S18" i="6"/>
  <c r="Q34" i="6"/>
  <c r="Q63" i="6"/>
  <c r="Q5" i="6"/>
  <c r="Q31" i="6"/>
  <c r="Q39" i="6"/>
  <c r="Q10" i="6"/>
  <c r="Q13" i="6"/>
  <c r="Q46" i="6"/>
  <c r="Q3" i="6"/>
  <c r="Q40" i="6"/>
  <c r="Q43" i="6"/>
  <c r="Q65" i="6"/>
  <c r="Q32" i="6"/>
  <c r="Q9" i="6"/>
  <c r="Q44" i="6"/>
  <c r="Q52" i="6"/>
  <c r="Q4" i="6"/>
  <c r="Q12" i="6"/>
  <c r="Q30" i="6"/>
  <c r="Q51" i="6"/>
  <c r="Q7" i="6"/>
  <c r="Q25" i="6"/>
  <c r="O10" i="6"/>
  <c r="O13" i="6"/>
  <c r="M39" i="6"/>
  <c r="M21" i="6"/>
  <c r="M5" i="6"/>
  <c r="M3" i="6"/>
  <c r="M30" i="6"/>
  <c r="M4" i="6"/>
  <c r="R20" i="6"/>
  <c r="S20" i="6" s="1"/>
  <c r="AB68" i="6"/>
  <c r="AC68" i="6" s="1"/>
  <c r="L6" i="6"/>
  <c r="M6" i="6" s="1"/>
  <c r="G64" i="6"/>
  <c r="C5" i="4"/>
  <c r="E58" i="6"/>
  <c r="C4" i="4"/>
  <c r="D20" i="6"/>
  <c r="D83" i="6" s="1"/>
  <c r="D106" i="6" s="1"/>
  <c r="AB42" i="6"/>
  <c r="H25" i="6"/>
  <c r="H20" i="6" s="1"/>
  <c r="I20" i="6" s="1"/>
  <c r="I6" i="6"/>
  <c r="G22" i="6"/>
  <c r="G24" i="6"/>
  <c r="G34" i="6"/>
  <c r="G5" i="6"/>
  <c r="G12" i="6"/>
  <c r="G29" i="6"/>
  <c r="G38" i="6"/>
  <c r="G43" i="6"/>
  <c r="G4" i="6"/>
  <c r="G10" i="6"/>
  <c r="G35" i="6"/>
  <c r="G15" i="6"/>
  <c r="G23" i="6"/>
  <c r="G3" i="6"/>
  <c r="G21" i="6"/>
  <c r="G36" i="6"/>
  <c r="G9" i="6"/>
  <c r="G13" i="6"/>
  <c r="G33" i="6"/>
  <c r="G18" i="6"/>
  <c r="G31" i="6"/>
  <c r="E12" i="6"/>
  <c r="E9" i="6"/>
  <c r="C25" i="6"/>
  <c r="C15" i="6"/>
  <c r="C7" i="6"/>
  <c r="C71" i="6"/>
  <c r="K79" i="6"/>
  <c r="K77" i="6"/>
  <c r="K76" i="6"/>
  <c r="K75" i="6"/>
  <c r="K74" i="6"/>
  <c r="K73" i="6"/>
  <c r="K72" i="6"/>
  <c r="K71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J99" i="6"/>
  <c r="K70" i="6"/>
  <c r="K69" i="6"/>
  <c r="K66" i="6"/>
  <c r="K68" i="6"/>
  <c r="K67" i="6"/>
  <c r="K37" i="6"/>
  <c r="K21" i="6"/>
  <c r="K40" i="6"/>
  <c r="K35" i="6"/>
  <c r="K38" i="6"/>
  <c r="K39" i="6"/>
  <c r="K30" i="6"/>
  <c r="K26" i="6"/>
  <c r="K15" i="6"/>
  <c r="E18" i="6"/>
  <c r="O23" i="6"/>
  <c r="W25" i="6"/>
  <c r="O26" i="6"/>
  <c r="I29" i="6"/>
  <c r="K32" i="6"/>
  <c r="K33" i="6"/>
  <c r="U34" i="6"/>
  <c r="Y40" i="6"/>
  <c r="U43" i="6"/>
  <c r="U46" i="6"/>
  <c r="U49" i="6"/>
  <c r="Y75" i="6"/>
  <c r="M67" i="6"/>
  <c r="L105" i="6"/>
  <c r="L99" i="6"/>
  <c r="M76" i="6"/>
  <c r="M60" i="6"/>
  <c r="M56" i="6"/>
  <c r="M77" i="6"/>
  <c r="M52" i="6"/>
  <c r="M51" i="6"/>
  <c r="M50" i="6"/>
  <c r="M49" i="6"/>
  <c r="M48" i="6"/>
  <c r="M47" i="6"/>
  <c r="M46" i="6"/>
  <c r="M45" i="6"/>
  <c r="M44" i="6"/>
  <c r="M43" i="6"/>
  <c r="M79" i="6"/>
  <c r="M70" i="6"/>
  <c r="M61" i="6"/>
  <c r="M57" i="6"/>
  <c r="M53" i="6"/>
  <c r="M71" i="6"/>
  <c r="M69" i="6"/>
  <c r="M64" i="6"/>
  <c r="M72" i="6"/>
  <c r="M62" i="6"/>
  <c r="M58" i="6"/>
  <c r="M54" i="6"/>
  <c r="M74" i="6"/>
  <c r="M59" i="6"/>
  <c r="M55" i="6"/>
  <c r="M40" i="6"/>
  <c r="M32" i="6"/>
  <c r="M73" i="6"/>
  <c r="M38" i="6"/>
  <c r="M41" i="6"/>
  <c r="M33" i="6"/>
  <c r="M29" i="6"/>
  <c r="M23" i="6"/>
  <c r="M68" i="6"/>
  <c r="M65" i="6"/>
  <c r="M63" i="6"/>
  <c r="M34" i="6"/>
  <c r="M31" i="6"/>
  <c r="U3" i="6"/>
  <c r="K4" i="6"/>
  <c r="U5" i="6"/>
  <c r="F6" i="6"/>
  <c r="P6" i="6"/>
  <c r="Q6" i="6" s="1"/>
  <c r="S7" i="6"/>
  <c r="K9" i="6"/>
  <c r="K6" i="6"/>
  <c r="K12" i="6"/>
  <c r="I21" i="6"/>
  <c r="Y22" i="6"/>
  <c r="S23" i="6"/>
  <c r="I24" i="6"/>
  <c r="M25" i="6"/>
  <c r="Y25" i="6"/>
  <c r="U26" i="6"/>
  <c r="K29" i="6"/>
  <c r="S31" i="6"/>
  <c r="U33" i="6"/>
  <c r="U42" i="6"/>
  <c r="AB7" i="6"/>
  <c r="AC7" i="6" s="1"/>
  <c r="I12" i="6"/>
  <c r="E10" i="6"/>
  <c r="O12" i="6"/>
  <c r="E13" i="6"/>
  <c r="K18" i="6"/>
  <c r="E22" i="6"/>
  <c r="K24" i="6"/>
  <c r="Y33" i="6"/>
  <c r="I37" i="6"/>
  <c r="I38" i="6"/>
  <c r="E41" i="6"/>
  <c r="I42" i="6"/>
  <c r="U47" i="6"/>
  <c r="E54" i="6"/>
  <c r="I72" i="6"/>
  <c r="K7" i="6"/>
  <c r="E3" i="6"/>
  <c r="Y31" i="6"/>
  <c r="Y32" i="6"/>
  <c r="E35" i="6"/>
  <c r="M37" i="6"/>
  <c r="I41" i="6"/>
  <c r="E51" i="6"/>
  <c r="E61" i="6"/>
  <c r="Y77" i="6"/>
  <c r="I9" i="6"/>
  <c r="R6" i="6"/>
  <c r="S6" i="6" s="1"/>
  <c r="O67" i="6"/>
  <c r="N105" i="6"/>
  <c r="N99" i="6"/>
  <c r="O79" i="6"/>
  <c r="O77" i="6"/>
  <c r="O76" i="6"/>
  <c r="O75" i="6"/>
  <c r="O74" i="6"/>
  <c r="O73" i="6"/>
  <c r="O72" i="6"/>
  <c r="O71" i="6"/>
  <c r="O70" i="6"/>
  <c r="O69" i="6"/>
  <c r="O66" i="6"/>
  <c r="O52" i="6"/>
  <c r="O51" i="6"/>
  <c r="O50" i="6"/>
  <c r="O49" i="6"/>
  <c r="O48" i="6"/>
  <c r="O47" i="6"/>
  <c r="O46" i="6"/>
  <c r="O45" i="6"/>
  <c r="O44" i="6"/>
  <c r="O61" i="6"/>
  <c r="O57" i="6"/>
  <c r="O53" i="6"/>
  <c r="O64" i="6"/>
  <c r="O62" i="6"/>
  <c r="O58" i="6"/>
  <c r="O54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65" i="6"/>
  <c r="O63" i="6"/>
  <c r="O22" i="6"/>
  <c r="O55" i="6"/>
  <c r="O42" i="6"/>
  <c r="O60" i="6"/>
  <c r="O24" i="6"/>
  <c r="O15" i="6"/>
  <c r="O43" i="6"/>
  <c r="C9" i="6"/>
  <c r="B6" i="6"/>
  <c r="O4" i="6"/>
  <c r="E5" i="6"/>
  <c r="U7" i="6"/>
  <c r="O21" i="6"/>
  <c r="Y23" i="6"/>
  <c r="E25" i="6"/>
  <c r="O25" i="6"/>
  <c r="B105" i="6"/>
  <c r="B99" i="6"/>
  <c r="C74" i="6"/>
  <c r="C62" i="6"/>
  <c r="C58" i="6"/>
  <c r="C54" i="6"/>
  <c r="C75" i="6"/>
  <c r="C41" i="6"/>
  <c r="C40" i="6"/>
  <c r="C39" i="6"/>
  <c r="C38" i="6"/>
  <c r="C37" i="6"/>
  <c r="C36" i="6"/>
  <c r="C35" i="6"/>
  <c r="C34" i="6"/>
  <c r="C33" i="6"/>
  <c r="C32" i="6"/>
  <c r="C76" i="6"/>
  <c r="C67" i="6"/>
  <c r="C65" i="6"/>
  <c r="C63" i="6"/>
  <c r="C59" i="6"/>
  <c r="C55" i="6"/>
  <c r="C77" i="6"/>
  <c r="C79" i="6"/>
  <c r="C60" i="6"/>
  <c r="C56" i="6"/>
  <c r="C72" i="6"/>
  <c r="C69" i="6"/>
  <c r="C64" i="6"/>
  <c r="C61" i="6"/>
  <c r="C57" i="6"/>
  <c r="C53" i="6"/>
  <c r="C52" i="6"/>
  <c r="C51" i="6"/>
  <c r="C50" i="6"/>
  <c r="C49" i="6"/>
  <c r="C48" i="6"/>
  <c r="C47" i="6"/>
  <c r="C46" i="6"/>
  <c r="C45" i="6"/>
  <c r="C44" i="6"/>
  <c r="C43" i="6"/>
  <c r="C23" i="6"/>
  <c r="C13" i="6"/>
  <c r="C12" i="6"/>
  <c r="C10" i="6"/>
  <c r="C70" i="6"/>
  <c r="C30" i="6"/>
  <c r="C29" i="6"/>
  <c r="C73" i="6"/>
  <c r="C31" i="6"/>
  <c r="C18" i="6"/>
  <c r="C5" i="6"/>
  <c r="C4" i="6"/>
  <c r="C3" i="6"/>
  <c r="R105" i="6"/>
  <c r="R99" i="6"/>
  <c r="S77" i="6"/>
  <c r="S64" i="6"/>
  <c r="S79" i="6"/>
  <c r="S70" i="6"/>
  <c r="S62" i="6"/>
  <c r="S58" i="6"/>
  <c r="S54" i="6"/>
  <c r="S41" i="6"/>
  <c r="S40" i="6"/>
  <c r="S39" i="6"/>
  <c r="S38" i="6"/>
  <c r="S37" i="6"/>
  <c r="S36" i="6"/>
  <c r="S35" i="6"/>
  <c r="S34" i="6"/>
  <c r="S33" i="6"/>
  <c r="S32" i="6"/>
  <c r="S71" i="6"/>
  <c r="S69" i="6"/>
  <c r="S72" i="6"/>
  <c r="S59" i="6"/>
  <c r="S55" i="6"/>
  <c r="S73" i="6"/>
  <c r="S66" i="6"/>
  <c r="S65" i="6"/>
  <c r="S63" i="6"/>
  <c r="S75" i="6"/>
  <c r="S52" i="6"/>
  <c r="S51" i="6"/>
  <c r="S50" i="6"/>
  <c r="S49" i="6"/>
  <c r="S48" i="6"/>
  <c r="S47" i="6"/>
  <c r="S46" i="6"/>
  <c r="S45" i="6"/>
  <c r="S44" i="6"/>
  <c r="S43" i="6"/>
  <c r="S57" i="6"/>
  <c r="S85" i="6"/>
  <c r="S76" i="6"/>
  <c r="S60" i="6"/>
  <c r="S53" i="6"/>
  <c r="S26" i="6"/>
  <c r="S30" i="6"/>
  <c r="S5" i="6"/>
  <c r="S4" i="6"/>
  <c r="S3" i="6"/>
  <c r="S61" i="6"/>
  <c r="I10" i="6"/>
  <c r="I13" i="6"/>
  <c r="O18" i="6"/>
  <c r="S21" i="6"/>
  <c r="K22" i="6"/>
  <c r="E23" i="6"/>
  <c r="S24" i="6"/>
  <c r="K36" i="6"/>
  <c r="K41" i="6"/>
  <c r="I69" i="6"/>
  <c r="E6" i="6"/>
  <c r="D105" i="6"/>
  <c r="D99" i="6"/>
  <c r="E79" i="6"/>
  <c r="E77" i="6"/>
  <c r="E76" i="6"/>
  <c r="E75" i="6"/>
  <c r="E74" i="6"/>
  <c r="E73" i="6"/>
  <c r="E72" i="6"/>
  <c r="E71" i="6"/>
  <c r="E70" i="6"/>
  <c r="E69" i="6"/>
  <c r="E65" i="6"/>
  <c r="E64" i="6"/>
  <c r="E63" i="6"/>
  <c r="E67" i="6"/>
  <c r="E59" i="6"/>
  <c r="E55" i="6"/>
  <c r="E60" i="6"/>
  <c r="E56" i="6"/>
  <c r="E68" i="6"/>
  <c r="E52" i="6"/>
  <c r="E44" i="6"/>
  <c r="E43" i="6"/>
  <c r="E36" i="6"/>
  <c r="E26" i="6"/>
  <c r="E24" i="6"/>
  <c r="E15" i="6"/>
  <c r="E39" i="6"/>
  <c r="E57" i="6"/>
  <c r="E47" i="6"/>
  <c r="E50" i="6"/>
  <c r="E42" i="6"/>
  <c r="E34" i="6"/>
  <c r="E31" i="6"/>
  <c r="E62" i="6"/>
  <c r="E53" i="6"/>
  <c r="E45" i="6"/>
  <c r="E37" i="6"/>
  <c r="E21" i="6"/>
  <c r="D19" i="6"/>
  <c r="E19" i="6" s="1"/>
  <c r="E46" i="6"/>
  <c r="E38" i="6"/>
  <c r="T99" i="6"/>
  <c r="U79" i="6"/>
  <c r="U77" i="6"/>
  <c r="U76" i="6"/>
  <c r="U75" i="6"/>
  <c r="U74" i="6"/>
  <c r="U73" i="6"/>
  <c r="U72" i="6"/>
  <c r="U71" i="6"/>
  <c r="U70" i="6"/>
  <c r="U69" i="6"/>
  <c r="U65" i="6"/>
  <c r="U64" i="6"/>
  <c r="U63" i="6"/>
  <c r="U62" i="6"/>
  <c r="U58" i="6"/>
  <c r="U54" i="6"/>
  <c r="U59" i="6"/>
  <c r="U55" i="6"/>
  <c r="U67" i="6"/>
  <c r="U60" i="6"/>
  <c r="U56" i="6"/>
  <c r="U68" i="6"/>
  <c r="U61" i="6"/>
  <c r="U57" i="6"/>
  <c r="U53" i="6"/>
  <c r="U50" i="6"/>
  <c r="U38" i="6"/>
  <c r="U29" i="6"/>
  <c r="U23" i="6"/>
  <c r="U41" i="6"/>
  <c r="U45" i="6"/>
  <c r="U48" i="6"/>
  <c r="U36" i="6"/>
  <c r="U30" i="6"/>
  <c r="U25" i="6"/>
  <c r="U51" i="6"/>
  <c r="U39" i="6"/>
  <c r="U31" i="6"/>
  <c r="U52" i="6"/>
  <c r="U44" i="6"/>
  <c r="U40" i="6"/>
  <c r="U32" i="6"/>
  <c r="K3" i="6"/>
  <c r="U4" i="6"/>
  <c r="K5" i="6"/>
  <c r="E7" i="6"/>
  <c r="O7" i="6"/>
  <c r="O9" i="6"/>
  <c r="K10" i="6"/>
  <c r="K13" i="6"/>
  <c r="C20" i="6"/>
  <c r="U21" i="6"/>
  <c r="M22" i="6"/>
  <c r="U24" i="6"/>
  <c r="C26" i="6"/>
  <c r="E33" i="6"/>
  <c r="M35" i="6"/>
  <c r="M36" i="6"/>
  <c r="E40" i="6"/>
  <c r="Y41" i="6"/>
  <c r="M42" i="6"/>
  <c r="E48" i="6"/>
  <c r="I58" i="6"/>
  <c r="S67" i="6"/>
  <c r="S74" i="6"/>
  <c r="H19" i="6"/>
  <c r="I19" i="6" s="1"/>
  <c r="Y21" i="6"/>
  <c r="I23" i="6"/>
  <c r="E29" i="6"/>
  <c r="E30" i="6"/>
  <c r="K34" i="6"/>
  <c r="U35" i="6"/>
  <c r="H99" i="6"/>
  <c r="I75" i="6"/>
  <c r="I67" i="6"/>
  <c r="I65" i="6"/>
  <c r="I63" i="6"/>
  <c r="I76" i="6"/>
  <c r="I68" i="6"/>
  <c r="I60" i="6"/>
  <c r="I56" i="6"/>
  <c r="I77" i="6"/>
  <c r="I79" i="6"/>
  <c r="I61" i="6"/>
  <c r="I57" i="6"/>
  <c r="I53" i="6"/>
  <c r="I52" i="6"/>
  <c r="I51" i="6"/>
  <c r="I50" i="6"/>
  <c r="I49" i="6"/>
  <c r="I48" i="6"/>
  <c r="I47" i="6"/>
  <c r="I46" i="6"/>
  <c r="I45" i="6"/>
  <c r="I44" i="6"/>
  <c r="I43" i="6"/>
  <c r="I71" i="6"/>
  <c r="I70" i="6"/>
  <c r="I64" i="6"/>
  <c r="I73" i="6"/>
  <c r="I74" i="6"/>
  <c r="I59" i="6"/>
  <c r="I34" i="6"/>
  <c r="I31" i="6"/>
  <c r="I18" i="6"/>
  <c r="I5" i="6"/>
  <c r="I4" i="6"/>
  <c r="I3" i="6"/>
  <c r="I62" i="6"/>
  <c r="I55" i="6"/>
  <c r="I40" i="6"/>
  <c r="I32" i="6"/>
  <c r="I35" i="6"/>
  <c r="I22" i="6"/>
  <c r="I54" i="6"/>
  <c r="I36" i="6"/>
  <c r="X99" i="6"/>
  <c r="Y79" i="6"/>
  <c r="Y70" i="6"/>
  <c r="Y59" i="6"/>
  <c r="Y55" i="6"/>
  <c r="Y71" i="6"/>
  <c r="Y69" i="6"/>
  <c r="Y72" i="6"/>
  <c r="Y63" i="6"/>
  <c r="Y60" i="6"/>
  <c r="Y56" i="6"/>
  <c r="Y73" i="6"/>
  <c r="Y68" i="6"/>
  <c r="Y52" i="6"/>
  <c r="Y51" i="6"/>
  <c r="Y50" i="6"/>
  <c r="Y49" i="6"/>
  <c r="Y48" i="6"/>
  <c r="Y47" i="6"/>
  <c r="Y46" i="6"/>
  <c r="Y45" i="6"/>
  <c r="Y44" i="6"/>
  <c r="Y43" i="6"/>
  <c r="Y74" i="6"/>
  <c r="Y61" i="6"/>
  <c r="Y57" i="6"/>
  <c r="Y53" i="6"/>
  <c r="Y76" i="6"/>
  <c r="Y64" i="6"/>
  <c r="Y62" i="6"/>
  <c r="Y58" i="6"/>
  <c r="Y54" i="6"/>
  <c r="Y36" i="6"/>
  <c r="Y30" i="6"/>
  <c r="Y26" i="6"/>
  <c r="Y5" i="6"/>
  <c r="Y4" i="6"/>
  <c r="Y3" i="6"/>
  <c r="Y39" i="6"/>
  <c r="Y34" i="6"/>
  <c r="Y37" i="6"/>
  <c r="Y38" i="6"/>
  <c r="Y29" i="6"/>
  <c r="E4" i="6"/>
  <c r="O5" i="6"/>
  <c r="I15" i="6"/>
  <c r="Y18" i="6"/>
  <c r="C21" i="6"/>
  <c r="U22" i="6"/>
  <c r="K23" i="6"/>
  <c r="C24" i="6"/>
  <c r="K25" i="6"/>
  <c r="M26" i="6"/>
  <c r="I30" i="6"/>
  <c r="K31" i="6"/>
  <c r="E32" i="6"/>
  <c r="I33" i="6"/>
  <c r="Y35" i="6"/>
  <c r="I39" i="6"/>
  <c r="B107" i="6"/>
  <c r="Z107" i="6" s="1"/>
  <c r="C42" i="6"/>
  <c r="E49" i="6"/>
  <c r="O56" i="6"/>
  <c r="O59" i="6"/>
  <c r="C68" i="6"/>
  <c r="M75" i="6"/>
  <c r="W35" i="6"/>
  <c r="Q37" i="6"/>
  <c r="G41" i="6"/>
  <c r="K42" i="6"/>
  <c r="P105" i="6"/>
  <c r="P99" i="6"/>
  <c r="Q79" i="6"/>
  <c r="Q77" i="6"/>
  <c r="Q76" i="6"/>
  <c r="Q75" i="6"/>
  <c r="Q74" i="6"/>
  <c r="Q73" i="6"/>
  <c r="Q72" i="6"/>
  <c r="Q71" i="6"/>
  <c r="Q70" i="6"/>
  <c r="Q69" i="6"/>
  <c r="Q61" i="6"/>
  <c r="Q57" i="6"/>
  <c r="Q53" i="6"/>
  <c r="Q64" i="6"/>
  <c r="Q68" i="6"/>
  <c r="Q62" i="6"/>
  <c r="Q58" i="6"/>
  <c r="Q54" i="6"/>
  <c r="Q24" i="6"/>
  <c r="Q23" i="6"/>
  <c r="Q22" i="6"/>
  <c r="Q21" i="6"/>
  <c r="Q18" i="6"/>
  <c r="Q15" i="6"/>
  <c r="Q59" i="6"/>
  <c r="Q55" i="6"/>
  <c r="Q67" i="6"/>
  <c r="Q60" i="6"/>
  <c r="Q56" i="6"/>
  <c r="W21" i="6"/>
  <c r="Q26" i="6"/>
  <c r="G32" i="6"/>
  <c r="W34" i="6"/>
  <c r="Q36" i="6"/>
  <c r="G40" i="6"/>
  <c r="Y42" i="6"/>
  <c r="W43" i="6"/>
  <c r="Q48" i="6"/>
  <c r="W58" i="6"/>
  <c r="S68" i="6"/>
  <c r="Q29" i="6"/>
  <c r="Q33" i="6"/>
  <c r="G37" i="6"/>
  <c r="W39" i="6"/>
  <c r="Q41" i="6"/>
  <c r="Q45" i="6"/>
  <c r="Q66" i="6"/>
  <c r="Q42" i="6"/>
  <c r="Q50" i="6"/>
  <c r="W53" i="6"/>
  <c r="W62" i="6"/>
  <c r="W68" i="6"/>
  <c r="Q38" i="6"/>
  <c r="G79" i="6"/>
  <c r="G77" i="6"/>
  <c r="G76" i="6"/>
  <c r="G75" i="6"/>
  <c r="G74" i="6"/>
  <c r="G73" i="6"/>
  <c r="G72" i="6"/>
  <c r="G71" i="6"/>
  <c r="G70" i="6"/>
  <c r="G69" i="6"/>
  <c r="G67" i="6"/>
  <c r="G59" i="6"/>
  <c r="G55" i="6"/>
  <c r="G65" i="6"/>
  <c r="G63" i="6"/>
  <c r="G60" i="6"/>
  <c r="G56" i="6"/>
  <c r="G26" i="6"/>
  <c r="F99" i="6"/>
  <c r="G61" i="6"/>
  <c r="G57" i="6"/>
  <c r="G53" i="6"/>
  <c r="G52" i="6"/>
  <c r="G51" i="6"/>
  <c r="G50" i="6"/>
  <c r="G49" i="6"/>
  <c r="G48" i="6"/>
  <c r="G47" i="6"/>
  <c r="G46" i="6"/>
  <c r="G45" i="6"/>
  <c r="G44" i="6"/>
  <c r="G62" i="6"/>
  <c r="G58" i="6"/>
  <c r="G54" i="6"/>
  <c r="V99" i="6"/>
  <c r="W79" i="6"/>
  <c r="W77" i="6"/>
  <c r="W76" i="6"/>
  <c r="W75" i="6"/>
  <c r="W74" i="6"/>
  <c r="W73" i="6"/>
  <c r="W72" i="6"/>
  <c r="W71" i="6"/>
  <c r="W70" i="6"/>
  <c r="W69" i="6"/>
  <c r="W66" i="6"/>
  <c r="W67" i="6"/>
  <c r="W59" i="6"/>
  <c r="W55" i="6"/>
  <c r="W65" i="6"/>
  <c r="W63" i="6"/>
  <c r="W60" i="6"/>
  <c r="W56" i="6"/>
  <c r="W26" i="6"/>
  <c r="W52" i="6"/>
  <c r="W51" i="6"/>
  <c r="W50" i="6"/>
  <c r="W49" i="6"/>
  <c r="W48" i="6"/>
  <c r="W47" i="6"/>
  <c r="W46" i="6"/>
  <c r="W45" i="6"/>
  <c r="W44" i="6"/>
  <c r="P20" i="6"/>
  <c r="P83" i="6" s="1"/>
  <c r="W24" i="6"/>
  <c r="G30" i="6"/>
  <c r="W33" i="6"/>
  <c r="Q35" i="6"/>
  <c r="G39" i="6"/>
  <c r="W41" i="6"/>
  <c r="G42" i="6"/>
  <c r="S42" i="6"/>
  <c r="Q47" i="6"/>
  <c r="AC85" i="6"/>
  <c r="O68" i="6"/>
  <c r="G68" i="6"/>
  <c r="F93" i="6"/>
  <c r="AB6" i="6" l="1"/>
  <c r="AC6" i="6" s="1"/>
  <c r="O6" i="6"/>
  <c r="Z16" i="6"/>
  <c r="Z14" i="6"/>
  <c r="Z8" i="6"/>
  <c r="Z17" i="6"/>
  <c r="Z28" i="6"/>
  <c r="Z29" i="6"/>
  <c r="Z49" i="6"/>
  <c r="Z38" i="6"/>
  <c r="Z33" i="6"/>
  <c r="Z55" i="6"/>
  <c r="Z74" i="6"/>
  <c r="Z51" i="6"/>
  <c r="Z75" i="6"/>
  <c r="Z24" i="6"/>
  <c r="Z44" i="6"/>
  <c r="Z52" i="6"/>
  <c r="Z57" i="6"/>
  <c r="Z76" i="6"/>
  <c r="Z25" i="6"/>
  <c r="Z12" i="6"/>
  <c r="Z32" i="6"/>
  <c r="Z45" i="6"/>
  <c r="Z67" i="6"/>
  <c r="Z58" i="6"/>
  <c r="Z66" i="6"/>
  <c r="Z73" i="6"/>
  <c r="Z13" i="6"/>
  <c r="Z41" i="6"/>
  <c r="Z56" i="6"/>
  <c r="Z36" i="6"/>
  <c r="Z10" i="6"/>
  <c r="Z22" i="6"/>
  <c r="Z9" i="6"/>
  <c r="Z40" i="6"/>
  <c r="Z46" i="6"/>
  <c r="Z69" i="6"/>
  <c r="Z59" i="6"/>
  <c r="Z70" i="6"/>
  <c r="Z79" i="6"/>
  <c r="Z35" i="6"/>
  <c r="Z54" i="6"/>
  <c r="Z50" i="6"/>
  <c r="Z43" i="6"/>
  <c r="Z64" i="6"/>
  <c r="Z65" i="6"/>
  <c r="Z23" i="6"/>
  <c r="Z5" i="6"/>
  <c r="Z37" i="6"/>
  <c r="Z47" i="6"/>
  <c r="Z85" i="6"/>
  <c r="Z60" i="6"/>
  <c r="Z71" i="6"/>
  <c r="AA71" i="6" s="1"/>
  <c r="Z84" i="6"/>
  <c r="Z31" i="6"/>
  <c r="Z62" i="6"/>
  <c r="Z39" i="6"/>
  <c r="Z63" i="6"/>
  <c r="Z2" i="6"/>
  <c r="AA68" i="6" s="1"/>
  <c r="Z30" i="6"/>
  <c r="Z42" i="6"/>
  <c r="Z21" i="6"/>
  <c r="Z4" i="6"/>
  <c r="Z15" i="6"/>
  <c r="Z7" i="6"/>
  <c r="Z3" i="6"/>
  <c r="Z18" i="6"/>
  <c r="AA18" i="6" s="1"/>
  <c r="Z48" i="6"/>
  <c r="Z53" i="6"/>
  <c r="Z61" i="6"/>
  <c r="Z72" i="6"/>
  <c r="Z34" i="6"/>
  <c r="AB25" i="6"/>
  <c r="N19" i="6"/>
  <c r="O19" i="6" s="1"/>
  <c r="N88" i="6" s="1"/>
  <c r="N80" i="6"/>
  <c r="N86" i="6" s="1"/>
  <c r="N87" i="6" s="1"/>
  <c r="Z26" i="6"/>
  <c r="Z27" i="6"/>
  <c r="AA27" i="6" s="1"/>
  <c r="Z11" i="6"/>
  <c r="T83" i="6"/>
  <c r="U83" i="6" s="1"/>
  <c r="T80" i="6"/>
  <c r="U80" i="6" s="1"/>
  <c r="U6" i="6"/>
  <c r="W6" i="6"/>
  <c r="V80" i="6"/>
  <c r="V86" i="6" s="1"/>
  <c r="V87" i="6" s="1"/>
  <c r="T19" i="6"/>
  <c r="U19" i="6" s="1"/>
  <c r="T88" i="6" s="1"/>
  <c r="H80" i="6"/>
  <c r="I80" i="6" s="1"/>
  <c r="P80" i="6"/>
  <c r="P86" i="6" s="1"/>
  <c r="P87" i="6" s="1"/>
  <c r="L80" i="6"/>
  <c r="L81" i="6" s="1"/>
  <c r="M20" i="6"/>
  <c r="Z20" i="6"/>
  <c r="R19" i="6"/>
  <c r="S19" i="6" s="1"/>
  <c r="R82" i="6" s="1"/>
  <c r="S82" i="6" s="1"/>
  <c r="L19" i="6"/>
  <c r="M19" i="6" s="1"/>
  <c r="L82" i="6" s="1"/>
  <c r="M82" i="6" s="1"/>
  <c r="O20" i="6"/>
  <c r="X83" i="6"/>
  <c r="X89" i="6" s="1"/>
  <c r="X80" i="6"/>
  <c r="X81" i="6" s="1"/>
  <c r="X19" i="6"/>
  <c r="Y19" i="6" s="1"/>
  <c r="X82" i="6" s="1"/>
  <c r="Y82" i="6" s="1"/>
  <c r="F80" i="6"/>
  <c r="B80" i="6"/>
  <c r="B83" i="6"/>
  <c r="V83" i="6"/>
  <c r="V89" i="6" s="1"/>
  <c r="R83" i="6"/>
  <c r="R89" i="6" s="1"/>
  <c r="H83" i="6"/>
  <c r="P89" i="6"/>
  <c r="J19" i="6"/>
  <c r="K19" i="6" s="1"/>
  <c r="J82" i="6" s="1"/>
  <c r="K82" i="6" s="1"/>
  <c r="D80" i="6"/>
  <c r="D81" i="6" s="1"/>
  <c r="I25" i="6"/>
  <c r="E20" i="6"/>
  <c r="H82" i="6"/>
  <c r="I82" i="6" s="1"/>
  <c r="D82" i="6"/>
  <c r="E82" i="6" s="1"/>
  <c r="D88" i="6"/>
  <c r="F83" i="6"/>
  <c r="F106" i="6" s="1"/>
  <c r="G25" i="6"/>
  <c r="R80" i="6"/>
  <c r="F19" i="6"/>
  <c r="G19" i="6" s="1"/>
  <c r="G6" i="6"/>
  <c r="H88" i="6"/>
  <c r="Q20" i="6"/>
  <c r="P19" i="6"/>
  <c r="Q19" i="6" s="1"/>
  <c r="P82" i="6" s="1"/>
  <c r="Q82" i="6" s="1"/>
  <c r="V88" i="6"/>
  <c r="W20" i="6"/>
  <c r="V82" i="6"/>
  <c r="W82" i="6" s="1"/>
  <c r="H93" i="6"/>
  <c r="Z6" i="6"/>
  <c r="C6" i="6"/>
  <c r="B19" i="6"/>
  <c r="AB99" i="6"/>
  <c r="Z105" i="6"/>
  <c r="E83" i="6"/>
  <c r="D89" i="6"/>
  <c r="AA69" i="6" l="1"/>
  <c r="AA72" i="6"/>
  <c r="AA77" i="6"/>
  <c r="AA76" i="6"/>
  <c r="AA79" i="6"/>
  <c r="AA70" i="6"/>
  <c r="AA75" i="6"/>
  <c r="Z80" i="6"/>
  <c r="AA73" i="6"/>
  <c r="AA74" i="6"/>
  <c r="AB20" i="6"/>
  <c r="AA28" i="6"/>
  <c r="AA26" i="6"/>
  <c r="AA30" i="6"/>
  <c r="AA13" i="6"/>
  <c r="AA12" i="6"/>
  <c r="AA17" i="6"/>
  <c r="AA25" i="6"/>
  <c r="AA22" i="6"/>
  <c r="AA15" i="6"/>
  <c r="AA10" i="6"/>
  <c r="AA8" i="6"/>
  <c r="AA3" i="6"/>
  <c r="AA14" i="6"/>
  <c r="AA66" i="6"/>
  <c r="AA16" i="6"/>
  <c r="AA23" i="6"/>
  <c r="AA9" i="6"/>
  <c r="AA11" i="6"/>
  <c r="AA65" i="6"/>
  <c r="AA24" i="6"/>
  <c r="AA29" i="6"/>
  <c r="AA44" i="6"/>
  <c r="AA59" i="6"/>
  <c r="AA32" i="6"/>
  <c r="AA60" i="6"/>
  <c r="AA43" i="6"/>
  <c r="AA46" i="6"/>
  <c r="AA6" i="6"/>
  <c r="AA7" i="6"/>
  <c r="AA63" i="6"/>
  <c r="AA47" i="6"/>
  <c r="AA54" i="6"/>
  <c r="AA51" i="6"/>
  <c r="AA40" i="6"/>
  <c r="AA85" i="6"/>
  <c r="AA50" i="6"/>
  <c r="AA36" i="6"/>
  <c r="AA39" i="6"/>
  <c r="AA37" i="6"/>
  <c r="AA35" i="6"/>
  <c r="AA61" i="6"/>
  <c r="AA5" i="6"/>
  <c r="AA57" i="6"/>
  <c r="AA55" i="6"/>
  <c r="AA33" i="6"/>
  <c r="Z99" i="6"/>
  <c r="AA45" i="6"/>
  <c r="AA62" i="6"/>
  <c r="AA4" i="6"/>
  <c r="AA34" i="6"/>
  <c r="AA21" i="6"/>
  <c r="AA64" i="6"/>
  <c r="AA56" i="6"/>
  <c r="AA49" i="6"/>
  <c r="AA31" i="6"/>
  <c r="AA42" i="6"/>
  <c r="AA58" i="6"/>
  <c r="AA52" i="6"/>
  <c r="N82" i="6"/>
  <c r="O82" i="6" s="1"/>
  <c r="AA53" i="6"/>
  <c r="AA48" i="6"/>
  <c r="AA38" i="6"/>
  <c r="AA67" i="6"/>
  <c r="T106" i="6"/>
  <c r="T89" i="6"/>
  <c r="O80" i="6"/>
  <c r="N81" i="6"/>
  <c r="T86" i="6"/>
  <c r="T87" i="6" s="1"/>
  <c r="T81" i="6"/>
  <c r="I83" i="6"/>
  <c r="H106" i="6"/>
  <c r="Y83" i="6"/>
  <c r="N89" i="6"/>
  <c r="W80" i="6"/>
  <c r="V81" i="6"/>
  <c r="L89" i="6"/>
  <c r="P81" i="6"/>
  <c r="T82" i="6"/>
  <c r="U82" i="6" s="1"/>
  <c r="M83" i="6"/>
  <c r="Q80" i="6"/>
  <c r="R88" i="6"/>
  <c r="L86" i="6"/>
  <c r="L87" i="6" s="1"/>
  <c r="L88" i="6"/>
  <c r="M80" i="6"/>
  <c r="X86" i="6"/>
  <c r="X87" i="6" s="1"/>
  <c r="O83" i="6"/>
  <c r="Y80" i="6"/>
  <c r="W83" i="6"/>
  <c r="R106" i="6"/>
  <c r="P106" i="6"/>
  <c r="S83" i="6"/>
  <c r="B86" i="6"/>
  <c r="B87" i="6" s="1"/>
  <c r="B81" i="6"/>
  <c r="P88" i="6"/>
  <c r="X88" i="6"/>
  <c r="C80" i="6"/>
  <c r="B106" i="6"/>
  <c r="B89" i="6"/>
  <c r="H89" i="6"/>
  <c r="Q83" i="6"/>
  <c r="H81" i="6"/>
  <c r="H86" i="6"/>
  <c r="H87" i="6" s="1"/>
  <c r="J88" i="6"/>
  <c r="AB83" i="6"/>
  <c r="AC83" i="6" s="1"/>
  <c r="E80" i="6"/>
  <c r="D86" i="6"/>
  <c r="D87" i="6" s="1"/>
  <c r="AB19" i="6"/>
  <c r="AC19" i="6" s="1"/>
  <c r="C83" i="6"/>
  <c r="Z83" i="6"/>
  <c r="F88" i="6"/>
  <c r="F82" i="6"/>
  <c r="G82" i="6" s="1"/>
  <c r="G20" i="6"/>
  <c r="AA20" i="6"/>
  <c r="F89" i="6"/>
  <c r="G83" i="6"/>
  <c r="R81" i="6"/>
  <c r="R86" i="6"/>
  <c r="R87" i="6" s="1"/>
  <c r="S80" i="6"/>
  <c r="K83" i="6"/>
  <c r="Z19" i="6"/>
  <c r="AA19" i="6" s="1"/>
  <c r="C19" i="6"/>
  <c r="K80" i="6"/>
  <c r="J87" i="6"/>
  <c r="J81" i="6"/>
  <c r="AC20" i="6" l="1"/>
  <c r="AA80" i="6"/>
  <c r="AB82" i="6"/>
  <c r="AC82" i="6" s="1"/>
  <c r="AA83" i="6"/>
  <c r="Z89" i="6"/>
  <c r="Z106" i="6"/>
  <c r="Z111" i="6" s="1"/>
  <c r="B111" i="6"/>
  <c r="D104" i="6" s="1"/>
  <c r="D111" i="6" s="1"/>
  <c r="F104" i="6" s="1"/>
  <c r="F111" i="6" s="1"/>
  <c r="B82" i="6"/>
  <c r="B88" i="6"/>
  <c r="Z88" i="6" s="1"/>
  <c r="L93" i="6"/>
  <c r="F86" i="6"/>
  <c r="F81" i="6"/>
  <c r="G80" i="6"/>
  <c r="AB89" i="6"/>
  <c r="AC81" i="6" l="1"/>
  <c r="AB86" i="6"/>
  <c r="AB87" i="6" s="1"/>
  <c r="AB88" i="6"/>
  <c r="H104" i="6"/>
  <c r="H111" i="6" s="1"/>
  <c r="J104" i="6" s="1"/>
  <c r="J111" i="6" s="1"/>
  <c r="AA81" i="6"/>
  <c r="F87" i="6"/>
  <c r="Z86" i="6"/>
  <c r="Z87" i="6" s="1"/>
  <c r="Z82" i="6"/>
  <c r="AA82" i="6" s="1"/>
  <c r="C82" i="6"/>
  <c r="L104" i="6" l="1"/>
  <c r="L111" i="6" s="1"/>
  <c r="N104" i="6" s="1"/>
  <c r="P93" i="6"/>
  <c r="N111" i="6" l="1"/>
  <c r="P104" i="6" s="1"/>
  <c r="P111" i="6" s="1"/>
  <c r="R104" i="6" s="1"/>
  <c r="R111" i="6" s="1"/>
  <c r="T104" i="6" s="1"/>
  <c r="T111" i="6" s="1"/>
  <c r="V104" i="6" s="1"/>
  <c r="V111" i="6" s="1"/>
  <c r="X104" i="6" s="1"/>
  <c r="X111" i="6" s="1"/>
  <c r="R93" i="6"/>
  <c r="T93" i="6" l="1"/>
  <c r="V93" i="6"/>
  <c r="V113" i="6" s="1"/>
  <c r="C15" i="4" l="1"/>
  <c r="B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tc={85191905-DD7D-4886-8123-A3FB34DB5BD5}</author>
    <author>Financeiro</author>
  </authors>
  <commentList>
    <comment ref="F3" authorId="0" shapeId="0" xr:uid="{877326C5-69FC-4170-BAB5-8F38898184CC}">
      <text>
        <r>
          <rPr>
            <b/>
            <sz val="9"/>
            <color indexed="81"/>
            <rFont val="Segoe UI"/>
            <family val="2"/>
          </rPr>
          <t>1 parcela intelbras</t>
        </r>
      </text>
    </comment>
    <comment ref="N3" authorId="0" shapeId="0" xr:uid="{B13A3F4D-8F20-4187-A695-5FB732B119D7}">
      <text>
        <r>
          <rPr>
            <b/>
            <sz val="9"/>
            <color indexed="81"/>
            <rFont val="Segoe UI"/>
            <family val="2"/>
          </rPr>
          <t xml:space="preserve">Previsão caixa julho: 209.233,62
218692,61
</t>
        </r>
      </text>
    </comment>
    <comment ref="P3" authorId="0" shapeId="0" xr:uid="{2FD64024-2526-40BF-8DEB-5B40F507148C}">
      <text>
        <r>
          <rPr>
            <b/>
            <sz val="9"/>
            <color indexed="81"/>
            <rFont val="Segoe UI"/>
            <family val="2"/>
          </rPr>
          <t>Previsão: 218790,0
ML: 10%</t>
        </r>
      </text>
    </comment>
    <comment ref="T3" authorId="1" shapeId="0" xr:uid="{85191905-DD7D-4886-8123-A3FB34DB5BD5}">
      <text>
        <t>[Threaded comment]
Your version of Excel allows you to read this threaded comment; however, any edits to it will get removed if the file is opened in a newer version of Excel. Learn more: https://go.microsoft.com/fwlink/?linkid=870924
Comment:
    200 TRN e 30 RE
Reply:
    211 trn + 24k previsto recebimento RE  - Nelson, Portoex e Olsen, recebidos em setembro (mês do fechamento)</t>
      </text>
    </comment>
    <comment ref="D4" authorId="0" shapeId="0" xr:uid="{A961FC5F-4C42-4230-8800-AC4239CD2D09}">
      <text>
        <r>
          <rPr>
            <b/>
            <sz val="9"/>
            <color indexed="81"/>
            <rFont val="Segoe UI"/>
            <family val="2"/>
          </rPr>
          <t>Credito G4</t>
        </r>
      </text>
    </comment>
    <comment ref="F4" authorId="0" shapeId="0" xr:uid="{2108C935-827D-4D15-80DD-F2D09F100B00}">
      <text>
        <r>
          <rPr>
            <b/>
            <sz val="9"/>
            <color indexed="81"/>
            <rFont val="Segoe UI"/>
            <family val="2"/>
          </rPr>
          <t>Crédito G4</t>
        </r>
      </text>
    </comment>
    <comment ref="H4" authorId="0" shapeId="0" xr:uid="{9AC95422-13BA-42BB-AD30-4E175EB22125}">
      <text>
        <r>
          <rPr>
            <b/>
            <sz val="9"/>
            <color indexed="81"/>
            <rFont val="Segoe UI"/>
            <family val="2"/>
          </rPr>
          <t xml:space="preserve">AT Transportes
</t>
        </r>
      </text>
    </comment>
    <comment ref="L4" authorId="0" shapeId="0" xr:uid="{A4A7A4B8-23B3-47B7-A5C5-A526B79419CE}">
      <text>
        <r>
          <rPr>
            <b/>
            <sz val="9"/>
            <color indexed="81"/>
            <rFont val="Segoe UI"/>
            <family val="2"/>
          </rPr>
          <t>AT Transportes</t>
        </r>
      </text>
    </comment>
    <comment ref="P4" authorId="0" shapeId="0" xr:uid="{80F08F96-B413-4703-B2E1-6B9EFFE8BF16}">
      <text>
        <r>
          <rPr>
            <b/>
            <sz val="9"/>
            <color indexed="81"/>
            <rFont val="Segoe UI"/>
            <family val="2"/>
          </rPr>
          <t>Recebimento indenização seguro RC - Ferasso</t>
        </r>
      </text>
    </comment>
    <comment ref="R4" authorId="0" shapeId="0" xr:uid="{C0B74C04-9543-47A2-8279-E3B39AAF5C6C}">
      <text>
        <r>
          <rPr>
            <b/>
            <sz val="9"/>
            <color indexed="81"/>
            <rFont val="Segoe UI"/>
            <family val="2"/>
          </rPr>
          <t>PPR</t>
        </r>
      </text>
    </comment>
    <comment ref="X4" authorId="0" shapeId="0" xr:uid="{A3984FF8-1B5F-41F9-BDD9-2C7508209705}">
      <text>
        <r>
          <rPr>
            <b/>
            <sz val="9"/>
            <color indexed="81"/>
            <rFont val="Segoe UI"/>
            <charset val="1"/>
          </rPr>
          <t xml:space="preserve">Transferencia poupança Sicredi
</t>
        </r>
      </text>
    </comment>
    <comment ref="T7" authorId="0" shapeId="0" xr:uid="{03CE36CC-1804-45D1-BB10-EADF6C508DB4}">
      <text/>
    </comment>
    <comment ref="J8" authorId="0" shapeId="0" xr:uid="{2646D3BD-F7F4-40EB-A84B-7BE37922870A}">
      <text>
        <r>
          <rPr>
            <b/>
            <sz val="9"/>
            <color indexed="81"/>
            <rFont val="Segoe UI"/>
            <family val="2"/>
          </rPr>
          <t>Reembolso viagem SP Luiz - Icaro- Sompo</t>
        </r>
      </text>
    </comment>
    <comment ref="L8" authorId="0" shapeId="0" xr:uid="{451C6A06-0787-4223-94CB-E1D9F4205206}">
      <text>
        <r>
          <rPr>
            <b/>
            <sz val="9"/>
            <color indexed="81"/>
            <rFont val="Segoe UI"/>
            <family val="2"/>
          </rPr>
          <t>1919 - reembolso
394 - airbnb</t>
        </r>
      </text>
    </comment>
    <comment ref="P15" authorId="0" shapeId="0" xr:uid="{7E2CEC9F-5EF8-4979-944E-838E858FC703}">
      <text>
        <r>
          <rPr>
            <b/>
            <sz val="9"/>
            <color indexed="81"/>
            <rFont val="Segoe UI"/>
            <family val="2"/>
          </rPr>
          <t>Repasse Ciasc</t>
        </r>
      </text>
    </comment>
    <comment ref="N26" authorId="0" shapeId="0" xr:uid="{F46A65C4-0B98-42C8-B22B-2DB1F3E14390}">
      <text>
        <r>
          <rPr>
            <b/>
            <sz val="9"/>
            <color indexed="81"/>
            <rFont val="Segoe UI"/>
            <family val="2"/>
          </rPr>
          <t>Contratação
Suporte Operacional
RE - Anderson
Comercial TRN - Leo</t>
        </r>
      </text>
    </comment>
    <comment ref="P26" authorId="0" shapeId="0" xr:uid="{B25849A0-3226-45EC-AD89-6D9E3E9F244D}">
      <text>
        <r>
          <rPr>
            <b/>
            <sz val="9"/>
            <color indexed="81"/>
            <rFont val="Segoe UI"/>
            <family val="2"/>
          </rPr>
          <t>Rescisão Cicero</t>
        </r>
      </text>
    </comment>
    <comment ref="H29" authorId="0" shapeId="0" xr:uid="{52DBA5E5-8BBC-47DD-BD4B-4FE5B9462E89}">
      <text>
        <r>
          <rPr>
            <b/>
            <sz val="9"/>
            <color indexed="81"/>
            <rFont val="Segoe UI"/>
            <family val="2"/>
          </rPr>
          <t>Premiação trimestral Ellen e premiação Hello</t>
        </r>
      </text>
    </comment>
    <comment ref="N29" authorId="0" shapeId="0" xr:uid="{25FDBBD8-BDA0-41F6-ABB1-B2CAF52BD1EC}">
      <text>
        <r>
          <rPr>
            <b/>
            <sz val="9"/>
            <color indexed="81"/>
            <rFont val="Segoe UI"/>
            <family val="2"/>
          </rPr>
          <t>Premiação trimestral Ellen: 10k
Premiação mensal Hello: 1942,50</t>
        </r>
      </text>
    </comment>
    <comment ref="R29" authorId="0" shapeId="0" xr:uid="{DEBAEC2E-F964-4FC8-85DE-F06D9667A517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T29" authorId="0" shapeId="0" xr:uid="{AC23A94F-A852-4EB8-9C67-5DBCDBD04C15}">
      <text>
        <r>
          <rPr>
            <b/>
            <sz val="9"/>
            <color indexed="81"/>
            <rFont val="Segoe UI"/>
            <family val="2"/>
          </rPr>
          <t>Ellen - 11k
Ernane - 1k
Helloisy - 1942,5</t>
        </r>
      </text>
    </comment>
    <comment ref="H31" authorId="0" shapeId="0" xr:uid="{F8939BAA-DF16-4385-A7BB-93BD7403D4B5}">
      <text>
        <r>
          <rPr>
            <b/>
            <sz val="9"/>
            <color indexed="81"/>
            <rFont val="Segoe UI"/>
            <family val="2"/>
          </rPr>
          <t>Férias Ellen</t>
        </r>
      </text>
    </comment>
    <comment ref="J31" authorId="0" shapeId="0" xr:uid="{38D4778A-85BD-4955-A5A0-64E26E8B4BB6}">
      <text>
        <r>
          <rPr>
            <b/>
            <sz val="9"/>
            <color indexed="81"/>
            <rFont val="Segoe UI"/>
            <family val="2"/>
          </rPr>
          <t>Férias Karina e ernane</t>
        </r>
      </text>
    </comment>
    <comment ref="N31" authorId="0" shapeId="0" xr:uid="{E1D4AAAE-A94A-402D-98D6-F94295DD0977}">
      <text>
        <r>
          <rPr>
            <b/>
            <sz val="9"/>
            <color indexed="81"/>
            <rFont val="Segoe UI"/>
            <family val="2"/>
          </rPr>
          <t xml:space="preserve">Férias Hello
</t>
        </r>
      </text>
    </comment>
    <comment ref="R31" authorId="0" shapeId="0" xr:uid="{2DCE7A5B-AA5E-49F4-8D62-66527E8D726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D33" authorId="0" shapeId="0" xr:uid="{A1169897-5714-4166-824C-BCDE25616A9B}">
      <text>
        <r>
          <rPr>
            <b/>
            <sz val="9"/>
            <color indexed="81"/>
            <rFont val="Segoe UI"/>
            <family val="2"/>
          </rPr>
          <t>Prorrogamos o vcto p/ mês posterior</t>
        </r>
      </text>
    </comment>
    <comment ref="V35" authorId="0" shapeId="0" xr:uid="{157E7350-C7D0-4F07-8DBE-28D33C749D91}">
      <text>
        <r>
          <rPr>
            <b/>
            <sz val="9"/>
            <color indexed="81"/>
            <rFont val="Segoe UI"/>
            <family val="2"/>
          </rPr>
          <t>desconto licença maternidade</t>
        </r>
      </text>
    </comment>
    <comment ref="D49" authorId="0" shapeId="0" xr:uid="{BC22071D-CC59-44E7-A37C-9EC820D8A6CD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D51" authorId="0" shapeId="0" xr:uid="{0D223A32-D4B0-431D-9D15-9E5ADB0F594E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1" authorId="0" shapeId="0" xr:uid="{C6DA66FB-F7AB-4A55-A585-6705F94D293C}">
      <text>
        <r>
          <rPr>
            <b/>
            <sz val="9"/>
            <color indexed="81"/>
            <rFont val="Segoe UI"/>
            <family val="2"/>
          </rPr>
          <t>G Suite - 699,71
Lumiun - 304,00
RD - 174,00
Infocap - 560,97
Hospedagem site -671,04</t>
        </r>
      </text>
    </comment>
    <comment ref="L51" authorId="0" shapeId="0" xr:uid="{B9AA0A32-E91B-452E-8D9D-97C1E604BA98}">
      <text>
        <r>
          <rPr>
            <b/>
            <sz val="9"/>
            <color indexed="81"/>
            <rFont val="Segoe UI"/>
            <family val="2"/>
          </rPr>
          <t xml:space="preserve">Google Gsuite - 840
Lumiun - 304
RD - 284,2
Infocap -589,01
</t>
        </r>
      </text>
    </comment>
    <comment ref="N61" authorId="0" shapeId="0" xr:uid="{D3F39EF2-5480-4ECB-BA5C-A6AF3619E660}">
      <text>
        <r>
          <rPr>
            <b/>
            <sz val="9"/>
            <color indexed="81"/>
            <rFont val="Segoe UI"/>
            <family val="2"/>
          </rPr>
          <t>Airbnb Alisson</t>
        </r>
      </text>
    </comment>
    <comment ref="B65" authorId="0" shapeId="0" xr:uid="{5591654F-DC35-43BD-9D20-36CC524C7492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5" authorId="0" shapeId="0" xr:uid="{76CC5156-5CD8-43B0-B423-B1990FFD3B4B}">
      <text>
        <r>
          <rPr>
            <b/>
            <sz val="9"/>
            <color indexed="81"/>
            <rFont val="Segoe UI"/>
            <family val="2"/>
          </rPr>
          <t>site/ video animado</t>
        </r>
      </text>
    </comment>
    <comment ref="B67" authorId="0" shapeId="0" xr:uid="{7695C477-881D-4634-90AF-10ABB6623ACB}">
      <text>
        <r>
          <rPr>
            <b/>
            <sz val="9"/>
            <color indexed="81"/>
            <rFont val="Segoe UI"/>
            <family val="2"/>
          </rPr>
          <t>G4
Action Coach
Planejamento estratégico empreende</t>
        </r>
      </text>
    </comment>
    <comment ref="J67" authorId="0" shapeId="0" xr:uid="{4F496A6A-3F12-4D64-9253-1707C727682C}">
      <text>
        <r>
          <rPr>
            <b/>
            <sz val="9"/>
            <color indexed="81"/>
            <rFont val="Segoe UI"/>
            <family val="2"/>
          </rPr>
          <t>Empreende</t>
        </r>
      </text>
    </comment>
    <comment ref="N67" authorId="0" shapeId="0" xr:uid="{E1FDF938-6337-438B-9439-CEDE07E1218E}">
      <text>
        <r>
          <rPr>
            <b/>
            <sz val="9"/>
            <color indexed="81"/>
            <rFont val="Segoe UI"/>
            <family val="2"/>
          </rPr>
          <t>Curso Insight + Startup Summit</t>
        </r>
      </text>
    </comment>
    <comment ref="X67" authorId="0" shapeId="0" xr:uid="{504DD114-6DD5-4C5B-A4C6-BC7B653C1503}">
      <text>
        <r>
          <rPr>
            <b/>
            <sz val="9"/>
            <color indexed="81"/>
            <rFont val="Segoe UI"/>
            <charset val="1"/>
          </rPr>
          <t>Curso Insight
Mentoria Darlan</t>
        </r>
      </text>
    </comment>
    <comment ref="N69" authorId="0" shapeId="0" xr:uid="{CFBC9DC7-6B6D-4F2B-A652-7FBF9FCDCFB7}">
      <text>
        <r>
          <rPr>
            <b/>
            <sz val="9"/>
            <color indexed="81"/>
            <rFont val="Segoe UI"/>
            <family val="2"/>
          </rPr>
          <t>Indenização 2 de julho</t>
        </r>
      </text>
    </comment>
    <comment ref="P69" authorId="0" shapeId="0" xr:uid="{A9D2E1E4-373C-49D7-AEAE-A019A219D3BC}">
      <text>
        <r>
          <rPr>
            <b/>
            <sz val="9"/>
            <color indexed="81"/>
            <rFont val="Segoe UI"/>
            <family val="2"/>
          </rPr>
          <t xml:space="preserve">Reembolso juros faturas Cassol
Reembolso sinistros ferrasso 27.690
</t>
        </r>
      </text>
    </comment>
    <comment ref="N71" authorId="0" shapeId="0" xr:uid="{DE13F56B-05D1-486F-9407-8E999683095F}">
      <text>
        <r>
          <rPr>
            <b/>
            <sz val="9"/>
            <color indexed="81"/>
            <rFont val="Segoe UI"/>
            <family val="2"/>
          </rPr>
          <t>Monitor/ 2 cj teclado e mouse/ suporte/ carregador/ equipamentos escritorio</t>
        </r>
      </text>
    </comment>
    <comment ref="P71" authorId="0" shapeId="0" xr:uid="{29DFD570-A3D5-4859-9C78-4D4C4B7C2725}">
      <text>
        <r>
          <rPr>
            <b/>
            <sz val="9"/>
            <color indexed="81"/>
            <rFont val="Segoe UI"/>
            <family val="2"/>
          </rPr>
          <t>Fones de ouvido, aparelho celular, adaptador</t>
        </r>
      </text>
    </comment>
    <comment ref="R71" authorId="0" shapeId="0" xr:uid="{D7CB6A0F-3C60-400B-8462-8EF8DD109A61}">
      <text>
        <r>
          <rPr>
            <b/>
            <sz val="9"/>
            <color indexed="81"/>
            <rFont val="Segoe UI"/>
            <family val="2"/>
          </rPr>
          <t>2 aparelhos celular 
1 notebook Luiz</t>
        </r>
      </text>
    </comment>
    <comment ref="V71" authorId="0" shapeId="0" xr:uid="{1300B7AB-D961-4848-AB74-CF4A4E1F9851}">
      <text>
        <r>
          <rPr>
            <b/>
            <sz val="9"/>
            <color indexed="81"/>
            <rFont val="Segoe UI"/>
            <family val="2"/>
          </rPr>
          <t>Notebook samsung
celular</t>
        </r>
      </text>
    </comment>
    <comment ref="D72" authorId="0" shapeId="0" xr:uid="{8957FF2B-2305-44D2-A82B-DB8D9BC979B1}">
      <text>
        <r>
          <rPr>
            <b/>
            <sz val="9"/>
            <color indexed="81"/>
            <rFont val="Segoe UI"/>
            <family val="2"/>
          </rPr>
          <t>Happy hour rita maria</t>
        </r>
      </text>
    </comment>
    <comment ref="J72" authorId="0" shapeId="0" xr:uid="{5E5A9468-3B64-4CF3-86C6-83BD256943BB}">
      <text>
        <r>
          <rPr>
            <b/>
            <sz val="9"/>
            <color rgb="FF000000"/>
            <rFont val="Segoe UI"/>
            <family val="2"/>
            <charset val="1"/>
          </rPr>
          <t>ADM: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Café da manhã visitas cia</t>
        </r>
      </text>
    </comment>
    <comment ref="N72" authorId="0" shapeId="0" xr:uid="{80E98962-19AA-4BF7-A1AB-747D4BECB4C5}">
      <text>
        <r>
          <rPr>
            <b/>
            <sz val="9"/>
            <color indexed="81"/>
            <rFont val="Segoe UI"/>
            <family val="2"/>
          </rPr>
          <t>Festa 6 anos Marine
integracao novos funcionários</t>
        </r>
      </text>
    </comment>
    <comment ref="X72" authorId="0" shapeId="0" xr:uid="{B04E5787-4A90-4882-8A2D-A6196ED25A14}">
      <text>
        <r>
          <rPr>
            <b/>
            <sz val="9"/>
            <color indexed="81"/>
            <rFont val="Segoe UI"/>
            <charset val="1"/>
          </rPr>
          <t>Musico festa
Reembolso Ana Cavon - carnes</t>
        </r>
      </text>
    </comment>
    <comment ref="B73" authorId="0" shapeId="0" xr:uid="{9DD8C8B2-4752-4D10-A688-D7CC4E9F7325}">
      <text>
        <r>
          <rPr>
            <b/>
            <sz val="9"/>
            <color indexed="81"/>
            <rFont val="Segoe UI"/>
            <family val="2"/>
          </rPr>
          <t>Panetone</t>
        </r>
      </text>
    </comment>
    <comment ref="D73" authorId="0" shapeId="0" xr:uid="{9E55562A-C833-4CAD-A173-20CF66849223}">
      <text>
        <r>
          <rPr>
            <sz val="9"/>
            <color indexed="81"/>
            <rFont val="Segoe UI"/>
            <family val="2"/>
          </rPr>
          <t xml:space="preserve">
Compra de 300 Alfajor</t>
        </r>
      </text>
    </comment>
    <comment ref="N74" authorId="0" shapeId="0" xr:uid="{F035E1BF-6F25-419F-9BE2-A9444EBEBF72}">
      <text>
        <r>
          <rPr>
            <b/>
            <sz val="9"/>
            <color indexed="81"/>
            <rFont val="Segoe UI"/>
            <family val="2"/>
          </rPr>
          <t>Limpeza ar condicionado</t>
        </r>
      </text>
    </comment>
    <comment ref="P74" authorId="0" shapeId="0" xr:uid="{0A44E929-0035-418F-A2EB-05CD84731062}">
      <text>
        <r>
          <rPr>
            <b/>
            <sz val="9"/>
            <color indexed="81"/>
            <rFont val="Segoe UI"/>
            <family val="2"/>
          </rPr>
          <t>Manutenção janelas e luz de emergencia - marida de aluguel</t>
        </r>
      </text>
    </comment>
    <comment ref="N77" authorId="0" shapeId="0" xr:uid="{84991AB3-F6A9-42BF-8694-C303386EB457}">
      <text>
        <r>
          <rPr>
            <b/>
            <sz val="9"/>
            <color indexed="81"/>
            <rFont val="Segoe UI"/>
            <family val="2"/>
          </rPr>
          <t>Envio presente Phaff</t>
        </r>
      </text>
    </comment>
    <comment ref="B79" authorId="0" shapeId="0" xr:uid="{0B938C3C-0AB2-4333-83B6-802A0C1222B8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D79" authorId="0" shapeId="0" xr:uid="{23456BB6-6686-4A31-8318-566080BB4240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H79" authorId="0" shapeId="0" xr:uid="{B75B35B7-F821-4136-BF7A-11C22E9C1341}">
      <text>
        <r>
          <rPr>
            <sz val="9"/>
            <color indexed="81"/>
            <rFont val="Segoe UI"/>
            <family val="2"/>
          </rPr>
          <t xml:space="preserve">
Sincor</t>
        </r>
      </text>
    </comment>
    <comment ref="A81" authorId="2" shapeId="0" xr:uid="{790FED32-D330-4E9C-8F95-E5A5CBDADA87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84" authorId="2" shapeId="0" xr:uid="{51C90AD8-1C56-4050-A842-1BC9FB5C34C5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H85" authorId="0" shapeId="0" xr:uid="{0EB8C9D3-2E10-4167-8389-0BF5B6E4408B}">
      <text>
        <r>
          <rPr>
            <b/>
            <sz val="9"/>
            <color indexed="81"/>
            <rFont val="Segoe UI"/>
            <family val="2"/>
          </rPr>
          <t>Recebimento AT Transportes</t>
        </r>
      </text>
    </comment>
    <comment ref="L106" authorId="0" shapeId="0" xr:uid="{251F711A-ECCA-46F1-B4A9-92B6E8022D6B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tc={625A2761-193A-4F82-895C-91E95E63E03A}</author>
    <author>Financeiro</author>
    <author>ADM</author>
  </authors>
  <commentList>
    <comment ref="N13" authorId="0" shapeId="0" xr:uid="{625A2761-193A-4F82-895C-91E95E63E03A}">
      <text>
        <t>[Threaded comment]
Your version of Excel allows you to read this threaded comment; however, any edits to it will get removed if the file is opened in a newer version of Excel. Learn more: https://go.microsoft.com/fwlink/?linkid=870924
Comment:
    Ciasc</t>
      </text>
    </comment>
    <comment ref="A73" authorId="1" shapeId="0" xr:uid="{89E25FA7-D61C-462E-92C5-8139ABC8DCDB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6" authorId="1" shapeId="0" xr:uid="{8F7DDA01-1A32-4D70-862E-F87D35239377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98" authorId="2" shapeId="0" xr:uid="{1714E8EA-1F02-408F-8625-37535617248C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sharedStrings.xml><?xml version="1.0" encoding="utf-8"?>
<sst xmlns="http://schemas.openxmlformats.org/spreadsheetml/2006/main" count="324" uniqueCount="151">
  <si>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</si>
  <si>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</si>
  <si>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</si>
  <si>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</si>
  <si>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</si>
  <si>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</si>
  <si>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</si>
  <si>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</si>
  <si>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</si>
  <si>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</si>
  <si>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</si>
  <si>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</si>
  <si>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</si>
  <si>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</si>
  <si>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Anual</t>
  </si>
  <si>
    <t>Meses</t>
  </si>
  <si>
    <t>FATURAMENTO</t>
  </si>
  <si>
    <t>Comissões</t>
  </si>
  <si>
    <t>Outras receitas/creditos</t>
    <phoneticPr fontId="0" type="noConversion"/>
  </si>
  <si>
    <t>Consultoria</t>
  </si>
  <si>
    <t>CUSTOS VARIÁVEIS</t>
  </si>
  <si>
    <t>Simples nacional</t>
  </si>
  <si>
    <t>Repasse Comissão</t>
  </si>
  <si>
    <t xml:space="preserve"> - Maria do Seguro</t>
  </si>
  <si>
    <t xml:space="preserve"> - Karina</t>
  </si>
  <si>
    <t xml:space="preserve"> - Carla</t>
  </si>
  <si>
    <t>MARGEM DE CONTRIBUIÇÃO</t>
  </si>
  <si>
    <t>CUSTOS FIXOS</t>
  </si>
  <si>
    <t>Condomínios</t>
  </si>
  <si>
    <t>Escritório Contábil</t>
  </si>
  <si>
    <t>Energia Elétrica</t>
  </si>
  <si>
    <t>Funcionários</t>
  </si>
  <si>
    <t xml:space="preserve"> - Salário</t>
  </si>
  <si>
    <t xml:space="preserve"> - Premiações</t>
  </si>
  <si>
    <t xml:space="preserve"> - Férias</t>
  </si>
  <si>
    <t xml:space="preserve"> - Décimo Terceiro</t>
  </si>
  <si>
    <t xml:space="preserve"> - Vale alimentação</t>
  </si>
  <si>
    <t xml:space="preserve"> - IRRF</t>
  </si>
  <si>
    <t xml:space="preserve"> - INSS</t>
  </si>
  <si>
    <t xml:space="preserve"> - FGTS</t>
  </si>
  <si>
    <t xml:space="preserve"> - Plano de saúde </t>
  </si>
  <si>
    <t xml:space="preserve"> - Plano odontológico</t>
  </si>
  <si>
    <t xml:space="preserve"> - Exames / consultas</t>
  </si>
  <si>
    <t>Pro Labore</t>
  </si>
  <si>
    <t xml:space="preserve"> - INSS socio</t>
  </si>
  <si>
    <t xml:space="preserve"> - IRRF socio</t>
  </si>
  <si>
    <t xml:space="preserve"> - Plano de saúde</t>
  </si>
  <si>
    <t>Comissão Socio</t>
  </si>
  <si>
    <t>Lucro</t>
  </si>
  <si>
    <t>Seguros</t>
  </si>
  <si>
    <t>Informatica</t>
  </si>
  <si>
    <t>Softwares</t>
  </si>
  <si>
    <t>Telefones Celulares</t>
  </si>
  <si>
    <t>Telefones Fixos/ Internet</t>
  </si>
  <si>
    <t>Material de consumo</t>
  </si>
  <si>
    <t>Material de limpeza</t>
  </si>
  <si>
    <t>Material de expediente</t>
  </si>
  <si>
    <t>Alimentacao</t>
  </si>
  <si>
    <t>Combustível</t>
  </si>
  <si>
    <t>Estacionamento/pedagio</t>
  </si>
  <si>
    <t>Hotel</t>
  </si>
  <si>
    <t>Aluguel veículo/ taxi</t>
  </si>
  <si>
    <t>Passagens</t>
  </si>
  <si>
    <t>Marketing</t>
  </si>
  <si>
    <t>Cursos e Treinamentos</t>
  </si>
  <si>
    <t>CUSTOS NÃO OPERACIONAIS</t>
  </si>
  <si>
    <t>Patrocinio</t>
  </si>
  <si>
    <t>Despesas bancarias - Tarifas e Taxas</t>
  </si>
  <si>
    <t>moveis/utensilios/equipamentos</t>
  </si>
  <si>
    <t>Eventos /Confraternização</t>
  </si>
  <si>
    <t>Presentes/ brindes</t>
  </si>
  <si>
    <t>Manutenção de instalações</t>
  </si>
  <si>
    <t>Materiais gráficos</t>
  </si>
  <si>
    <t>Emprestimo Badesc</t>
  </si>
  <si>
    <t>Outras  despesas</t>
  </si>
  <si>
    <t xml:space="preserve">RESULTADO </t>
  </si>
  <si>
    <t>Margem de Lucro</t>
  </si>
  <si>
    <t xml:space="preserve">Ponto Equilíbrio </t>
  </si>
  <si>
    <t xml:space="preserve">Total Despesas </t>
  </si>
  <si>
    <t>Aplicações</t>
  </si>
  <si>
    <t>Retirada Excedente</t>
  </si>
  <si>
    <t>Resultado - Investimentos - Retirada</t>
  </si>
  <si>
    <t>Margem de Lucro - Líquido</t>
  </si>
  <si>
    <t>Ponto Equilíbrio - Líquido</t>
  </si>
  <si>
    <t>Despesas - Total</t>
  </si>
  <si>
    <t>Composição de Saldos</t>
  </si>
  <si>
    <t>Banco Sicredi</t>
  </si>
  <si>
    <t>Caixa</t>
  </si>
  <si>
    <t>Aplicação automática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</si>
  <si>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</si>
  <si>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</si>
  <si>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</si>
  <si>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</si>
  <si>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</si>
  <si>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</si>
  <si>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</si>
  <si>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</si>
  <si>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</si>
  <si>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</si>
  <si>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</si>
  <si>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</si>
  <si>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</si>
  <si>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mês anterior</t>
  </si>
  <si>
    <t>Receita</t>
  </si>
  <si>
    <t>Despesas</t>
  </si>
  <si>
    <t>Pro labore</t>
  </si>
  <si>
    <t>Retirada</t>
  </si>
  <si>
    <t>Retirada excedente</t>
  </si>
  <si>
    <t>Investimento</t>
  </si>
  <si>
    <t>Saldo</t>
  </si>
  <si>
    <t xml:space="preserve"> - PPR</t>
  </si>
  <si>
    <t>Limpeza</t>
  </si>
  <si>
    <t xml:space="preserve">2023 - </t>
  </si>
  <si>
    <t xml:space="preserve"> - Auxílio Combustível</t>
  </si>
  <si>
    <t>Previsão</t>
  </si>
  <si>
    <t>Resultado</t>
  </si>
  <si>
    <t>Faturamento</t>
  </si>
  <si>
    <t>Margem de lucro</t>
  </si>
  <si>
    <t>Realizado</t>
  </si>
  <si>
    <t>Previsto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</si>
  <si>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</si>
  <si>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</si>
  <si>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</si>
  <si>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</si>
  <si>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</si>
  <si>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</si>
  <si>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</si>
  <si>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</si>
  <si>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</si>
  <si>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</si>
  <si>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</si>
  <si>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</si>
  <si>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- CIEE</t>
  </si>
  <si>
    <t>Advogados</t>
  </si>
  <si>
    <t xml:space="preserve"> </t>
  </si>
  <si>
    <t xml:space="preserve"> - Thayla</t>
  </si>
  <si>
    <t>Tráfego pago</t>
  </si>
  <si>
    <t>Endomarketing</t>
  </si>
  <si>
    <t>Correios</t>
  </si>
  <si>
    <t xml:space="preserve"> - Salário Comercial</t>
  </si>
  <si>
    <t xml:space="preserve"> - Alisson</t>
  </si>
  <si>
    <t xml:space="preserve"> - Marili</t>
  </si>
  <si>
    <t>Reembolso viagens</t>
  </si>
  <si>
    <t xml:space="preserve"> - Leonardo</t>
  </si>
  <si>
    <t xml:space="preserve"> - Anderson</t>
  </si>
  <si>
    <t xml:space="preserve"> - Gama Seguros</t>
  </si>
  <si>
    <t xml:space="preserve"> - Salário Dpto Sinistros</t>
  </si>
  <si>
    <t>Indenizações/ Reembolso/ patrocinio</t>
  </si>
  <si>
    <t xml:space="preserve"> - Ciee/ aprendiz</t>
  </si>
  <si>
    <t>Eventos/ Feiras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</si>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</sst>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R$ &quot;#,##0.0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CFFCC"/>
      </patternFill>
    </fill>
    <fill>
      <patternFill patternType="solid">
        <fgColor theme="3" tint="0.39997558519241921"/>
        <bgColor rgb="FF1B814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4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10" fontId="4" fillId="0" borderId="2" xfId="2" applyNumberFormat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9" fontId="7" fillId="0" borderId="2" xfId="2" applyFont="1" applyBorder="1" applyAlignment="1">
      <alignment horizontal="center"/>
    </xf>
    <xf numFmtId="10" fontId="8" fillId="0" borderId="1" xfId="0" applyNumberFormat="1" applyFont="1" applyBorder="1"/>
    <xf numFmtId="0" fontId="9" fillId="0" borderId="0" xfId="0" applyFont="1"/>
    <xf numFmtId="10" fontId="7" fillId="2" borderId="5" xfId="2" applyNumberFormat="1" applyFont="1" applyFill="1" applyBorder="1"/>
    <xf numFmtId="9" fontId="7" fillId="2" borderId="5" xfId="2" applyFont="1" applyFill="1" applyBorder="1"/>
    <xf numFmtId="0" fontId="9" fillId="0" borderId="6" xfId="0" applyFont="1" applyBorder="1"/>
    <xf numFmtId="4" fontId="9" fillId="0" borderId="7" xfId="0" applyNumberFormat="1" applyFont="1" applyBorder="1"/>
    <xf numFmtId="10" fontId="11" fillId="2" borderId="7" xfId="2" applyNumberFormat="1" applyFont="1" applyFill="1" applyBorder="1"/>
    <xf numFmtId="4" fontId="7" fillId="2" borderId="7" xfId="0" applyNumberFormat="1" applyFont="1" applyFill="1" applyBorder="1"/>
    <xf numFmtId="4" fontId="9" fillId="2" borderId="7" xfId="0" applyNumberFormat="1" applyFont="1" applyFill="1" applyBorder="1"/>
    <xf numFmtId="10" fontId="9" fillId="2" borderId="8" xfId="2" applyNumberFormat="1" applyFont="1" applyFill="1" applyBorder="1"/>
    <xf numFmtId="164" fontId="8" fillId="0" borderId="0" xfId="1" applyFont="1"/>
    <xf numFmtId="4" fontId="9" fillId="0" borderId="0" xfId="0" applyNumberFormat="1" applyFont="1"/>
    <xf numFmtId="4" fontId="9" fillId="3" borderId="7" xfId="0" applyNumberFormat="1" applyFont="1" applyFill="1" applyBorder="1"/>
    <xf numFmtId="4" fontId="9" fillId="3" borderId="8" xfId="0" applyNumberFormat="1" applyFont="1" applyFill="1" applyBorder="1"/>
    <xf numFmtId="10" fontId="11" fillId="0" borderId="7" xfId="2" applyNumberFormat="1" applyFont="1" applyFill="1" applyBorder="1"/>
    <xf numFmtId="10" fontId="9" fillId="2" borderId="7" xfId="2" applyNumberFormat="1" applyFont="1" applyFill="1" applyBorder="1"/>
    <xf numFmtId="0" fontId="9" fillId="4" borderId="0" xfId="0" applyFont="1" applyFill="1"/>
    <xf numFmtId="10" fontId="8" fillId="2" borderId="5" xfId="2" applyNumberFormat="1" applyFont="1" applyFill="1" applyBorder="1"/>
    <xf numFmtId="0" fontId="9" fillId="0" borderId="5" xfId="0" applyFont="1" applyBorder="1"/>
    <xf numFmtId="0" fontId="9" fillId="0" borderId="9" xfId="0" applyFont="1" applyBorder="1"/>
    <xf numFmtId="4" fontId="9" fillId="0" borderId="9" xfId="0" applyNumberFormat="1" applyFont="1" applyBorder="1"/>
    <xf numFmtId="0" fontId="9" fillId="0" borderId="12" xfId="0" applyFont="1" applyBorder="1"/>
    <xf numFmtId="4" fontId="9" fillId="0" borderId="12" xfId="0" applyNumberFormat="1" applyFont="1" applyBorder="1"/>
    <xf numFmtId="0" fontId="9" fillId="0" borderId="13" xfId="0" applyFont="1" applyBorder="1"/>
    <xf numFmtId="0" fontId="9" fillId="0" borderId="15" xfId="0" applyFont="1" applyBorder="1"/>
    <xf numFmtId="4" fontId="9" fillId="0" borderId="15" xfId="0" applyNumberFormat="1" applyFont="1" applyBorder="1"/>
    <xf numFmtId="0" fontId="9" fillId="0" borderId="16" xfId="0" applyFont="1" applyBorder="1"/>
    <xf numFmtId="0" fontId="9" fillId="0" borderId="19" xfId="0" applyFont="1" applyBorder="1"/>
    <xf numFmtId="4" fontId="9" fillId="0" borderId="19" xfId="0" applyNumberFormat="1" applyFont="1" applyBorder="1"/>
    <xf numFmtId="0" fontId="9" fillId="0" borderId="20" xfId="0" applyFont="1" applyBorder="1"/>
    <xf numFmtId="0" fontId="8" fillId="0" borderId="3" xfId="0" applyFont="1" applyBorder="1"/>
    <xf numFmtId="4" fontId="9" fillId="0" borderId="3" xfId="0" applyNumberFormat="1" applyFont="1" applyBorder="1"/>
    <xf numFmtId="0" fontId="9" fillId="0" borderId="3" xfId="0" applyFont="1" applyBorder="1"/>
    <xf numFmtId="164" fontId="8" fillId="0" borderId="3" xfId="1" applyFont="1" applyFill="1" applyBorder="1" applyAlignment="1">
      <alignment horizontal="right"/>
    </xf>
    <xf numFmtId="4" fontId="8" fillId="0" borderId="3" xfId="0" applyNumberFormat="1" applyFont="1" applyBorder="1"/>
    <xf numFmtId="0" fontId="8" fillId="0" borderId="0" xfId="0" applyFont="1"/>
    <xf numFmtId="164" fontId="8" fillId="0" borderId="0" xfId="1" applyFont="1" applyFill="1" applyBorder="1" applyAlignment="1">
      <alignment horizontal="right"/>
    </xf>
    <xf numFmtId="4" fontId="8" fillId="0" borderId="0" xfId="0" applyNumberFormat="1" applyFont="1"/>
    <xf numFmtId="0" fontId="8" fillId="0" borderId="22" xfId="0" applyFont="1" applyBorder="1"/>
    <xf numFmtId="4" fontId="12" fillId="5" borderId="19" xfId="0" applyNumberFormat="1" applyFont="1" applyFill="1" applyBorder="1" applyAlignment="1">
      <alignment horizontal="left" vertical="center" wrapText="1"/>
    </xf>
    <xf numFmtId="4" fontId="9" fillId="0" borderId="19" xfId="0" applyNumberFormat="1" applyFont="1" applyBorder="1" applyAlignment="1">
      <alignment horizontal="center"/>
    </xf>
    <xf numFmtId="164" fontId="9" fillId="0" borderId="19" xfId="1" applyFont="1" applyBorder="1" applyAlignment="1">
      <alignment horizontal="center"/>
    </xf>
    <xf numFmtId="164" fontId="9" fillId="0" borderId="19" xfId="1" applyFont="1" applyBorder="1"/>
    <xf numFmtId="4" fontId="12" fillId="5" borderId="24" xfId="0" applyNumberFormat="1" applyFont="1" applyFill="1" applyBorder="1" applyAlignment="1">
      <alignment horizontal="left" vertical="center" wrapText="1"/>
    </xf>
    <xf numFmtId="4" fontId="9" fillId="0" borderId="23" xfId="0" applyNumberFormat="1" applyFont="1" applyBorder="1" applyAlignment="1">
      <alignment horizontal="center"/>
    </xf>
    <xf numFmtId="164" fontId="9" fillId="0" borderId="23" xfId="1" applyFont="1" applyBorder="1" applyAlignment="1">
      <alignment horizontal="center"/>
    </xf>
    <xf numFmtId="164" fontId="9" fillId="0" borderId="23" xfId="1" applyFont="1" applyBorder="1"/>
    <xf numFmtId="0" fontId="9" fillId="0" borderId="23" xfId="0" applyFont="1" applyBorder="1"/>
    <xf numFmtId="4" fontId="12" fillId="5" borderId="25" xfId="0" applyNumberFormat="1" applyFont="1" applyFill="1" applyBorder="1" applyAlignment="1">
      <alignment horizontal="left" vertical="center" wrapText="1"/>
    </xf>
    <xf numFmtId="4" fontId="9" fillId="0" borderId="12" xfId="0" applyNumberFormat="1" applyFont="1" applyBorder="1" applyAlignment="1">
      <alignment horizontal="center"/>
    </xf>
    <xf numFmtId="0" fontId="9" fillId="0" borderId="26" xfId="0" applyFont="1" applyBorder="1"/>
    <xf numFmtId="164" fontId="9" fillId="0" borderId="12" xfId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2" xfId="1" applyFont="1" applyBorder="1"/>
    <xf numFmtId="0" fontId="13" fillId="5" borderId="0" xfId="0" applyFont="1" applyFill="1" applyAlignment="1">
      <alignment horizontal="left" vertical="center" wrapText="1"/>
    </xf>
    <xf numFmtId="0" fontId="9" fillId="0" borderId="27" xfId="0" applyFont="1" applyBorder="1"/>
    <xf numFmtId="0" fontId="0" fillId="0" borderId="29" xfId="0" applyBorder="1" applyAlignment="1">
      <alignment horizontal="left"/>
    </xf>
    <xf numFmtId="4" fontId="0" fillId="0" borderId="29" xfId="0" applyNumberFormat="1" applyBorder="1"/>
    <xf numFmtId="4" fontId="15" fillId="0" borderId="29" xfId="0" applyNumberFormat="1" applyFont="1" applyBorder="1"/>
    <xf numFmtId="164" fontId="0" fillId="0" borderId="0" xfId="0" applyNumberFormat="1"/>
    <xf numFmtId="10" fontId="7" fillId="6" borderId="5" xfId="2" applyNumberFormat="1" applyFont="1" applyFill="1" applyBorder="1"/>
    <xf numFmtId="4" fontId="14" fillId="7" borderId="29" xfId="0" applyNumberFormat="1" applyFont="1" applyFill="1" applyBorder="1"/>
    <xf numFmtId="0" fontId="14" fillId="7" borderId="29" xfId="0" applyFont="1" applyFill="1" applyBorder="1"/>
    <xf numFmtId="164" fontId="8" fillId="9" borderId="19" xfId="1" applyFont="1" applyFill="1" applyBorder="1"/>
    <xf numFmtId="164" fontId="2" fillId="9" borderId="19" xfId="1" applyFont="1" applyFill="1" applyBorder="1" applyAlignment="1">
      <alignment horizontal="center"/>
    </xf>
    <xf numFmtId="0" fontId="2" fillId="9" borderId="21" xfId="0" applyFont="1" applyFill="1" applyBorder="1"/>
    <xf numFmtId="43" fontId="2" fillId="9" borderId="19" xfId="0" applyNumberFormat="1" applyFont="1" applyFill="1" applyBorder="1" applyAlignment="1">
      <alignment horizontal="center"/>
    </xf>
    <xf numFmtId="164" fontId="2" fillId="9" borderId="19" xfId="1" applyFont="1" applyFill="1" applyBorder="1"/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/>
    <xf numFmtId="0" fontId="0" fillId="10" borderId="0" xfId="0" applyFill="1"/>
    <xf numFmtId="4" fontId="13" fillId="5" borderId="19" xfId="0" applyNumberFormat="1" applyFont="1" applyFill="1" applyBorder="1" applyAlignment="1">
      <alignment horizontal="center" vertical="center" wrapText="1"/>
    </xf>
    <xf numFmtId="4" fontId="13" fillId="5" borderId="23" xfId="0" applyNumberFormat="1" applyFont="1" applyFill="1" applyBorder="1" applyAlignment="1">
      <alignment horizontal="center" vertical="center" wrapText="1"/>
    </xf>
    <xf numFmtId="4" fontId="13" fillId="5" borderId="12" xfId="0" applyNumberFormat="1" applyFont="1" applyFill="1" applyBorder="1" applyAlignment="1">
      <alignment horizontal="center" vertical="center" wrapText="1"/>
    </xf>
    <xf numFmtId="164" fontId="0" fillId="0" borderId="0" xfId="1" applyFont="1"/>
    <xf numFmtId="9" fontId="0" fillId="0" borderId="0" xfId="0" applyNumberFormat="1"/>
    <xf numFmtId="4" fontId="0" fillId="0" borderId="0" xfId="0" applyNumberFormat="1"/>
    <xf numFmtId="9" fontId="9" fillId="0" borderId="0" xfId="0" applyNumberFormat="1" applyFont="1"/>
    <xf numFmtId="164" fontId="8" fillId="11" borderId="5" xfId="1" applyFont="1" applyFill="1" applyBorder="1"/>
    <xf numFmtId="0" fontId="4" fillId="12" borderId="1" xfId="0" applyFont="1" applyFill="1" applyBorder="1" applyAlignment="1">
      <alignment horizontal="left"/>
    </xf>
    <xf numFmtId="165" fontId="4" fillId="13" borderId="2" xfId="0" applyNumberFormat="1" applyFont="1" applyFill="1" applyBorder="1" applyAlignment="1">
      <alignment horizontal="center"/>
    </xf>
    <xf numFmtId="165" fontId="6" fillId="14" borderId="3" xfId="0" applyNumberFormat="1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10" fillId="14" borderId="0" xfId="0" applyFont="1" applyFill="1"/>
    <xf numFmtId="0" fontId="8" fillId="15" borderId="4" xfId="0" applyFont="1" applyFill="1" applyBorder="1" applyAlignment="1">
      <alignment horizontal="left"/>
    </xf>
    <xf numFmtId="4" fontId="8" fillId="15" borderId="5" xfId="0" applyNumberFormat="1" applyFont="1" applyFill="1" applyBorder="1"/>
    <xf numFmtId="0" fontId="8" fillId="15" borderId="5" xfId="0" applyFont="1" applyFill="1" applyBorder="1" applyAlignment="1">
      <alignment horizontal="left"/>
    </xf>
    <xf numFmtId="0" fontId="8" fillId="15" borderId="5" xfId="0" applyFont="1" applyFill="1" applyBorder="1"/>
    <xf numFmtId="0" fontId="8" fillId="15" borderId="9" xfId="0" applyFont="1" applyFill="1" applyBorder="1"/>
    <xf numFmtId="0" fontId="8" fillId="15" borderId="10" xfId="0" applyFont="1" applyFill="1" applyBorder="1"/>
    <xf numFmtId="0" fontId="8" fillId="15" borderId="14" xfId="0" applyFont="1" applyFill="1" applyBorder="1"/>
    <xf numFmtId="0" fontId="8" fillId="15" borderId="17" xfId="0" applyFont="1" applyFill="1" applyBorder="1"/>
    <xf numFmtId="4" fontId="8" fillId="15" borderId="6" xfId="0" applyNumberFormat="1" applyFont="1" applyFill="1" applyBorder="1"/>
    <xf numFmtId="9" fontId="8" fillId="15" borderId="6" xfId="2" applyFont="1" applyFill="1" applyBorder="1"/>
    <xf numFmtId="4" fontId="9" fillId="15" borderId="5" xfId="0" applyNumberFormat="1" applyFont="1" applyFill="1" applyBorder="1"/>
    <xf numFmtId="4" fontId="9" fillId="15" borderId="7" xfId="0" applyNumberFormat="1" applyFont="1" applyFill="1" applyBorder="1"/>
    <xf numFmtId="4" fontId="8" fillId="15" borderId="9" xfId="0" applyNumberFormat="1" applyFont="1" applyFill="1" applyBorder="1"/>
    <xf numFmtId="9" fontId="9" fillId="15" borderId="11" xfId="2" applyFont="1" applyFill="1" applyBorder="1"/>
    <xf numFmtId="4" fontId="9" fillId="15" borderId="15" xfId="0" applyNumberFormat="1" applyFont="1" applyFill="1" applyBorder="1"/>
    <xf numFmtId="4" fontId="9" fillId="15" borderId="18" xfId="0" applyNumberFormat="1" applyFont="1" applyFill="1" applyBorder="1"/>
    <xf numFmtId="4" fontId="3" fillId="15" borderId="7" xfId="0" applyNumberFormat="1" applyFont="1" applyFill="1" applyBorder="1"/>
    <xf numFmtId="9" fontId="9" fillId="15" borderId="12" xfId="2" applyFont="1" applyFill="1" applyBorder="1"/>
    <xf numFmtId="10" fontId="7" fillId="15" borderId="5" xfId="2" applyNumberFormat="1" applyFont="1" applyFill="1" applyBorder="1"/>
    <xf numFmtId="0" fontId="9" fillId="15" borderId="5" xfId="0" applyFont="1" applyFill="1" applyBorder="1"/>
    <xf numFmtId="10" fontId="11" fillId="15" borderId="7" xfId="2" applyNumberFormat="1" applyFont="1" applyFill="1" applyBorder="1"/>
    <xf numFmtId="4" fontId="9" fillId="15" borderId="9" xfId="0" applyNumberFormat="1" applyFont="1" applyFill="1" applyBorder="1"/>
    <xf numFmtId="4" fontId="9" fillId="15" borderId="12" xfId="0" applyNumberFormat="1" applyFont="1" applyFill="1" applyBorder="1"/>
    <xf numFmtId="4" fontId="9" fillId="15" borderId="19" xfId="0" applyNumberFormat="1" applyFont="1" applyFill="1" applyBorder="1"/>
    <xf numFmtId="164" fontId="9" fillId="15" borderId="5" xfId="1" applyFont="1" applyFill="1" applyBorder="1" applyAlignment="1">
      <alignment horizontal="center"/>
    </xf>
    <xf numFmtId="4" fontId="7" fillId="15" borderId="5" xfId="0" applyNumberFormat="1" applyFont="1" applyFill="1" applyBorder="1"/>
    <xf numFmtId="10" fontId="8" fillId="15" borderId="4" xfId="2" applyNumberFormat="1" applyFont="1" applyFill="1" applyBorder="1"/>
    <xf numFmtId="164" fontId="11" fillId="15" borderId="5" xfId="1" applyFont="1" applyFill="1" applyBorder="1"/>
    <xf numFmtId="164" fontId="8" fillId="15" borderId="5" xfId="1" applyFont="1" applyFill="1" applyBorder="1" applyAlignment="1">
      <alignment horizontal="right"/>
    </xf>
    <xf numFmtId="4" fontId="7" fillId="15" borderId="7" xfId="0" applyNumberFormat="1" applyFont="1" applyFill="1" applyBorder="1"/>
    <xf numFmtId="9" fontId="8" fillId="15" borderId="12" xfId="2" applyFont="1" applyFill="1" applyBorder="1" applyAlignment="1">
      <alignment horizontal="right"/>
    </xf>
    <xf numFmtId="164" fontId="8" fillId="15" borderId="15" xfId="1" applyFont="1" applyFill="1" applyBorder="1" applyAlignment="1">
      <alignment horizontal="right"/>
    </xf>
    <xf numFmtId="164" fontId="8" fillId="15" borderId="18" xfId="1" applyFont="1" applyFill="1" applyBorder="1" applyAlignment="1">
      <alignment horizontal="right"/>
    </xf>
    <xf numFmtId="164" fontId="9" fillId="15" borderId="5" xfId="0" applyNumberFormat="1" applyFont="1" applyFill="1" applyBorder="1"/>
    <xf numFmtId="9" fontId="8" fillId="15" borderId="12" xfId="2" applyFont="1" applyFill="1" applyBorder="1"/>
    <xf numFmtId="4" fontId="8" fillId="15" borderId="15" xfId="0" applyNumberFormat="1" applyFont="1" applyFill="1" applyBorder="1"/>
    <xf numFmtId="4" fontId="8" fillId="15" borderId="18" xfId="0" applyNumberFormat="1" applyFont="1" applyFill="1" applyBorder="1"/>
    <xf numFmtId="164" fontId="7" fillId="15" borderId="5" xfId="0" applyNumberFormat="1" applyFont="1" applyFill="1" applyBorder="1"/>
    <xf numFmtId="10" fontId="8" fillId="15" borderId="4" xfId="0" applyNumberFormat="1" applyFont="1" applyFill="1" applyBorder="1"/>
    <xf numFmtId="10" fontId="8" fillId="15" borderId="5" xfId="2" applyNumberFormat="1" applyFont="1" applyFill="1" applyBorder="1"/>
    <xf numFmtId="4" fontId="9" fillId="5" borderId="19" xfId="0" applyNumberFormat="1" applyFont="1" applyFill="1" applyBorder="1" applyAlignment="1">
      <alignment horizontal="center" vertical="center" wrapText="1"/>
    </xf>
    <xf numFmtId="4" fontId="9" fillId="5" borderId="23" xfId="0" applyNumberFormat="1" applyFont="1" applyFill="1" applyBorder="1" applyAlignment="1">
      <alignment horizontal="center" vertical="center" wrapText="1"/>
    </xf>
    <xf numFmtId="4" fontId="9" fillId="5" borderId="12" xfId="0" applyNumberFormat="1" applyFont="1" applyFill="1" applyBorder="1" applyAlignment="1">
      <alignment horizontal="center" vertical="center" wrapText="1"/>
    </xf>
    <xf numFmtId="10" fontId="8" fillId="15" borderId="6" xfId="2" applyNumberFormat="1" applyFont="1" applyFill="1" applyBorder="1"/>
    <xf numFmtId="166" fontId="8" fillId="15" borderId="6" xfId="2" applyNumberFormat="1" applyFont="1" applyFill="1" applyBorder="1"/>
    <xf numFmtId="166" fontId="7" fillId="2" borderId="5" xfId="2" applyNumberFormat="1" applyFont="1" applyFill="1" applyBorder="1"/>
    <xf numFmtId="166" fontId="7" fillId="15" borderId="5" xfId="2" applyNumberFormat="1" applyFont="1" applyFill="1" applyBorder="1"/>
    <xf numFmtId="4" fontId="3" fillId="0" borderId="7" xfId="0" applyNumberFormat="1" applyFont="1" applyBorder="1"/>
    <xf numFmtId="164" fontId="9" fillId="0" borderId="12" xfId="0" applyNumberFormat="1" applyFont="1" applyBorder="1"/>
    <xf numFmtId="4" fontId="12" fillId="5" borderId="23" xfId="0" applyNumberFormat="1" applyFont="1" applyFill="1" applyBorder="1" applyAlignment="1">
      <alignment horizontal="left" vertical="center" wrapText="1"/>
    </xf>
    <xf numFmtId="4" fontId="12" fillId="5" borderId="1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0000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  <a:p>
            <a:pPr>
              <a:defRPr/>
            </a:pPr>
            <a:r>
              <a:rPr lang="pt-BR"/>
              <a:t>previsto x</a:t>
            </a:r>
            <a:r>
              <a:rPr lang="pt-BR" baseline="0"/>
              <a:t> realizado</a:t>
            </a:r>
            <a:endParaRPr lang="pt-BR"/>
          </a:p>
        </c:rich>
      </c:tx>
      <c:layout>
        <c:manualLayout>
          <c:xMode val="edge"/>
          <c:yMode val="edge"/>
          <c:x val="0.37608940452327344"/>
          <c:y val="1.275917065390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Comparativo!$B$3:$B$14</c:f>
              <c:numCache>
                <c:formatCode>_-* #,##0.00_-;\-* #,##0.00_-;_-* "-"??_-;_-@_-</c:formatCode>
                <c:ptCount val="12"/>
                <c:pt idx="0">
                  <c:v>215626</c:v>
                </c:pt>
                <c:pt idx="1">
                  <c:v>231026</c:v>
                </c:pt>
                <c:pt idx="2">
                  <c:v>268830</c:v>
                </c:pt>
                <c:pt idx="3">
                  <c:v>303857</c:v>
                </c:pt>
                <c:pt idx="4">
                  <c:v>369948</c:v>
                </c:pt>
                <c:pt idx="5">
                  <c:v>364515</c:v>
                </c:pt>
                <c:pt idx="6">
                  <c:v>293877</c:v>
                </c:pt>
                <c:pt idx="7">
                  <c:v>260337</c:v>
                </c:pt>
                <c:pt idx="8">
                  <c:v>315491</c:v>
                </c:pt>
                <c:pt idx="9">
                  <c:v>267387</c:v>
                </c:pt>
                <c:pt idx="10">
                  <c:v>355415</c:v>
                </c:pt>
                <c:pt idx="11">
                  <c:v>284340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2C8-9F30-3134B79C9C4D}"/>
            </c:ext>
          </c:extLst>
        </c:ser>
        <c:ser>
          <c:idx val="1"/>
          <c:order val="1"/>
          <c:tx>
            <c:strRef>
              <c:f>Comparativo!$C$2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Comparativo!$C$3:$C$14</c:f>
              <c:numCache>
                <c:formatCode>_-* #,##0.00_-;\-* #,##0.00_-;_-* "-"??_-;_-@_-</c:formatCode>
                <c:ptCount val="12"/>
                <c:pt idx="0">
                  <c:v>207034.36</c:v>
                </c:pt>
                <c:pt idx="1">
                  <c:v>207430.62</c:v>
                </c:pt>
                <c:pt idx="2">
                  <c:v>212552.53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2C8-9F30-3134B79C9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7691503"/>
        <c:axId val="107680687"/>
      </c:barChart>
      <c:catAx>
        <c:axId val="1076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0687"/>
        <c:crosses val="autoZero"/>
        <c:auto val="1"/>
        <c:lblAlgn val="ctr"/>
        <c:lblOffset val="100"/>
        <c:noMultiLvlLbl val="0"/>
      </c:catAx>
      <c:valAx>
        <c:axId val="107680687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1076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Margem de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Comparativo!$B$58:$B$59</c:f>
              <c:strCache>
                <c:ptCount val="2"/>
                <c:pt idx="0">
                  <c:v>Margem de lucro</c:v>
                </c:pt>
                <c:pt idx="1">
                  <c:v>Previsão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Comparativo!$B$60:$B$72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B00-48CC-BD09-9B6CFCA48115}"/>
            </c:ext>
          </c:extLst>
        </c:ser>
        <c:ser>
          <c:idx val="1"/>
          <c:order val="1"/>
          <c:tx>
            <c:strRef>
              <c:f>Comparativo!$C$58:$C$59</c:f>
              <c:strCache>
                <c:ptCount val="2"/>
                <c:pt idx="0">
                  <c:v>Margem de lucro</c:v>
                </c:pt>
                <c:pt idx="1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Comparativo!$C$60:$C$72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B00-48CC-BD09-9B6CFCA48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28613904"/>
        <c:axId val="628608496"/>
        <c:axId val="0"/>
      </c:bar3DChart>
      <c:catAx>
        <c:axId val="6286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08496"/>
        <c:crosses val="autoZero"/>
        <c:auto val="1"/>
        <c:lblAlgn val="ctr"/>
        <c:lblOffset val="100"/>
        <c:noMultiLvlLbl val="0"/>
      </c:catAx>
      <c:valAx>
        <c:axId val="628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988370524830643E-2"/>
          <c:y val="8.7966236932235903E-2"/>
          <c:w val="0.81357432593653067"/>
          <c:h val="0.84030354582734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Comparativo!$B$26:$B$27</c:f>
              <c:strCache>
                <c:ptCount val="2"/>
                <c:pt idx="0">
                  <c:v>Resultado</c:v>
                </c:pt>
                <c:pt idx="1">
                  <c:v>Previsto</c:v>
                </c:pt>
              </c:strCache>
            </c:strRef>
          </c:tx>
          <c:spPr>
            <a:solidFill>
              <a:srgbClr val="A8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Comparativo!$B$28:$B$39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F7-4BD5-BD99-C5C190B9419A}"/>
            </c:ext>
          </c:extLst>
        </c:ser>
        <c:ser>
          <c:idx val="1"/>
          <c:order val="1"/>
          <c:tx>
            <c:strRef>
              <c:f>Comparativo!$C$26:$C$27</c:f>
              <c:strCache>
                <c:ptCount val="2"/>
                <c:pt idx="0">
                  <c:v>Resultado</c:v>
                </c:pt>
                <c:pt idx="1">
                  <c:v>Realizado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Comparativo!$C$28:$C$39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F7-4BD5-BD99-C5C190B9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3946384"/>
        <c:axId val="733948464"/>
      </c:barChart>
      <c:catAx>
        <c:axId val="7339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8464"/>
        <c:crosses val="autoZero"/>
        <c:auto val="1"/>
        <c:lblAlgn val="ctr"/>
        <c:lblOffset val="100"/>
        <c:noMultiLvlLbl val="0"/>
      </c:catAx>
      <c:valAx>
        <c:axId val="73394846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339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Custos variaveis x custos fixos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23-425A-9647-22A1EB407896}"/>
            </c:ext>
          </c:extLst>
        </c:ser>
        <c:ser>
          <c:idx val="1"/>
          <c:order val="1"/>
          <c:tx>
            <c:v>Custos Variáveis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23-425A-9647-22A1EB407896}"/>
            </c:ext>
          </c:extLst>
        </c:ser>
        <c:ser>
          <c:idx val="2"/>
          <c:order val="2"/>
          <c:tx>
            <c:v>Custos Fixos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23-425A-9647-22A1EB407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1302512"/>
        <c:axId val="1891304592"/>
      </c:barChart>
      <c:catAx>
        <c:axId val="18913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04592"/>
        <c:crosses val="autoZero"/>
        <c:auto val="1"/>
        <c:lblAlgn val="ctr"/>
        <c:lblOffset val="100"/>
        <c:noMultiLvlLbl val="0"/>
      </c:catAx>
      <c:valAx>
        <c:axId val="189130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22794313109006"/>
          <c:y val="0.1171501272264631"/>
          <c:w val="0.45927480834395118"/>
          <c:h val="5.7252309110216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Distribuição do Faturamento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18-4EC4-A1C2-E1F5B40782DD}"/>
              </c:ext>
            </c:extLst>
          </c:dPt>
          <c:dPt>
            <c:idx val="1"/>
            <c:bubble3D val="0"/>
            <c:spPr>
              <a:solidFill>
                <a:srgbClr val="A8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18-4EC4-A1C2-E1F5B40782D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18-4EC4-A1C2-E1F5B40782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918-4EC4-A1C2-E1F5B40782DD}"/>
              </c:ext>
            </c:extLst>
          </c:dPt>
          <c:dLbls>
            <c:dLbl>
              <c:idx val="0"/>
              <c:layout>
                <c:manualLayout>
                  <c:x val="8.4461314255202813E-3"/>
                  <c:y val="3.4755846530419653E-2"/>
                </c:manualLayout>
              </c:layout>
              <c:tx>
                <c:rich>
                  <a:bodyPr/>
                  <a:lstStyle/>
                  <a:p>
                    <a:fld id="{E400265D-7EB0-4D52-A6A1-FFC1020B0F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4841FC21-114E-4273-8321-059FF6FAC9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1E97D21E-BDF7-482D-9931-5623E25A2DA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18-4EC4-A1C2-E1F5B40782DD}"/>
                </c:ext>
              </c:extLst>
            </c:dLbl>
            <c:dLbl>
              <c:idx val="1"/>
              <c:layout>
                <c:manualLayout>
                  <c:x val="4.5179429343284817E-2"/>
                  <c:y val="-4.8993718481818986E-2"/>
                </c:manualLayout>
              </c:layout>
              <c:tx>
                <c:rich>
                  <a:bodyPr/>
                  <a:lstStyle/>
                  <a:p>
                    <a:fld id="{1E518397-81F1-4CB0-92F1-7587D8843B2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B21C7E5-B046-4FA2-8E38-24D2C96CFF41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AD39E0AE-C0FD-410F-86FB-475B50C76DC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18-4EC4-A1C2-E1F5B40782DD}"/>
                </c:ext>
              </c:extLst>
            </c:dLbl>
            <c:dLbl>
              <c:idx val="2"/>
              <c:layout>
                <c:manualLayout>
                  <c:x val="7.2558274193821022E-3"/>
                  <c:y val="3.39999410186086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63ACF8-FE72-41FC-87B8-993769A5FFA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366231C7-2254-44D4-ABBB-46817C65BB59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6064DBC4-27EF-424E-A2D7-B8749AD3D8F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39991398488016"/>
                      <c:h val="0.113767790262172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18-4EC4-A1C2-E1F5B40782DD}"/>
                </c:ext>
              </c:extLst>
            </c:dLbl>
            <c:dLbl>
              <c:idx val="3"/>
              <c:layout>
                <c:manualLayout>
                  <c:x val="4.8771585762348482E-2"/>
                  <c:y val="-3.37217847769029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043BA3-7C26-4829-AAA7-F06B99516C7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1AB21D8D-7CE5-4E07-AC2F-5BBD31061738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pPr>
                      <a:defRPr/>
                    </a:pPr>
                    <a:fld id="{C272E9B4-1FD0-42C1-87F9-48DFE8DE547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34508169274886"/>
                      <c:h val="0.107820342681883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18-4EC4-A1C2-E1F5B4078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(Resultado!$A$6,Resultado!$A$20,Resultado!$A$68,Resultado!$A$80)</c:f>
              <c:strCache>
                <c:ptCount val="4"/>
                <c:pt idx="0">
                  <c:v>CUSTOS VARIÁVEIS</c:v>
                </c:pt>
                <c:pt idx="1">
                  <c:v>CUSTOS FIXOS</c:v>
                </c:pt>
                <c:pt idx="2">
                  <c:v>CUSTOS NÃO OPERACIONAIS</c:v>
                </c:pt>
                <c:pt idx="3">
                  <c:v>RESULTADO </c:v>
                </c:pt>
              </c:strCache>
            </c:strRef>
          </c:cat>
          <c:val>
            <c:numRef>
              <c:f>(Resultado!$AB$6,Resultado!$AB$20,Resultado!$AB$68,Resultado!$AB$80)</c:f>
              <c:numCache>
                <c:formatCode>#,##0.00</c:formatCode>
                <c:ptCount val="4"/>
                <c:pt idx="0">
                  <c:v>567773.05999999994</c:v>
                </c:pt>
                <c:pt idx="1">
                  <c:v>1415084.3199999998</c:v>
                </c:pt>
                <c:pt idx="2">
                  <c:v>125614.36000000002</c:v>
                </c:pt>
                <c:pt idx="3">
                  <c:v>893047.12999999977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8-4EC4-A1C2-E1F5B4078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0</xdr:row>
      <xdr:rowOff>152401</xdr:rowOff>
    </xdr:from>
    <xdr:to>
      <xdr:col>16</xdr:col>
      <xdr:colOff>190501</xdr:colOff>
      <xdr:row>22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F0588-76C8-CA4E-D726-658BE597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53</xdr:row>
      <xdr:rowOff>4762</xdr:rowOff>
    </xdr:from>
    <xdr:to>
      <xdr:col>16</xdr:col>
      <xdr:colOff>476250</xdr:colOff>
      <xdr:row>72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723A6-B4E0-82AA-149D-58ADCDF7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25</xdr:row>
      <xdr:rowOff>23812</xdr:rowOff>
    </xdr:from>
    <xdr:to>
      <xdr:col>17</xdr:col>
      <xdr:colOff>142875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43F730-9558-4DC6-D2E6-B119CB2F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304799</xdr:colOff>
      <xdr:row>74</xdr:row>
      <xdr:rowOff>152401</xdr:rowOff>
    </xdr:from>
    <xdr:to>
      <xdr:col>18</xdr:col>
      <xdr:colOff>314324</xdr:colOff>
      <xdr:row>95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99A5DB-861A-4902-8B88-635AFC3A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180974</xdr:colOff>
      <xdr:row>99</xdr:row>
      <xdr:rowOff>28575</xdr:rowOff>
    </xdr:from>
    <xdr:to>
      <xdr:col>16</xdr:col>
      <xdr:colOff>352425</xdr:colOff>
      <xdr:row>121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82979C-C4D3-46FF-9686-5DEF8E4C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len Lima" id="{A5A162FC-7173-4FA5-907B-D078F3ED5D05}" userId="72ebcf8c14a40756" providerId="Windows Live"/>
  <person displayName="Luiz Fernando Alovisi" id="{F105DE8D-80B7-4508-B7E2-DE929E34F917}" userId="dd9b424165010a5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" dT="2024-09-04T13:47:05.99" personId="{F105DE8D-80B7-4508-B7E2-DE929E34F917}" id="{85191905-DD7D-4886-8123-A3FB34DB5BD5}">
    <text>200 TRN e 30 RE</text>
  </threadedComment>
  <threadedComment ref="T3" dT="2024-10-09T12:32:25.44" personId="{A5A162FC-7173-4FA5-907B-D078F3ED5D05}" id="{82205CC6-10FC-403D-8B3A-F08A935A723F}" parentId="{85191905-DD7D-4886-8123-A3FB34DB5BD5}">
    <text>211 trn + 24k previsto recebimento RE  - Nelson, Portoex e Olsen, recebidos em setembro (mês do fechamento)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3" dT="2023-06-12T19:20:43.92" personId="{F105DE8D-80B7-4508-B7E2-DE929E34F917}" id="{625A2761-193A-4F82-895C-91E95E63E03A}">
    <text>Ciasc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6A65-ABCF-4294-95E4-C5E452CDF94A}">
  <dimension ref="A1:DZ119"/>
  <sheetViews>
    <sheetView tabSelected="1" workbookViewId="0">
      <pane xSplit="1" ySplit="1" topLeftCell="O68" activePane="bottomRight" state="frozen"/>
      <selection pane="topRight" activeCell="B1" sqref="B1"/>
      <selection pane="bottomLeft" activeCell="A2" sqref="A2"/>
      <selection pane="bottomRight" activeCell="A80" sqref="A80:XFD80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83"/>
      <c r="B1" s="84" t="s">
        <v>0</v>
      </c>
      <c r="C1" s="1" t="s">
        <v>1</v>
      </c>
      <c r="D1" s="84" t="s">
        <v>2</v>
      </c>
      <c r="E1" s="1" t="s">
        <v>1</v>
      </c>
      <c r="F1" s="84" t="s">
        <v>3</v>
      </c>
      <c r="G1" s="1" t="s">
        <v>1</v>
      </c>
      <c r="H1" s="84" t="s">
        <v>4</v>
      </c>
      <c r="I1" s="1" t="s">
        <v>1</v>
      </c>
      <c r="J1" s="84" t="s">
        <v>5</v>
      </c>
      <c r="K1" s="2" t="s">
        <v>1</v>
      </c>
      <c r="L1" s="84" t="s">
        <v>6</v>
      </c>
      <c r="M1" s="2" t="s">
        <v>1</v>
      </c>
      <c r="N1" s="84" t="s">
        <v>7</v>
      </c>
      <c r="O1" s="2" t="s">
        <v>1</v>
      </c>
      <c r="P1" s="84" t="s">
        <v>8</v>
      </c>
      <c r="Q1" s="2" t="s">
        <v>1</v>
      </c>
      <c r="R1" s="84" t="s">
        <v>9</v>
      </c>
      <c r="S1" s="2" t="s">
        <v>1</v>
      </c>
      <c r="T1" s="84" t="s">
        <v>10</v>
      </c>
      <c r="U1" s="2" t="s">
        <v>1</v>
      </c>
      <c r="V1" s="84" t="s">
        <v>11</v>
      </c>
      <c r="W1" s="2" t="s">
        <v>1</v>
      </c>
      <c r="X1" s="84" t="s">
        <v>12</v>
      </c>
      <c r="Y1" s="2" t="s">
        <v>1</v>
      </c>
      <c r="Z1" s="85" t="s">
        <v>13</v>
      </c>
      <c r="AA1" s="3" t="s">
        <v>1</v>
      </c>
      <c r="AB1" s="86" t="s">
        <v>14</v>
      </c>
      <c r="AC1" s="4"/>
      <c r="AD1" s="5"/>
      <c r="AE1" s="87" t="s">
        <v>15</v>
      </c>
    </row>
    <row r="2" spans="1:130" x14ac:dyDescent="0.2">
      <c r="A2" s="88" t="s">
        <v>16</v>
      </c>
      <c r="B2" s="89">
        <f>SUM(B3:B5)</f>
        <v>207034.36</v>
      </c>
      <c r="C2" s="6">
        <v>1</v>
      </c>
      <c r="D2" s="89">
        <f>SUM(D3:D4)</f>
        <v>207430.62</v>
      </c>
      <c r="E2" s="6">
        <v>1</v>
      </c>
      <c r="F2" s="89">
        <f>SUM(F3:F5)</f>
        <v>212552.53</v>
      </c>
      <c r="G2" s="6">
        <v>1</v>
      </c>
      <c r="H2" s="89">
        <f>SUM(H3:H5)</f>
        <v>221310.41999999998</v>
      </c>
      <c r="I2" s="6">
        <v>1</v>
      </c>
      <c r="J2" s="89">
        <f>SUM(J3:J5)</f>
        <v>219838.32</v>
      </c>
      <c r="K2" s="6">
        <v>1</v>
      </c>
      <c r="L2" s="89">
        <f>SUM(L3:L5)</f>
        <v>235581.43</v>
      </c>
      <c r="M2" s="6">
        <v>1</v>
      </c>
      <c r="N2" s="89">
        <f>SUM(N3:N5)</f>
        <v>268021.3</v>
      </c>
      <c r="O2" s="6">
        <v>1</v>
      </c>
      <c r="P2" s="89">
        <f>SUM(P3:P5)</f>
        <v>264906.08999999997</v>
      </c>
      <c r="Q2" s="6">
        <v>1</v>
      </c>
      <c r="R2" s="89">
        <f>SUM(R3:R5)</f>
        <v>331956.57</v>
      </c>
      <c r="S2" s="6">
        <v>1</v>
      </c>
      <c r="T2" s="89">
        <f>SUM(T3:T5)</f>
        <v>267180.95</v>
      </c>
      <c r="U2" s="6">
        <v>1</v>
      </c>
      <c r="V2" s="89">
        <f>SUM(V3:V5)</f>
        <v>267109.18</v>
      </c>
      <c r="W2" s="6">
        <v>1</v>
      </c>
      <c r="X2" s="89">
        <f>SUM(X3:X5)</f>
        <v>298597.10000000003</v>
      </c>
      <c r="Y2" s="6">
        <v>1</v>
      </c>
      <c r="Z2" s="125">
        <f t="shared" ref="Z2:Z24" si="0">(B2+D2+F2+H2+J2+L2+N2+P2+R2+T2+V2+X2)/AE$2</f>
        <v>250126.57250000001</v>
      </c>
      <c r="AA2" s="7">
        <v>1</v>
      </c>
      <c r="AB2" s="89">
        <f>SUM(AB3:AB5)</f>
        <v>3001518.8699999996</v>
      </c>
      <c r="AC2" s="126">
        <v>1</v>
      </c>
      <c r="AD2" s="8"/>
      <c r="AE2" s="82">
        <f>COUNTIF(B2:Y2,"&gt;1")</f>
        <v>12</v>
      </c>
    </row>
    <row r="3" spans="1:130" x14ac:dyDescent="0.2">
      <c r="A3" s="9" t="s">
        <v>17</v>
      </c>
      <c r="B3" s="9">
        <v>207034.36</v>
      </c>
      <c r="C3" s="10">
        <f t="shared" ref="C3:C73" si="1">B3/B$2</f>
        <v>1</v>
      </c>
      <c r="D3" s="9">
        <v>202427.8</v>
      </c>
      <c r="E3" s="10">
        <f t="shared" ref="E3:E18" si="2">D3/D$2</f>
        <v>0.97588195995364613</v>
      </c>
      <c r="F3" s="9">
        <v>209491.52</v>
      </c>
      <c r="G3" s="10">
        <f t="shared" ref="G3:G73" si="3">F3/F$2</f>
        <v>0.98559880703372471</v>
      </c>
      <c r="H3" s="9">
        <v>197889.49</v>
      </c>
      <c r="I3" s="10">
        <f t="shared" ref="I3:I73" si="4">H3/H$2</f>
        <v>0.89417158939014263</v>
      </c>
      <c r="J3" s="9">
        <v>219838.32</v>
      </c>
      <c r="K3" s="10">
        <f t="shared" ref="K3:K30" si="5">J3/J$2</f>
        <v>1</v>
      </c>
      <c r="L3" s="9">
        <v>223411.96</v>
      </c>
      <c r="M3" s="10">
        <f t="shared" ref="M3:M18" si="6">L3/L$2</f>
        <v>0.94834282990811292</v>
      </c>
      <c r="N3" s="9">
        <v>268021.3</v>
      </c>
      <c r="O3" s="10">
        <f t="shared" ref="O3:O73" si="7">N3/N$2</f>
        <v>1</v>
      </c>
      <c r="P3" s="9">
        <v>237236.09</v>
      </c>
      <c r="Q3" s="10">
        <f t="shared" ref="Q3:Q73" si="8">P3/P$2</f>
        <v>0.89554789019761694</v>
      </c>
      <c r="R3" s="9">
        <v>271544.57</v>
      </c>
      <c r="S3" s="10">
        <f t="shared" ref="S3:S73" si="9">R3/R$2</f>
        <v>0.81801233818026253</v>
      </c>
      <c r="T3" s="9">
        <v>267180.95</v>
      </c>
      <c r="U3" s="10">
        <f t="shared" ref="U3:U73" si="10">T3/T$2</f>
        <v>1</v>
      </c>
      <c r="V3" s="9">
        <v>267109.18</v>
      </c>
      <c r="W3" s="10">
        <f t="shared" ref="W3:W73" si="11">V3/V$2</f>
        <v>1</v>
      </c>
      <c r="X3" s="9">
        <v>296695.27</v>
      </c>
      <c r="Y3" s="10">
        <f t="shared" ref="Y3:Y73" si="12">X3/X$2</f>
        <v>0.99363078208060285</v>
      </c>
      <c r="Z3" s="11">
        <f t="shared" si="0"/>
        <v>238990.06750000003</v>
      </c>
      <c r="AA3" s="10">
        <f t="shared" ref="AA3:AA82" si="13">Z3/Z$2</f>
        <v>0.95547652179178211</v>
      </c>
      <c r="AB3" s="12">
        <f>L3+N3+P3+R3+T3+V3+X3+J3+H3+F3+D3+B3</f>
        <v>2867880.8099999996</v>
      </c>
      <c r="AC3" s="13">
        <f>AB3/AB$2</f>
        <v>0.955476521791782</v>
      </c>
      <c r="AD3" s="5"/>
      <c r="AE3" s="14"/>
    </row>
    <row r="4" spans="1:130" x14ac:dyDescent="0.2">
      <c r="A4" s="9" t="s">
        <v>18</v>
      </c>
      <c r="B4" s="9"/>
      <c r="C4" s="10">
        <f t="shared" si="1"/>
        <v>0</v>
      </c>
      <c r="D4" s="9">
        <v>5002.82</v>
      </c>
      <c r="E4" s="10">
        <f t="shared" si="2"/>
        <v>2.411804004635381E-2</v>
      </c>
      <c r="F4" s="9">
        <v>3061.01</v>
      </c>
      <c r="G4" s="10">
        <f t="shared" si="3"/>
        <v>1.4401192966275209E-2</v>
      </c>
      <c r="H4" s="9">
        <v>23420.93</v>
      </c>
      <c r="I4" s="10">
        <f t="shared" si="4"/>
        <v>0.10582841060985743</v>
      </c>
      <c r="J4" s="9"/>
      <c r="K4" s="10">
        <f t="shared" si="5"/>
        <v>0</v>
      </c>
      <c r="L4" s="9">
        <f>12169.47</f>
        <v>12169.47</v>
      </c>
      <c r="M4" s="10">
        <f t="shared" si="6"/>
        <v>5.1657170091887125E-2</v>
      </c>
      <c r="N4" s="9"/>
      <c r="O4" s="10">
        <f t="shared" si="7"/>
        <v>0</v>
      </c>
      <c r="P4" s="9">
        <v>27670</v>
      </c>
      <c r="Q4" s="10">
        <f t="shared" si="8"/>
        <v>0.10445210980238319</v>
      </c>
      <c r="R4" s="9">
        <v>60412</v>
      </c>
      <c r="S4" s="10">
        <f t="shared" si="9"/>
        <v>0.18198766181973744</v>
      </c>
      <c r="T4" s="9"/>
      <c r="U4" s="10">
        <f t="shared" si="10"/>
        <v>0</v>
      </c>
      <c r="V4" s="135"/>
      <c r="W4" s="10">
        <f t="shared" si="11"/>
        <v>0</v>
      </c>
      <c r="X4" s="9">
        <v>1901.83</v>
      </c>
      <c r="Y4" s="10">
        <f t="shared" si="12"/>
        <v>6.3692179193970732E-3</v>
      </c>
      <c r="Z4" s="11">
        <f t="shared" si="0"/>
        <v>11136.504999999999</v>
      </c>
      <c r="AA4" s="10">
        <f t="shared" si="13"/>
        <v>4.4523478208217955E-2</v>
      </c>
      <c r="AB4" s="12">
        <f>L4+N4+P4+R4+T4+V4+X4+J4+H4+F4+D4+B4</f>
        <v>133638.06</v>
      </c>
      <c r="AC4" s="13">
        <f>AB4/AB$2</f>
        <v>4.4523478208217969E-2</v>
      </c>
      <c r="AD4" s="5"/>
      <c r="AE4" s="14"/>
    </row>
    <row r="5" spans="1:130" x14ac:dyDescent="0.2">
      <c r="A5" s="9" t="s">
        <v>19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3">
        <f>AB5/AB$2</f>
        <v>0</v>
      </c>
      <c r="AD5" s="5"/>
      <c r="AE5" s="14"/>
    </row>
    <row r="6" spans="1:130" x14ac:dyDescent="0.2">
      <c r="A6" s="88" t="s">
        <v>20</v>
      </c>
      <c r="B6" s="89">
        <f>SUBTOTAL(9,B7:B18)</f>
        <v>39300.559999999998</v>
      </c>
      <c r="C6" s="6">
        <f t="shared" si="1"/>
        <v>0.18982626845128509</v>
      </c>
      <c r="D6" s="89">
        <f>SUBTOTAL(9,D7:D18)</f>
        <v>35473.56</v>
      </c>
      <c r="E6" s="6">
        <f t="shared" si="2"/>
        <v>0.17101409618309968</v>
      </c>
      <c r="F6" s="89">
        <f>SUBTOTAL(9,F7:F18)</f>
        <v>34864.62000000001</v>
      </c>
      <c r="G6" s="6">
        <f t="shared" si="3"/>
        <v>0.16402825221605224</v>
      </c>
      <c r="H6" s="89">
        <f>SUBTOTAL(9,H7:H18)</f>
        <v>37175.65</v>
      </c>
      <c r="I6" s="6">
        <f t="shared" si="4"/>
        <v>0.16797966403931638</v>
      </c>
      <c r="J6" s="89">
        <f>SUBTOTAL(9,J7:J18)</f>
        <v>38437.709999999992</v>
      </c>
      <c r="K6" s="6">
        <f t="shared" si="5"/>
        <v>0.17484535908025495</v>
      </c>
      <c r="L6" s="89">
        <f>SUBTOTAL(9,L7:L18)</f>
        <v>46830.87</v>
      </c>
      <c r="M6" s="6">
        <f t="shared" si="6"/>
        <v>0.19878846138254616</v>
      </c>
      <c r="N6" s="89">
        <f>SUBTOTAL(9,N7:N18)</f>
        <v>46069.310000000005</v>
      </c>
      <c r="O6" s="6">
        <f t="shared" si="7"/>
        <v>0.17188674929940273</v>
      </c>
      <c r="P6" s="89">
        <f>SUBTOTAL(9,P7:P18)</f>
        <v>60672.39</v>
      </c>
      <c r="Q6" s="6">
        <f t="shared" si="8"/>
        <v>0.22903357940921631</v>
      </c>
      <c r="R6" s="89">
        <f>SUBTOTAL(9,R7:R18)</f>
        <v>50748.51</v>
      </c>
      <c r="S6" s="6">
        <f t="shared" si="9"/>
        <v>0.1528769561632716</v>
      </c>
      <c r="T6" s="89">
        <f>SUBTOTAL(9,T7:T18)</f>
        <v>66229.69</v>
      </c>
      <c r="U6" s="6">
        <f t="shared" si="10"/>
        <v>0.24788327910354388</v>
      </c>
      <c r="V6" s="89">
        <f>SUBTOTAL(9,V7:V18)</f>
        <v>60242.159999999996</v>
      </c>
      <c r="W6" s="6">
        <f t="shared" si="11"/>
        <v>0.2255338435017471</v>
      </c>
      <c r="X6" s="89">
        <f>SUBTOTAL(9,X7:X18)</f>
        <v>51728.030000000006</v>
      </c>
      <c r="Y6" s="6">
        <f t="shared" si="12"/>
        <v>0.17323688006347013</v>
      </c>
      <c r="Z6" s="125">
        <f t="shared" si="0"/>
        <v>47314.421666666669</v>
      </c>
      <c r="AA6" s="6">
        <f>Z6/Z$2</f>
        <v>0.18916191588027564</v>
      </c>
      <c r="AB6" s="89">
        <f>SUBTOTAL(9,AB7:AB18)</f>
        <v>567773.05999999994</v>
      </c>
      <c r="AC6" s="114">
        <f>AB6/AB$2</f>
        <v>0.18916191588027564</v>
      </c>
      <c r="AD6" s="81"/>
      <c r="AE6" s="15"/>
    </row>
    <row r="7" spans="1:130" x14ac:dyDescent="0.2">
      <c r="A7" s="16" t="s">
        <v>21</v>
      </c>
      <c r="B7" s="9">
        <v>36269.56</v>
      </c>
      <c r="C7" s="10">
        <f t="shared" si="1"/>
        <v>0.17518618648614656</v>
      </c>
      <c r="D7" s="16">
        <v>32769.07</v>
      </c>
      <c r="E7" s="10">
        <f t="shared" si="2"/>
        <v>0.15797605001614515</v>
      </c>
      <c r="F7" s="9">
        <v>31807.81</v>
      </c>
      <c r="G7" s="10">
        <f>F7/F$2</f>
        <v>0.14964681907103153</v>
      </c>
      <c r="H7" s="16">
        <v>33336.29</v>
      </c>
      <c r="I7" s="10">
        <f>H7/H$2</f>
        <v>0.15063136204793251</v>
      </c>
      <c r="J7" s="9">
        <v>30651.599999999999</v>
      </c>
      <c r="K7" s="10">
        <f t="shared" si="5"/>
        <v>0.13942792139241236</v>
      </c>
      <c r="L7" s="16">
        <v>34634.21</v>
      </c>
      <c r="M7" s="10">
        <f t="shared" si="6"/>
        <v>0.14701587472323263</v>
      </c>
      <c r="N7" s="16">
        <v>35465.410000000003</v>
      </c>
      <c r="O7" s="10">
        <f t="shared" si="7"/>
        <v>0.13232310267877964</v>
      </c>
      <c r="P7" s="9">
        <v>43108.37</v>
      </c>
      <c r="Q7" s="10">
        <f t="shared" si="8"/>
        <v>0.16273076243736037</v>
      </c>
      <c r="R7" s="9">
        <v>37269.96</v>
      </c>
      <c r="S7" s="10">
        <f t="shared" si="9"/>
        <v>0.11227360253782595</v>
      </c>
      <c r="T7" s="16">
        <v>52605.15</v>
      </c>
      <c r="U7" s="10">
        <f t="shared" si="10"/>
        <v>0.19688959860349325</v>
      </c>
      <c r="V7" s="16">
        <v>42278.7</v>
      </c>
      <c r="W7" s="10">
        <f t="shared" si="11"/>
        <v>0.15828246711700436</v>
      </c>
      <c r="X7" s="9">
        <v>42803.17</v>
      </c>
      <c r="Y7" s="10">
        <f t="shared" si="12"/>
        <v>0.14334757437362919</v>
      </c>
      <c r="Z7" s="11">
        <f t="shared" si="0"/>
        <v>37749.941666666673</v>
      </c>
      <c r="AA7" s="10">
        <f>Z7/Z$2</f>
        <v>0.150923355680919</v>
      </c>
      <c r="AB7" s="12">
        <f>L7+N7+P7+R7+T7+V7+X7+J7+H7+F7+D7+B7</f>
        <v>452999.29999999993</v>
      </c>
      <c r="AC7" s="13">
        <f>AB7/AB$2</f>
        <v>0.15092335568091897</v>
      </c>
      <c r="AD7" s="5"/>
      <c r="AE7" s="5"/>
    </row>
    <row r="8" spans="1:130" x14ac:dyDescent="0.2">
      <c r="A8" s="16" t="s">
        <v>142</v>
      </c>
      <c r="B8" s="9"/>
      <c r="C8" s="10"/>
      <c r="D8" s="16"/>
      <c r="E8" s="10"/>
      <c r="F8" s="9"/>
      <c r="G8" s="10"/>
      <c r="H8" s="16"/>
      <c r="I8" s="10"/>
      <c r="J8" s="9">
        <v>1431.25</v>
      </c>
      <c r="K8" s="10"/>
      <c r="L8" s="16">
        <f>1919.1+394.63</f>
        <v>2313.73</v>
      </c>
      <c r="M8" s="10">
        <f t="shared" si="6"/>
        <v>9.8213598584574353E-3</v>
      </c>
      <c r="N8" s="16">
        <v>963.8</v>
      </c>
      <c r="O8" s="10"/>
      <c r="P8" s="9">
        <v>623</v>
      </c>
      <c r="Q8" s="10"/>
      <c r="R8" s="9">
        <v>642</v>
      </c>
      <c r="S8" s="10">
        <f t="shared" si="9"/>
        <v>1.9339879310115778E-3</v>
      </c>
      <c r="T8" s="16">
        <v>711</v>
      </c>
      <c r="U8" s="10">
        <f t="shared" si="10"/>
        <v>2.661117867871942E-3</v>
      </c>
      <c r="V8" s="16">
        <v>767.7</v>
      </c>
      <c r="W8" s="10">
        <f t="shared" si="11"/>
        <v>2.874105637252902E-3</v>
      </c>
      <c r="X8" s="9">
        <v>158</v>
      </c>
      <c r="Y8" s="10">
        <f t="shared" si="12"/>
        <v>5.2914110686272571E-4</v>
      </c>
      <c r="Z8" s="11">
        <f t="shared" si="0"/>
        <v>634.20666666666659</v>
      </c>
      <c r="AA8" s="10">
        <f t="shared" ref="AA8:AA18" si="14">Z8/Z$2</f>
        <v>2.5355429466282181E-3</v>
      </c>
      <c r="AB8" s="12">
        <f>L8+N8+P8+R8+T8+V8+X8+J8+H8+F8+D8+B8</f>
        <v>7610.48</v>
      </c>
      <c r="AC8" s="13">
        <f t="shared" ref="AC8:AC18" si="15">AB8/AB$2</f>
        <v>2.5355429466282185E-3</v>
      </c>
      <c r="AD8" s="5"/>
      <c r="AE8" s="5"/>
    </row>
    <row r="9" spans="1:130" x14ac:dyDescent="0.2">
      <c r="A9" s="16" t="s">
        <v>22</v>
      </c>
      <c r="B9" s="9">
        <f>SUBTOTAL(9,B10:B18)</f>
        <v>3031</v>
      </c>
      <c r="C9" s="10">
        <f t="shared" si="1"/>
        <v>1.4640081965138541E-2</v>
      </c>
      <c r="D9" s="16">
        <f>SUBTOTAL(9,D10:D18)</f>
        <v>2704.49</v>
      </c>
      <c r="E9" s="10">
        <f t="shared" si="2"/>
        <v>1.3038046166954521E-2</v>
      </c>
      <c r="F9" s="16">
        <f>SUBTOTAL(9,F10:F18)</f>
        <v>3056.8100000000004</v>
      </c>
      <c r="G9" s="10">
        <f t="shared" si="3"/>
        <v>1.438143314502067E-2</v>
      </c>
      <c r="H9" s="16">
        <f>SUBTOTAL(9,H10:H18)</f>
        <v>3839.3599999999997</v>
      </c>
      <c r="I9" s="10">
        <f t="shared" si="4"/>
        <v>1.7348301991383867E-2</v>
      </c>
      <c r="J9" s="9">
        <f>SUBTOTAL(9,J10:J18)</f>
        <v>6354.86</v>
      </c>
      <c r="K9" s="10">
        <f t="shared" si="5"/>
        <v>2.8906971268703289E-2</v>
      </c>
      <c r="L9" s="16">
        <f>SUBTOTAL(9,L10:L18)</f>
        <v>9882.9299999999985</v>
      </c>
      <c r="M9" s="10">
        <f t="shared" si="6"/>
        <v>4.195122680085607E-2</v>
      </c>
      <c r="N9" s="16">
        <f>SUBTOTAL(9,N10:N18)</f>
        <v>9640.0999999999985</v>
      </c>
      <c r="O9" s="10">
        <f t="shared" si="7"/>
        <v>3.5967663764036657E-2</v>
      </c>
      <c r="P9" s="9">
        <f>SUBTOTAL(9,P10:P18)</f>
        <v>16941.02</v>
      </c>
      <c r="Q9" s="10">
        <f t="shared" si="8"/>
        <v>6.395104015917491E-2</v>
      </c>
      <c r="R9" s="9">
        <f>SUBTOTAL(9,R10:R18)</f>
        <v>12836.55</v>
      </c>
      <c r="S9" s="10">
        <f t="shared" si="9"/>
        <v>3.8669365694434063E-2</v>
      </c>
      <c r="T9" s="16">
        <f>SUBTOTAL(9,T10:T18)</f>
        <v>12913.54</v>
      </c>
      <c r="U9" s="10">
        <f t="shared" si="10"/>
        <v>4.833256263217868E-2</v>
      </c>
      <c r="V9" s="16">
        <f>SUBTOTAL(9,V10:V18)</f>
        <v>17195.759999999998</v>
      </c>
      <c r="W9" s="10">
        <f t="shared" si="11"/>
        <v>6.4377270747489848E-2</v>
      </c>
      <c r="X9" s="9">
        <f>SUBTOTAL(9,X10:X18)</f>
        <v>8766.86</v>
      </c>
      <c r="Y9" s="10">
        <f t="shared" si="12"/>
        <v>2.9360164582978198E-2</v>
      </c>
      <c r="Z9" s="11">
        <f t="shared" si="0"/>
        <v>8930.2733333333326</v>
      </c>
      <c r="AA9" s="10">
        <f t="shared" si="14"/>
        <v>3.5703017252728446E-2</v>
      </c>
      <c r="AB9" s="12">
        <f>SUBTOTAL(9,AB10:AB18)</f>
        <v>107163.28</v>
      </c>
      <c r="AC9" s="13">
        <f t="shared" si="15"/>
        <v>3.5703017252728453E-2</v>
      </c>
      <c r="AD9" s="81"/>
      <c r="AE9" s="5"/>
    </row>
    <row r="10" spans="1:130" s="74" customFormat="1" x14ac:dyDescent="0.2">
      <c r="A10" s="9" t="s">
        <v>24</v>
      </c>
      <c r="B10" s="9">
        <f>578.09+144.52</f>
        <v>722.61</v>
      </c>
      <c r="C10" s="10">
        <f t="shared" si="1"/>
        <v>3.4902902107650153E-3</v>
      </c>
      <c r="D10" s="9">
        <f>1048.33+155.31</f>
        <v>1203.6399999999999</v>
      </c>
      <c r="E10" s="10">
        <f t="shared" si="2"/>
        <v>5.8026148694922666E-3</v>
      </c>
      <c r="F10" s="9">
        <f>1315.02+210.4</f>
        <v>1525.42</v>
      </c>
      <c r="G10" s="10">
        <f t="shared" si="3"/>
        <v>7.1766729852615731E-3</v>
      </c>
      <c r="H10" s="9">
        <f>1853.23+356.39</f>
        <v>2209.62</v>
      </c>
      <c r="I10" s="10">
        <f t="shared" si="4"/>
        <v>9.9842565026987892E-3</v>
      </c>
      <c r="J10" s="9">
        <f>1200.36+184.67</f>
        <v>1385.03</v>
      </c>
      <c r="K10" s="10">
        <f t="shared" si="5"/>
        <v>6.300220998777647E-3</v>
      </c>
      <c r="L10" s="9">
        <f>2833.69+708.42</f>
        <v>3542.11</v>
      </c>
      <c r="M10" s="10">
        <f t="shared" si="6"/>
        <v>1.5035607857546329E-2</v>
      </c>
      <c r="N10" s="9">
        <f>2000.09+400.02</f>
        <v>2400.1099999999997</v>
      </c>
      <c r="O10" s="10">
        <f t="shared" si="7"/>
        <v>8.9549226124938566E-3</v>
      </c>
      <c r="P10" s="9">
        <f>1420.18+210.4</f>
        <v>1630.5800000000002</v>
      </c>
      <c r="Q10" s="10">
        <f t="shared" si="8"/>
        <v>6.1553133791676902E-3</v>
      </c>
      <c r="R10" s="9">
        <f>2958.23+438.26</f>
        <v>3396.49</v>
      </c>
      <c r="S10" s="10">
        <f t="shared" si="9"/>
        <v>1.023173001215189E-2</v>
      </c>
      <c r="T10" s="9">
        <f>1925.34+481.34</f>
        <v>2406.6799999999998</v>
      </c>
      <c r="U10" s="10">
        <f t="shared" si="10"/>
        <v>9.0076781297468989E-3</v>
      </c>
      <c r="V10" s="9">
        <f>2761.21+531</f>
        <v>3292.21</v>
      </c>
      <c r="W10" s="10">
        <f t="shared" si="11"/>
        <v>1.2325334531744661E-2</v>
      </c>
      <c r="X10" s="9">
        <f>1475.12+448.95</f>
        <v>1924.07</v>
      </c>
      <c r="Y10" s="10">
        <f t="shared" si="12"/>
        <v>6.4436995536795222E-3</v>
      </c>
      <c r="Z10" s="11">
        <f t="shared" si="0"/>
        <v>2136.5475000000001</v>
      </c>
      <c r="AA10" s="10">
        <f t="shared" si="14"/>
        <v>8.5418653389975185E-3</v>
      </c>
      <c r="AB10" s="12">
        <f t="shared" ref="AB10:AB18" si="16">L10+N10+P10+R10+T10+V10+X10+J10+H10+F10+D10+B10</f>
        <v>25638.57</v>
      </c>
      <c r="AC10" s="13">
        <f t="shared" si="15"/>
        <v>8.5418653389975202E-3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74" customFormat="1" x14ac:dyDescent="0.2">
      <c r="A11" s="9" t="s">
        <v>144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>
        <f t="shared" si="6"/>
        <v>0</v>
      </c>
      <c r="N11" s="9"/>
      <c r="O11" s="10"/>
      <c r="P11" s="9">
        <f>1579.67+234.03</f>
        <v>1813.7</v>
      </c>
      <c r="Q11" s="10"/>
      <c r="R11" s="9">
        <f>2586.64+383.21</f>
        <v>2969.85</v>
      </c>
      <c r="S11" s="10">
        <f t="shared" si="9"/>
        <v>8.9465016462846325E-3</v>
      </c>
      <c r="T11" s="9">
        <f>3142.6+827</f>
        <v>3969.6</v>
      </c>
      <c r="U11" s="10">
        <f t="shared" si="10"/>
        <v>1.485734667834664E-2</v>
      </c>
      <c r="V11" s="9">
        <f>3586.31+689.68</f>
        <v>4275.99</v>
      </c>
      <c r="W11" s="10">
        <f t="shared" si="11"/>
        <v>1.6008397764539578E-2</v>
      </c>
      <c r="X11" s="9">
        <f>1924.66+585.77</f>
        <v>2510.4300000000003</v>
      </c>
      <c r="Y11" s="10">
        <f t="shared" si="12"/>
        <v>8.4074158791227378E-3</v>
      </c>
      <c r="Z11" s="11">
        <f t="shared" si="0"/>
        <v>1294.9641666666666</v>
      </c>
      <c r="AA11" s="10">
        <f t="shared" si="14"/>
        <v>5.1772354841134148E-3</v>
      </c>
      <c r="AB11" s="12">
        <f t="shared" si="16"/>
        <v>15539.57</v>
      </c>
      <c r="AC11" s="13">
        <f t="shared" si="15"/>
        <v>5.1772354841134157E-3</v>
      </c>
      <c r="AD11" s="5"/>
      <c r="AE11" s="5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16" t="s">
        <v>135</v>
      </c>
      <c r="B12" s="9"/>
      <c r="C12" s="10">
        <f t="shared" si="1"/>
        <v>0</v>
      </c>
      <c r="D12" s="16">
        <f>25.66+3.8</f>
        <v>29.46</v>
      </c>
      <c r="E12" s="10">
        <f t="shared" si="2"/>
        <v>1.4202339076072761E-4</v>
      </c>
      <c r="F12" s="9">
        <f>114.85+18.38</f>
        <v>133.22999999999999</v>
      </c>
      <c r="G12" s="10">
        <f t="shared" si="3"/>
        <v>6.2680975851004924E-4</v>
      </c>
      <c r="H12" s="16">
        <f>258.97+49.8</f>
        <v>308.77000000000004</v>
      </c>
      <c r="I12" s="10">
        <f t="shared" si="4"/>
        <v>1.3951896164672232E-3</v>
      </c>
      <c r="J12" s="9">
        <f>75.4+11.6</f>
        <v>87</v>
      </c>
      <c r="K12" s="10">
        <f t="shared" si="5"/>
        <v>3.957453823337078E-4</v>
      </c>
      <c r="L12" s="16">
        <f>473.67+91.09</f>
        <v>564.76</v>
      </c>
      <c r="M12" s="10">
        <f t="shared" si="6"/>
        <v>2.3973027076030569E-3</v>
      </c>
      <c r="N12" s="16">
        <f>158.88+31.78</f>
        <v>190.66</v>
      </c>
      <c r="O12" s="10">
        <f t="shared" si="7"/>
        <v>7.1136137314459713E-4</v>
      </c>
      <c r="P12" s="9">
        <f>563.54+83.49</f>
        <v>647.03</v>
      </c>
      <c r="Q12" s="10">
        <f t="shared" si="8"/>
        <v>2.4424882040273216E-3</v>
      </c>
      <c r="R12" s="9">
        <f>215.85+31.98</f>
        <v>247.82999999999998</v>
      </c>
      <c r="S12" s="10">
        <f t="shared" si="9"/>
        <v>7.4657356533115152E-4</v>
      </c>
      <c r="T12" s="16">
        <f>248.41+62.1</f>
        <v>310.51</v>
      </c>
      <c r="U12" s="10">
        <f t="shared" si="10"/>
        <v>1.1621711802432021E-3</v>
      </c>
      <c r="V12" s="16">
        <f>403.4+77.58</f>
        <v>480.97999999999996</v>
      </c>
      <c r="W12" s="10">
        <f t="shared" si="11"/>
        <v>1.8006868951490173E-3</v>
      </c>
      <c r="X12" s="9">
        <f>322.67+98.2</f>
        <v>420.87</v>
      </c>
      <c r="Y12" s="10">
        <f t="shared" si="12"/>
        <v>1.4094912509197174E-3</v>
      </c>
      <c r="Z12" s="11">
        <f t="shared" si="0"/>
        <v>285.09166666666664</v>
      </c>
      <c r="AA12" s="10">
        <f t="shared" si="14"/>
        <v>1.1397896025887718E-3</v>
      </c>
      <c r="AB12" s="12">
        <f t="shared" si="16"/>
        <v>3421.0999999999995</v>
      </c>
      <c r="AC12" s="13">
        <f t="shared" si="15"/>
        <v>1.1397896025887718E-3</v>
      </c>
      <c r="AD12" s="5"/>
      <c r="AE12" s="5"/>
    </row>
    <row r="13" spans="1:130" x14ac:dyDescent="0.2">
      <c r="A13" s="16" t="s">
        <v>140</v>
      </c>
      <c r="B13" s="9"/>
      <c r="C13" s="10">
        <f t="shared" si="1"/>
        <v>0</v>
      </c>
      <c r="D13" s="16"/>
      <c r="E13" s="10">
        <f t="shared" si="2"/>
        <v>0</v>
      </c>
      <c r="F13" s="16"/>
      <c r="G13" s="10">
        <f t="shared" si="3"/>
        <v>0</v>
      </c>
      <c r="H13" s="16"/>
      <c r="I13" s="10">
        <f t="shared" si="4"/>
        <v>0</v>
      </c>
      <c r="J13" s="9"/>
      <c r="K13" s="10">
        <f t="shared" si="5"/>
        <v>0</v>
      </c>
      <c r="L13" s="16">
        <v>4500</v>
      </c>
      <c r="M13" s="10">
        <f t="shared" si="6"/>
        <v>1.9101675373988519E-2</v>
      </c>
      <c r="N13" s="16">
        <v>4500</v>
      </c>
      <c r="O13" s="10">
        <f t="shared" si="7"/>
        <v>1.6789710370034024E-2</v>
      </c>
      <c r="P13" s="9">
        <v>4500</v>
      </c>
      <c r="Q13" s="10">
        <f t="shared" si="8"/>
        <v>1.6987151937503591E-2</v>
      </c>
      <c r="R13" s="9">
        <v>4500</v>
      </c>
      <c r="S13" s="10">
        <f t="shared" si="9"/>
        <v>1.35559901706419E-2</v>
      </c>
      <c r="T13" s="16">
        <v>4500</v>
      </c>
      <c r="U13" s="10">
        <f t="shared" si="10"/>
        <v>1.684251815108824E-2</v>
      </c>
      <c r="V13" s="16">
        <v>4500</v>
      </c>
      <c r="W13" s="10">
        <f t="shared" si="11"/>
        <v>1.6847043594682892E-2</v>
      </c>
      <c r="X13" s="9">
        <v>2000</v>
      </c>
      <c r="Y13" s="10">
        <f t="shared" si="12"/>
        <v>6.6979886944648816E-3</v>
      </c>
      <c r="Z13" s="11">
        <f t="shared" si="0"/>
        <v>2416.6666666666665</v>
      </c>
      <c r="AA13" s="10">
        <f t="shared" si="14"/>
        <v>9.661775006598575E-3</v>
      </c>
      <c r="AB13" s="12">
        <f t="shared" si="16"/>
        <v>29000</v>
      </c>
      <c r="AC13" s="13">
        <f t="shared" si="15"/>
        <v>9.6617750065985768E-3</v>
      </c>
      <c r="AD13" s="5"/>
      <c r="AE13" s="5"/>
    </row>
    <row r="14" spans="1:130" x14ac:dyDescent="0.2">
      <c r="A14" s="16" t="s">
        <v>143</v>
      </c>
      <c r="B14" s="9"/>
      <c r="C14" s="10"/>
      <c r="D14" s="16"/>
      <c r="E14" s="10"/>
      <c r="F14" s="16"/>
      <c r="G14" s="10"/>
      <c r="H14" s="16"/>
      <c r="I14" s="10"/>
      <c r="J14" s="9"/>
      <c r="K14" s="10"/>
      <c r="L14" s="16"/>
      <c r="M14" s="10">
        <f t="shared" si="6"/>
        <v>0</v>
      </c>
      <c r="N14" s="16"/>
      <c r="O14" s="10"/>
      <c r="P14" s="9"/>
      <c r="Q14" s="10"/>
      <c r="R14" s="9"/>
      <c r="S14" s="10">
        <f t="shared" si="9"/>
        <v>0</v>
      </c>
      <c r="T14" s="16"/>
      <c r="U14" s="10">
        <f t="shared" si="10"/>
        <v>0</v>
      </c>
      <c r="V14" s="16"/>
      <c r="W14" s="10">
        <f t="shared" si="11"/>
        <v>0</v>
      </c>
      <c r="X14" s="9">
        <f>148.96+45.34</f>
        <v>194.3</v>
      </c>
      <c r="Y14" s="10">
        <f t="shared" si="12"/>
        <v>6.5070960166726329E-4</v>
      </c>
      <c r="Z14" s="11">
        <f>(B14+D14+F14+H14+J14+L14+N14+P14+R14+T14+V14+X14)/AE$2</f>
        <v>16.191666666666666</v>
      </c>
      <c r="AA14" s="10">
        <f t="shared" si="14"/>
        <v>6.4733892544210461E-5</v>
      </c>
      <c r="AB14" s="12">
        <f t="shared" si="16"/>
        <v>194.3</v>
      </c>
      <c r="AC14" s="13">
        <f t="shared" si="15"/>
        <v>6.4733892544210475E-5</v>
      </c>
      <c r="AD14" s="5"/>
      <c r="AE14" s="5"/>
    </row>
    <row r="15" spans="1:130" x14ac:dyDescent="0.2">
      <c r="A15" s="16" t="s">
        <v>25</v>
      </c>
      <c r="B15" s="9">
        <v>2308.39</v>
      </c>
      <c r="C15" s="10">
        <f t="shared" si="1"/>
        <v>1.1149791754373525E-2</v>
      </c>
      <c r="D15" s="16">
        <v>1471.39</v>
      </c>
      <c r="E15" s="10">
        <f t="shared" si="2"/>
        <v>7.0934079067015285E-3</v>
      </c>
      <c r="F15" s="9">
        <v>1398.16</v>
      </c>
      <c r="G15" s="10">
        <f t="shared" si="3"/>
        <v>6.577950401249047E-3</v>
      </c>
      <c r="H15" s="16">
        <v>1320.97</v>
      </c>
      <c r="I15" s="10">
        <f t="shared" si="4"/>
        <v>5.9688558722178564E-3</v>
      </c>
      <c r="J15" s="9">
        <v>1266.8800000000001</v>
      </c>
      <c r="K15" s="10">
        <f t="shared" si="5"/>
        <v>5.76278057437848E-3</v>
      </c>
      <c r="L15" s="16">
        <v>1276.06</v>
      </c>
      <c r="M15" s="10">
        <f t="shared" si="6"/>
        <v>5.4166408617181755E-3</v>
      </c>
      <c r="N15" s="16">
        <v>1238.77</v>
      </c>
      <c r="O15" s="10">
        <f t="shared" si="7"/>
        <v>4.6219087811304547E-3</v>
      </c>
      <c r="P15" s="9">
        <v>4634.74</v>
      </c>
      <c r="Q15" s="10">
        <f t="shared" si="8"/>
        <v>1.7495785015738976E-2</v>
      </c>
      <c r="R15" s="9">
        <v>1112.72</v>
      </c>
      <c r="S15" s="10">
        <f t="shared" si="9"/>
        <v>3.3520047517059236E-3</v>
      </c>
      <c r="T15" s="16">
        <v>1171.1500000000001</v>
      </c>
      <c r="U15" s="10">
        <f t="shared" si="10"/>
        <v>4.3833589183659991E-3</v>
      </c>
      <c r="V15" s="16">
        <v>1215.55</v>
      </c>
      <c r="W15" s="10">
        <f t="shared" si="11"/>
        <v>4.5507608536703983E-3</v>
      </c>
      <c r="X15" s="9">
        <v>1204.19</v>
      </c>
      <c r="Y15" s="10">
        <f t="shared" si="12"/>
        <v>4.0328255029938335E-3</v>
      </c>
      <c r="Z15" s="11">
        <f t="shared" si="0"/>
        <v>1634.9141666666665</v>
      </c>
      <c r="AA15" s="10">
        <f t="shared" si="14"/>
        <v>6.5363473793519731E-3</v>
      </c>
      <c r="AB15" s="12">
        <f t="shared" si="16"/>
        <v>19618.969999999998</v>
      </c>
      <c r="AC15" s="13">
        <f t="shared" si="15"/>
        <v>6.5363473793519748E-3</v>
      </c>
      <c r="AD15" s="5"/>
      <c r="AE15" s="5"/>
    </row>
    <row r="16" spans="1:130" x14ac:dyDescent="0.2">
      <c r="A16" s="17" t="s">
        <v>145</v>
      </c>
      <c r="B16" s="9"/>
      <c r="C16" s="10"/>
      <c r="D16" s="16"/>
      <c r="E16" s="10"/>
      <c r="F16" s="9"/>
      <c r="G16" s="10"/>
      <c r="H16" s="16"/>
      <c r="I16" s="10"/>
      <c r="J16" s="9"/>
      <c r="K16" s="10"/>
      <c r="L16" s="16"/>
      <c r="M16" s="10">
        <f t="shared" si="6"/>
        <v>0</v>
      </c>
      <c r="N16" s="16">
        <v>1310.56</v>
      </c>
      <c r="O16" s="10"/>
      <c r="P16" s="9">
        <v>696.92</v>
      </c>
      <c r="Q16" s="10"/>
      <c r="R16" s="9">
        <v>609.66</v>
      </c>
      <c r="S16" s="10">
        <f t="shared" si="9"/>
        <v>1.8365655483185645E-3</v>
      </c>
      <c r="T16" s="9">
        <v>555.6</v>
      </c>
      <c r="U16" s="10">
        <f t="shared" si="10"/>
        <v>2.0794895743876949E-3</v>
      </c>
      <c r="V16" s="9">
        <v>526.66999999999996</v>
      </c>
      <c r="W16" s="10">
        <f t="shared" si="11"/>
        <v>1.9717405444470309E-3</v>
      </c>
      <c r="X16" s="9">
        <v>513</v>
      </c>
      <c r="Y16" s="10">
        <f t="shared" si="12"/>
        <v>1.7180341001302422E-3</v>
      </c>
      <c r="Z16" s="11">
        <f t="shared" si="0"/>
        <v>351.03416666666664</v>
      </c>
      <c r="AA16" s="10">
        <f t="shared" si="14"/>
        <v>1.4034261260533071E-3</v>
      </c>
      <c r="AB16" s="12">
        <f t="shared" si="16"/>
        <v>4212.41</v>
      </c>
      <c r="AC16" s="13">
        <f t="shared" si="15"/>
        <v>1.4034261260533073E-3</v>
      </c>
      <c r="AD16" s="5"/>
      <c r="AE16" s="5"/>
    </row>
    <row r="17" spans="1:31" x14ac:dyDescent="0.2">
      <c r="A17" s="17" t="s">
        <v>141</v>
      </c>
      <c r="B17" s="9"/>
      <c r="C17" s="10"/>
      <c r="D17" s="16"/>
      <c r="E17" s="10"/>
      <c r="F17" s="9"/>
      <c r="G17" s="10"/>
      <c r="H17" s="16"/>
      <c r="I17" s="10"/>
      <c r="J17" s="9">
        <v>3199.59</v>
      </c>
      <c r="K17" s="10"/>
      <c r="L17" s="16"/>
      <c r="M17" s="10">
        <f t="shared" si="6"/>
        <v>0</v>
      </c>
      <c r="N17" s="16"/>
      <c r="O17" s="10"/>
      <c r="P17" s="9">
        <v>3018.05</v>
      </c>
      <c r="Q17" s="10"/>
      <c r="R17" s="9"/>
      <c r="S17" s="10">
        <f t="shared" si="9"/>
        <v>0</v>
      </c>
      <c r="T17" s="16"/>
      <c r="U17" s="10">
        <f t="shared" si="10"/>
        <v>0</v>
      </c>
      <c r="V17" s="16">
        <v>2904.36</v>
      </c>
      <c r="W17" s="10">
        <f t="shared" si="11"/>
        <v>1.0873306563256269E-2</v>
      </c>
      <c r="X17" s="9"/>
      <c r="Y17" s="10">
        <f t="shared" si="12"/>
        <v>0</v>
      </c>
      <c r="Z17" s="11">
        <f t="shared" si="0"/>
        <v>760.16666666666663</v>
      </c>
      <c r="AA17" s="10">
        <f t="shared" si="14"/>
        <v>3.0391279865583519E-3</v>
      </c>
      <c r="AB17" s="12">
        <f t="shared" si="16"/>
        <v>9122</v>
      </c>
      <c r="AC17" s="13">
        <f t="shared" si="15"/>
        <v>3.0391279865583523E-3</v>
      </c>
      <c r="AD17" s="5"/>
      <c r="AE17" s="5"/>
    </row>
    <row r="18" spans="1:31" x14ac:dyDescent="0.2">
      <c r="A18" s="17" t="s">
        <v>23</v>
      </c>
      <c r="B18" s="9"/>
      <c r="C18" s="10">
        <f t="shared" si="1"/>
        <v>0</v>
      </c>
      <c r="D18" s="16"/>
      <c r="E18" s="10">
        <f t="shared" si="2"/>
        <v>0</v>
      </c>
      <c r="F18" s="16"/>
      <c r="G18" s="10">
        <f t="shared" si="3"/>
        <v>0</v>
      </c>
      <c r="H18" s="16"/>
      <c r="I18" s="10">
        <f t="shared" si="4"/>
        <v>0</v>
      </c>
      <c r="J18" s="9">
        <v>416.36</v>
      </c>
      <c r="K18" s="10">
        <f t="shared" si="5"/>
        <v>1.8939373263041675E-3</v>
      </c>
      <c r="L18" s="16"/>
      <c r="M18" s="10">
        <f t="shared" si="6"/>
        <v>0</v>
      </c>
      <c r="N18" s="16"/>
      <c r="O18" s="10">
        <f t="shared" si="7"/>
        <v>0</v>
      </c>
      <c r="P18" s="9"/>
      <c r="Q18" s="10">
        <f t="shared" si="8"/>
        <v>0</v>
      </c>
      <c r="R18" s="16"/>
      <c r="S18" s="10">
        <f t="shared" si="9"/>
        <v>0</v>
      </c>
      <c r="T18" s="16"/>
      <c r="U18" s="10">
        <f t="shared" si="10"/>
        <v>0</v>
      </c>
      <c r="V18" s="16"/>
      <c r="W18" s="10">
        <f t="shared" si="11"/>
        <v>0</v>
      </c>
      <c r="X18" s="16"/>
      <c r="Y18" s="10">
        <f t="shared" si="12"/>
        <v>0</v>
      </c>
      <c r="Z18" s="11">
        <f t="shared" si="0"/>
        <v>34.696666666666665</v>
      </c>
      <c r="AA18" s="10">
        <f t="shared" si="14"/>
        <v>1.3871643592232354E-4</v>
      </c>
      <c r="AB18" s="12">
        <f t="shared" si="16"/>
        <v>416.36</v>
      </c>
      <c r="AC18" s="13">
        <f t="shared" si="15"/>
        <v>1.3871643592232357E-4</v>
      </c>
      <c r="AD18" s="5"/>
      <c r="AE18" s="5"/>
    </row>
    <row r="19" spans="1:31" x14ac:dyDescent="0.2">
      <c r="A19" s="88" t="s">
        <v>26</v>
      </c>
      <c r="B19" s="89">
        <f>B2-B6</f>
        <v>167733.79999999999</v>
      </c>
      <c r="C19" s="6">
        <f t="shared" si="1"/>
        <v>0.81017373154871486</v>
      </c>
      <c r="D19" s="89">
        <f>D2-D6</f>
        <v>171957.06</v>
      </c>
      <c r="E19" s="6">
        <f>D19/D$2</f>
        <v>0.82898590381690029</v>
      </c>
      <c r="F19" s="89">
        <f>F2-F6</f>
        <v>177687.90999999997</v>
      </c>
      <c r="G19" s="6">
        <f t="shared" si="3"/>
        <v>0.83597174778394767</v>
      </c>
      <c r="H19" s="89">
        <f>H2-H6</f>
        <v>184134.77</v>
      </c>
      <c r="I19" s="6">
        <f t="shared" si="4"/>
        <v>0.8320203359606837</v>
      </c>
      <c r="J19" s="89">
        <f>J2-J6</f>
        <v>181400.61000000002</v>
      </c>
      <c r="K19" s="6">
        <f t="shared" si="5"/>
        <v>0.82515464091974511</v>
      </c>
      <c r="L19" s="89">
        <f>L2-L6</f>
        <v>188750.56</v>
      </c>
      <c r="M19" s="6">
        <f>L19/L$2</f>
        <v>0.80121153861745387</v>
      </c>
      <c r="N19" s="89">
        <f>N2-N6</f>
        <v>221951.99</v>
      </c>
      <c r="O19" s="6">
        <f t="shared" si="7"/>
        <v>0.82811325070059727</v>
      </c>
      <c r="P19" s="89">
        <f>P2-P6</f>
        <v>204233.69999999995</v>
      </c>
      <c r="Q19" s="6">
        <f t="shared" si="8"/>
        <v>0.77096642059078357</v>
      </c>
      <c r="R19" s="89">
        <f>R2-R6</f>
        <v>281208.06</v>
      </c>
      <c r="S19" s="6">
        <f t="shared" si="9"/>
        <v>0.84712304383672843</v>
      </c>
      <c r="T19" s="89">
        <f>T2-T6</f>
        <v>200951.26</v>
      </c>
      <c r="U19" s="6">
        <f t="shared" si="10"/>
        <v>0.75211672089645609</v>
      </c>
      <c r="V19" s="89">
        <f>V2-V6</f>
        <v>206867.02</v>
      </c>
      <c r="W19" s="6">
        <f t="shared" si="11"/>
        <v>0.7744661564982529</v>
      </c>
      <c r="X19" s="89">
        <f>X2-X6</f>
        <v>246869.07000000004</v>
      </c>
      <c r="Y19" s="6">
        <f t="shared" si="12"/>
        <v>0.82676311993652984</v>
      </c>
      <c r="Z19" s="113">
        <f t="shared" si="0"/>
        <v>202812.15083333329</v>
      </c>
      <c r="AA19" s="6">
        <f t="shared" si="13"/>
        <v>0.81083808411972413</v>
      </c>
      <c r="AB19" s="89">
        <f>SUM(AB2-AB6)</f>
        <v>2433745.8099999996</v>
      </c>
      <c r="AC19" s="114">
        <f t="shared" ref="AC19:AC24" si="17">AB19/AB$2</f>
        <v>0.81083808411972436</v>
      </c>
      <c r="AD19" s="5"/>
      <c r="AE19" s="5"/>
    </row>
    <row r="20" spans="1:31" x14ac:dyDescent="0.2">
      <c r="A20" s="88" t="s">
        <v>27</v>
      </c>
      <c r="B20" s="89">
        <f>SUBTOTAL(9,B21:B67)</f>
        <v>96807.67</v>
      </c>
      <c r="C20" s="6">
        <f t="shared" si="1"/>
        <v>0.46759228757970417</v>
      </c>
      <c r="D20" s="89">
        <f>SUBTOTAL(9,D21:D67)</f>
        <v>85548.449999999983</v>
      </c>
      <c r="E20" s="6">
        <f t="shared" ref="E20:E79" si="18">D20/D$2</f>
        <v>0.41241958395534845</v>
      </c>
      <c r="F20" s="89">
        <f>SUBTOTAL(9,F21:F67)</f>
        <v>93819.41</v>
      </c>
      <c r="G20" s="6">
        <f t="shared" si="3"/>
        <v>0.44139399328721235</v>
      </c>
      <c r="H20" s="89">
        <f>SUBTOTAL(9,H21:H67)</f>
        <v>111333.51000000001</v>
      </c>
      <c r="I20" s="6">
        <f t="shared" si="4"/>
        <v>0.50306492572740147</v>
      </c>
      <c r="J20" s="89">
        <f>SUBTOTAL(9,J21:J67)</f>
        <v>101811.95</v>
      </c>
      <c r="K20" s="6">
        <f t="shared" si="5"/>
        <v>0.46312194343552116</v>
      </c>
      <c r="L20" s="89">
        <f>SUBTOTAL(9,L21:L67)</f>
        <v>106330.49</v>
      </c>
      <c r="M20" s="6">
        <f t="shared" ref="M20:M79" si="19">L20/L$2</f>
        <v>0.45135344496380725</v>
      </c>
      <c r="N20" s="89">
        <f>SUBTOTAL(9,N21:N67)</f>
        <v>128813.26000000002</v>
      </c>
      <c r="O20" s="6">
        <f t="shared" si="7"/>
        <v>0.4806082949377532</v>
      </c>
      <c r="P20" s="89">
        <f>SUBTOTAL(9,P21:P67)</f>
        <v>136207.16999999998</v>
      </c>
      <c r="Q20" s="6">
        <f t="shared" si="8"/>
        <v>0.51417153150386241</v>
      </c>
      <c r="R20" s="89">
        <f>SUBTOTAL(9,R21:R67)</f>
        <v>128873.00000000001</v>
      </c>
      <c r="S20" s="6">
        <f t="shared" si="9"/>
        <v>0.38822247139136307</v>
      </c>
      <c r="T20" s="89">
        <f>SUBTOTAL(9,T21:T67)</f>
        <v>132285.5</v>
      </c>
      <c r="U20" s="6">
        <f t="shared" si="10"/>
        <v>0.49511576330572965</v>
      </c>
      <c r="V20" s="89">
        <f>SUBTOTAL(9,V21:V67)</f>
        <v>136700.22</v>
      </c>
      <c r="W20" s="6">
        <f t="shared" si="11"/>
        <v>0.51177657016505385</v>
      </c>
      <c r="X20" s="89">
        <f>SUBTOTAL(9,X21:X67)</f>
        <v>156553.69000000003</v>
      </c>
      <c r="Y20" s="6">
        <f t="shared" si="12"/>
        <v>0.52429742284837999</v>
      </c>
      <c r="Z20" s="113">
        <f>(B20+D20+F20+H20+J20+L20+N20+P20+R20+T20+V20+X20)/AE$2</f>
        <v>117923.69333333334</v>
      </c>
      <c r="AA20" s="6">
        <f t="shared" si="13"/>
        <v>0.47145607983467386</v>
      </c>
      <c r="AB20" s="96">
        <f>SUBTOTAL(9,AB21:AB67)</f>
        <v>1415084.3199999998</v>
      </c>
      <c r="AC20" s="127">
        <f t="shared" si="17"/>
        <v>0.47145607983467386</v>
      </c>
      <c r="AD20" s="81"/>
      <c r="AE20" s="5"/>
    </row>
    <row r="21" spans="1:31" x14ac:dyDescent="0.2">
      <c r="A21" s="9" t="s">
        <v>28</v>
      </c>
      <c r="B21" s="9">
        <v>1668.44</v>
      </c>
      <c r="C21" s="10">
        <f t="shared" si="1"/>
        <v>8.0587589422354833E-3</v>
      </c>
      <c r="D21" s="9">
        <v>1580.43</v>
      </c>
      <c r="E21" s="10">
        <f t="shared" si="18"/>
        <v>7.619077646299279E-3</v>
      </c>
      <c r="F21" s="9">
        <v>1710.69</v>
      </c>
      <c r="G21" s="10">
        <f t="shared" si="3"/>
        <v>8.0483163385540509E-3</v>
      </c>
      <c r="H21" s="9">
        <v>1412.32</v>
      </c>
      <c r="I21" s="10">
        <f t="shared" si="4"/>
        <v>6.3816245073322802E-3</v>
      </c>
      <c r="J21" s="9">
        <v>1410.02</v>
      </c>
      <c r="K21" s="10">
        <f t="shared" si="5"/>
        <v>6.4138954482548804E-3</v>
      </c>
      <c r="L21" s="9">
        <v>1337.57</v>
      </c>
      <c r="M21" s="10">
        <f t="shared" si="19"/>
        <v>5.6777395399968495E-3</v>
      </c>
      <c r="N21" s="9">
        <v>1439</v>
      </c>
      <c r="O21" s="10">
        <f t="shared" si="7"/>
        <v>5.3689762716619916E-3</v>
      </c>
      <c r="P21" s="9">
        <v>1393.22</v>
      </c>
      <c r="Q21" s="10">
        <f t="shared" si="8"/>
        <v>5.2592977383041674E-3</v>
      </c>
      <c r="R21" s="9">
        <v>1436.69</v>
      </c>
      <c r="S21" s="10">
        <f t="shared" si="9"/>
        <v>4.327945670724336E-3</v>
      </c>
      <c r="T21" s="9">
        <v>1465.67</v>
      </c>
      <c r="U21" s="10">
        <f t="shared" si="10"/>
        <v>5.4856830174456672E-3</v>
      </c>
      <c r="V21" s="9">
        <v>1590.24</v>
      </c>
      <c r="W21" s="10">
        <f t="shared" si="11"/>
        <v>5.9535205791130053E-3</v>
      </c>
      <c r="X21" s="9">
        <v>1669.18</v>
      </c>
      <c r="Y21" s="10">
        <f t="shared" si="12"/>
        <v>5.5900743845134458E-3</v>
      </c>
      <c r="Z21" s="11">
        <f t="shared" si="0"/>
        <v>1509.4558333333334</v>
      </c>
      <c r="AA21" s="10">
        <f t="shared" si="13"/>
        <v>6.0347679906473488E-3</v>
      </c>
      <c r="AB21" s="12">
        <f>L21+N21+P21+R21+T21+V21+X21+J21+H21+F21+D21+B21</f>
        <v>18113.469999999998</v>
      </c>
      <c r="AC21" s="13">
        <f t="shared" si="17"/>
        <v>6.0347679906473488E-3</v>
      </c>
      <c r="AD21" s="5"/>
      <c r="AE21" s="5"/>
    </row>
    <row r="22" spans="1:31" x14ac:dyDescent="0.2">
      <c r="A22" s="9" t="s">
        <v>29</v>
      </c>
      <c r="B22" s="9">
        <v>679.05</v>
      </c>
      <c r="C22" s="10">
        <f t="shared" si="1"/>
        <v>3.2798903524999426E-3</v>
      </c>
      <c r="D22" s="16">
        <v>704.24</v>
      </c>
      <c r="E22" s="10">
        <f t="shared" si="18"/>
        <v>3.3950628889794572E-3</v>
      </c>
      <c r="F22" s="9">
        <v>907.24</v>
      </c>
      <c r="G22" s="18">
        <f t="shared" si="3"/>
        <v>4.2683095797542382E-3</v>
      </c>
      <c r="H22" s="16">
        <v>704.24</v>
      </c>
      <c r="I22" s="10">
        <f t="shared" si="4"/>
        <v>3.1821366567376269E-3</v>
      </c>
      <c r="J22" s="9">
        <v>704.24</v>
      </c>
      <c r="K22" s="10">
        <f t="shared" si="5"/>
        <v>3.2034451500539121E-3</v>
      </c>
      <c r="L22" s="16">
        <v>704.24</v>
      </c>
      <c r="M22" s="10">
        <f t="shared" si="19"/>
        <v>2.9893697478617057E-3</v>
      </c>
      <c r="N22" s="16">
        <v>704.24</v>
      </c>
      <c r="O22" s="10">
        <f t="shared" si="7"/>
        <v>2.6275523624428357E-3</v>
      </c>
      <c r="P22" s="9">
        <v>704.24</v>
      </c>
      <c r="Q22" s="10">
        <f t="shared" si="8"/>
        <v>2.6584515289927841E-3</v>
      </c>
      <c r="R22" s="9">
        <v>704.24</v>
      </c>
      <c r="S22" s="10">
        <f t="shared" si="9"/>
        <v>2.1214823372828558E-3</v>
      </c>
      <c r="T22" s="16">
        <v>704.24</v>
      </c>
      <c r="U22" s="10">
        <f t="shared" si="10"/>
        <v>2.6358166628271964E-3</v>
      </c>
      <c r="V22" s="16">
        <v>704.24</v>
      </c>
      <c r="W22" s="10">
        <f t="shared" si="11"/>
        <v>2.6365248846932179E-3</v>
      </c>
      <c r="X22" s="9">
        <v>1408.24</v>
      </c>
      <c r="Y22" s="10">
        <f t="shared" si="12"/>
        <v>4.7161877995466122E-3</v>
      </c>
      <c r="Z22" s="11">
        <f>(B22+D22+F22+H22+J22+L22+N22+P22+R22+T22+V22+X22)/AE$2</f>
        <v>777.72416666666652</v>
      </c>
      <c r="AA22" s="10">
        <f t="shared" si="13"/>
        <v>3.1093224478045672E-3</v>
      </c>
      <c r="AB22" s="12">
        <f>L22+N22+P22+R22+T22+V22+X22+J22+H22+F22+D22+B22</f>
        <v>9332.6899999999987</v>
      </c>
      <c r="AC22" s="13">
        <f t="shared" si="17"/>
        <v>3.1093224478045676E-3</v>
      </c>
      <c r="AD22" s="5"/>
      <c r="AE22" s="5"/>
    </row>
    <row r="23" spans="1:31" x14ac:dyDescent="0.2">
      <c r="A23" s="9" t="s">
        <v>133</v>
      </c>
      <c r="B23" s="9">
        <v>950</v>
      </c>
      <c r="C23" s="10">
        <f t="shared" si="1"/>
        <v>4.5886103156983224E-3</v>
      </c>
      <c r="D23" s="16">
        <v>950</v>
      </c>
      <c r="E23" s="10">
        <f t="shared" si="18"/>
        <v>4.5798445764660975E-3</v>
      </c>
      <c r="F23" s="9">
        <v>950</v>
      </c>
      <c r="G23" s="18">
        <f t="shared" si="3"/>
        <v>4.469483379002828E-3</v>
      </c>
      <c r="H23" s="16">
        <v>950</v>
      </c>
      <c r="I23" s="10">
        <f t="shared" si="4"/>
        <v>4.2926130635873357E-3</v>
      </c>
      <c r="J23" s="9">
        <v>950</v>
      </c>
      <c r="K23" s="10">
        <f t="shared" si="5"/>
        <v>4.3213576231841654E-3</v>
      </c>
      <c r="L23" s="16">
        <v>950</v>
      </c>
      <c r="M23" s="10">
        <f t="shared" si="19"/>
        <v>4.0325759122864652E-3</v>
      </c>
      <c r="N23" s="16">
        <v>950</v>
      </c>
      <c r="O23" s="10">
        <f t="shared" si="7"/>
        <v>3.5444944114516271E-3</v>
      </c>
      <c r="P23" s="9">
        <v>950</v>
      </c>
      <c r="Q23" s="10">
        <f t="shared" si="8"/>
        <v>3.586176520139647E-3</v>
      </c>
      <c r="R23" s="9">
        <v>950</v>
      </c>
      <c r="S23" s="10">
        <f t="shared" si="9"/>
        <v>2.8618201471355123E-3</v>
      </c>
      <c r="T23" s="16">
        <v>950</v>
      </c>
      <c r="U23" s="10">
        <f t="shared" si="10"/>
        <v>3.5556427207852955E-3</v>
      </c>
      <c r="V23" s="16">
        <v>950</v>
      </c>
      <c r="W23" s="10">
        <f t="shared" si="11"/>
        <v>3.5565980922108329E-3</v>
      </c>
      <c r="X23" s="9">
        <v>950</v>
      </c>
      <c r="Y23" s="10">
        <f t="shared" si="12"/>
        <v>3.1815446298708188E-3</v>
      </c>
      <c r="Z23" s="11">
        <f>(B23+D23+F23+H23+J23+L23+N23+P23+R23+T23+V23+X23)/AE$2</f>
        <v>950</v>
      </c>
      <c r="AA23" s="10">
        <f t="shared" si="13"/>
        <v>3.7980770715594402E-3</v>
      </c>
      <c r="AB23" s="12">
        <f>L23+N23+P23+R23+T23+V23+X23+J23+H23+F23+D23+B23</f>
        <v>11400</v>
      </c>
      <c r="AC23" s="13">
        <f t="shared" si="17"/>
        <v>3.7980770715594406E-3</v>
      </c>
      <c r="AD23" s="5"/>
      <c r="AE23" s="5"/>
    </row>
    <row r="24" spans="1:31" x14ac:dyDescent="0.2">
      <c r="A24" s="16" t="s">
        <v>30</v>
      </c>
      <c r="B24" s="9">
        <v>338.99</v>
      </c>
      <c r="C24" s="10">
        <f t="shared" si="1"/>
        <v>1.637361064124815E-3</v>
      </c>
      <c r="D24" s="9">
        <v>438.39</v>
      </c>
      <c r="E24" s="10">
        <f t="shared" si="18"/>
        <v>2.1134295409231288E-3</v>
      </c>
      <c r="F24" s="9">
        <v>654</v>
      </c>
      <c r="G24" s="18">
        <f t="shared" si="3"/>
        <v>3.0768864524924732E-3</v>
      </c>
      <c r="H24" s="9">
        <v>476.28</v>
      </c>
      <c r="I24" s="10">
        <f t="shared" si="4"/>
        <v>2.1520902630793436E-3</v>
      </c>
      <c r="J24" s="9">
        <v>470.04</v>
      </c>
      <c r="K24" s="10">
        <f t="shared" si="5"/>
        <v>2.1381167760015632E-3</v>
      </c>
      <c r="L24" s="9">
        <v>354.06</v>
      </c>
      <c r="M24" s="10">
        <f t="shared" si="19"/>
        <v>1.5029198184254168E-3</v>
      </c>
      <c r="N24" s="9">
        <v>194.01</v>
      </c>
      <c r="O24" s="10">
        <f t="shared" si="7"/>
        <v>7.2386037975340017E-4</v>
      </c>
      <c r="P24" s="9">
        <v>252.24</v>
      </c>
      <c r="Q24" s="10">
        <f t="shared" si="8"/>
        <v>9.5218648993686792E-4</v>
      </c>
      <c r="R24" s="9">
        <v>243.41</v>
      </c>
      <c r="S24" s="10">
        <f t="shared" si="9"/>
        <v>7.3325857054132109E-4</v>
      </c>
      <c r="T24" s="9">
        <v>230.7</v>
      </c>
      <c r="U24" s="10">
        <f t="shared" si="10"/>
        <v>8.6345976387912382E-4</v>
      </c>
      <c r="V24" s="9">
        <v>230.52</v>
      </c>
      <c r="W24" s="10">
        <f t="shared" si="11"/>
        <v>8.6301788654362236E-4</v>
      </c>
      <c r="X24" s="9">
        <v>369.43</v>
      </c>
      <c r="Y24" s="10">
        <f t="shared" si="12"/>
        <v>1.2372189816980807E-3</v>
      </c>
      <c r="Z24" s="11">
        <f t="shared" si="0"/>
        <v>354.33916666666664</v>
      </c>
      <c r="AA24" s="10">
        <f t="shared" si="13"/>
        <v>1.4166394362864691E-3</v>
      </c>
      <c r="AB24" s="12">
        <f>L24+N24+P24+R24+T24+V24+X24+J24+H24+F24+D24+B24</f>
        <v>4252.0700000000006</v>
      </c>
      <c r="AC24" s="13">
        <f t="shared" si="17"/>
        <v>1.4166394362864695E-3</v>
      </c>
      <c r="AD24" s="5"/>
      <c r="AE24" s="5"/>
    </row>
    <row r="25" spans="1:31" x14ac:dyDescent="0.2">
      <c r="A25" s="9" t="s">
        <v>31</v>
      </c>
      <c r="B25" s="9">
        <f>SUBTOTAL(9,B26:B40)</f>
        <v>48098.130000000005</v>
      </c>
      <c r="C25" s="10">
        <f t="shared" si="1"/>
        <v>0.23231955314084102</v>
      </c>
      <c r="D25" s="9">
        <f>SUBTOTAL(9,D26:D41)</f>
        <v>35671.179999999993</v>
      </c>
      <c r="E25" s="10">
        <f t="shared" si="18"/>
        <v>0.17196680027278516</v>
      </c>
      <c r="F25" s="9">
        <f>SUBTOTAL(9,F26:F41)</f>
        <v>44384.87</v>
      </c>
      <c r="G25" s="18">
        <f t="shared" si="3"/>
        <v>0.20881835657284345</v>
      </c>
      <c r="H25" s="9">
        <f>SUBTOTAL(9,H26:H40)</f>
        <v>59516.450000000004</v>
      </c>
      <c r="I25" s="10">
        <f t="shared" si="4"/>
        <v>0.26892746396667633</v>
      </c>
      <c r="J25" s="9">
        <f>SUBTOTAL(9,J26:J41)</f>
        <v>50058.21</v>
      </c>
      <c r="K25" s="18">
        <f t="shared" si="5"/>
        <v>0.22770466040679349</v>
      </c>
      <c r="L25" s="9">
        <f>SUBTOTAL(9,L26:L40)</f>
        <v>56387.88</v>
      </c>
      <c r="M25" s="10">
        <f t="shared" si="19"/>
        <v>0.23935621750831548</v>
      </c>
      <c r="N25" s="9">
        <f>SUBTOTAL(9,N26:N41)</f>
        <v>77069.049999999988</v>
      </c>
      <c r="O25" s="10">
        <f t="shared" si="7"/>
        <v>0.2875482284430379</v>
      </c>
      <c r="P25" s="9">
        <f>SUBTOTAL(9,P26:P41)</f>
        <v>83865.16</v>
      </c>
      <c r="Q25" s="10">
        <f t="shared" si="8"/>
        <v>0.3165844922628997</v>
      </c>
      <c r="R25" s="9">
        <f>SUBTOTAL(9,R26:R41)</f>
        <v>75962.819999999992</v>
      </c>
      <c r="S25" s="10">
        <f t="shared" si="9"/>
        <v>0.22883360916760886</v>
      </c>
      <c r="T25" s="9">
        <f>SUBTOTAL(9,T26:T41)</f>
        <v>78462.909999999989</v>
      </c>
      <c r="U25" s="10">
        <f t="shared" si="10"/>
        <v>0.29366955241382287</v>
      </c>
      <c r="V25" s="9">
        <f>SUBTOTAL(9,V26:V41)</f>
        <v>84222.689999999988</v>
      </c>
      <c r="W25" s="10">
        <f t="shared" si="11"/>
        <v>0.31531185113143617</v>
      </c>
      <c r="X25" s="9">
        <f>SUBTOTAL(9,X26:X41)</f>
        <v>102453.31999999999</v>
      </c>
      <c r="Y25" s="10">
        <f t="shared" si="12"/>
        <v>0.34311558953519639</v>
      </c>
      <c r="Z25" s="11">
        <f>(B25+D25+F25+H25+J25+L25+N25+P25+R25+T25+V25+X25)/AE$2</f>
        <v>66346.055833333317</v>
      </c>
      <c r="AA25" s="10">
        <f t="shared" si="13"/>
        <v>0.26524992994630076</v>
      </c>
      <c r="AB25" s="12">
        <f>SUBTOTAL(9,AB26:AB41)</f>
        <v>796286.44000000018</v>
      </c>
      <c r="AC25" s="13">
        <f t="shared" ref="AC25:AC67" si="20">AB25/AB$2</f>
        <v>0.26529449738225375</v>
      </c>
      <c r="AD25" s="5"/>
      <c r="AE25" s="5"/>
    </row>
    <row r="26" spans="1:31" x14ac:dyDescent="0.2">
      <c r="A26" s="9" t="s">
        <v>32</v>
      </c>
      <c r="B26" s="9">
        <f>920+49.09+1915.7+4953.73+2482.94+2122.48+2058.29+1902.5+2950.45</f>
        <v>19355.18</v>
      </c>
      <c r="C26" s="10">
        <f t="shared" si="1"/>
        <v>9.3487766958103E-2</v>
      </c>
      <c r="D26" s="9">
        <f>2121.98+3770.95+3159.24+3335.36+2595.33+2201.98+3025.1</f>
        <v>20209.939999999999</v>
      </c>
      <c r="E26" s="10">
        <f t="shared" si="18"/>
        <v>9.7429877999689718E-2</v>
      </c>
      <c r="F26" s="9">
        <f>2189.62+5030.68+3095.8+3720.5+2529.82+2121.98+2934.5</f>
        <v>21622.9</v>
      </c>
      <c r="G26" s="18">
        <f t="shared" si="3"/>
        <v>0.10172967595351606</v>
      </c>
      <c r="H26" s="9">
        <f>2523.35+4991.68+3095.8+3732.21+2339.87+2374.18+2887.1</f>
        <v>21944.19</v>
      </c>
      <c r="I26" s="10">
        <f t="shared" si="4"/>
        <v>9.9155701751413236E-2</v>
      </c>
      <c r="J26" s="9">
        <f>2593.84+3015.9+3095.8+3745.11+2649.77+2386.18+2946.97</f>
        <v>20433.570000000003</v>
      </c>
      <c r="K26" s="18">
        <f t="shared" si="5"/>
        <v>9.2948172093018186E-2</v>
      </c>
      <c r="L26" s="9">
        <f>2239.52+3805.94+2122.11+3376.3+2564.19+107.25+2353.02+1476.18+2778.9+58.07</f>
        <v>20881.48</v>
      </c>
      <c r="M26" s="10">
        <f t="shared" si="19"/>
        <v>8.8638056064096388E-2</v>
      </c>
      <c r="N26" s="9">
        <f>677.34+2469.47+4879+2985.18+3684.01+3082.27+2078.6+1779.52+2333.98+2867</f>
        <v>26836.37</v>
      </c>
      <c r="O26" s="10">
        <f t="shared" si="7"/>
        <v>0.10012775104068221</v>
      </c>
      <c r="P26" s="9">
        <f>2467.04+1840.18+2389.43+4940.79+2877.43+2431.78+3082.27+2370.6+2652.19+2386.18+2727.3+4614.56</f>
        <v>34779.749999999993</v>
      </c>
      <c r="Q26" s="10">
        <f t="shared" si="8"/>
        <v>0.13129086613297564</v>
      </c>
      <c r="R26" s="9">
        <f>2028.11+1840.18+4696.53+3079.31+3497.39+3082.27+1703.46+2652.19+2321.04+2731.57+390.12</f>
        <v>28022.169999999995</v>
      </c>
      <c r="S26" s="10">
        <f t="shared" si="9"/>
        <v>8.4415169128901388E-2</v>
      </c>
      <c r="T26" s="9">
        <f>1331.29+4624.44+2481.48+3359.46+3082.27+2154.43+2652.19+2322.61+2834.64</f>
        <v>24842.809999999998</v>
      </c>
      <c r="U26" s="10">
        <f t="shared" si="10"/>
        <v>9.2981217410896988E-2</v>
      </c>
      <c r="V26" s="9">
        <f>4888.3+1810.03+3035.09+3353.23+2645.83+2386.18+3026.16+2652.19+1523.35+2204.16</f>
        <v>27524.519999999997</v>
      </c>
      <c r="W26" s="10">
        <f t="shared" si="11"/>
        <v>0.10304595296949359</v>
      </c>
      <c r="X26" s="9">
        <f>2155.78+2608.6+2291.97+3206.67+5149.66+2886.18+3026.16+2204.18+2777.36+3035.56</f>
        <v>29342.120000000003</v>
      </c>
      <c r="Y26" s="10">
        <f t="shared" si="12"/>
        <v>9.8266594015815958E-2</v>
      </c>
      <c r="Z26" s="11">
        <f>(B26+D26+F26+H26+J26+L26+N26+P26+R26+T26+V26+X26)/AE$2</f>
        <v>24649.583333333332</v>
      </c>
      <c r="AA26" s="10">
        <f t="shared" si="13"/>
        <v>9.8548439244028466E-2</v>
      </c>
      <c r="AB26" s="12">
        <f>L26+N26+P26+R26+T26+V26+X26+J26+H26+F26+D26+B26</f>
        <v>295794.99999999994</v>
      </c>
      <c r="AC26" s="13">
        <f t="shared" si="20"/>
        <v>9.8548439244028466E-2</v>
      </c>
      <c r="AD26" s="5"/>
      <c r="AE26" s="5"/>
    </row>
    <row r="27" spans="1:31" x14ac:dyDescent="0.2">
      <c r="A27" s="9" t="s">
        <v>139</v>
      </c>
      <c r="B27" s="9"/>
      <c r="C27" s="10"/>
      <c r="D27" s="9"/>
      <c r="E27" s="10"/>
      <c r="F27" s="9"/>
      <c r="G27" s="18"/>
      <c r="H27" s="9"/>
      <c r="I27" s="10"/>
      <c r="J27" s="9"/>
      <c r="K27" s="18"/>
      <c r="L27" s="9">
        <v>7500</v>
      </c>
      <c r="M27" s="10"/>
      <c r="N27" s="9">
        <v>7500</v>
      </c>
      <c r="O27" s="10"/>
      <c r="P27" s="9">
        <v>7500</v>
      </c>
      <c r="Q27" s="10"/>
      <c r="R27" s="9">
        <v>7500</v>
      </c>
      <c r="S27" s="10"/>
      <c r="T27" s="9">
        <v>7500</v>
      </c>
      <c r="U27" s="10"/>
      <c r="V27" s="9">
        <v>7500</v>
      </c>
      <c r="W27" s="10"/>
      <c r="X27" s="9">
        <v>7500</v>
      </c>
      <c r="Y27" s="10"/>
      <c r="Z27" s="11">
        <f>(B27+D27+F27+H27+J27+L27+N27+P27+R27+T27+V27+X27)/AE$2</f>
        <v>4375</v>
      </c>
      <c r="AA27" s="10">
        <f t="shared" si="13"/>
        <v>1.749114440849742E-2</v>
      </c>
      <c r="AB27" s="12">
        <f>L27+N27+P27+R27+T27+V27+X27+J27+H27+F27+D27+B27</f>
        <v>52500</v>
      </c>
      <c r="AC27" s="13">
        <f t="shared" si="20"/>
        <v>1.7491144408497424E-2</v>
      </c>
      <c r="AD27" s="5"/>
      <c r="AE27" s="5"/>
    </row>
    <row r="28" spans="1:31" x14ac:dyDescent="0.2">
      <c r="A28" s="9" t="s">
        <v>146</v>
      </c>
      <c r="B28" s="9"/>
      <c r="C28" s="10"/>
      <c r="D28" s="9"/>
      <c r="E28" s="10"/>
      <c r="F28" s="9"/>
      <c r="G28" s="18"/>
      <c r="H28" s="9"/>
      <c r="I28" s="10"/>
      <c r="J28" s="9"/>
      <c r="K28" s="18"/>
      <c r="L28" s="9"/>
      <c r="M28" s="10"/>
      <c r="N28" s="9"/>
      <c r="O28" s="10"/>
      <c r="P28" s="9">
        <v>2000</v>
      </c>
      <c r="Q28" s="10"/>
      <c r="R28" s="9">
        <v>6000</v>
      </c>
      <c r="S28" s="10"/>
      <c r="T28" s="9">
        <v>6000</v>
      </c>
      <c r="U28" s="10"/>
      <c r="V28" s="9">
        <v>6600</v>
      </c>
      <c r="W28" s="10"/>
      <c r="X28" s="9">
        <v>6600</v>
      </c>
      <c r="Y28" s="10"/>
      <c r="Z28" s="11">
        <f t="shared" ref="Z28:Z29" si="21">(B28+D28+F28+H28+J28+L28+N28+P28+R28+T28+V28+X28)/AE$2</f>
        <v>2266.6666666666665</v>
      </c>
      <c r="AA28" s="10">
        <f t="shared" si="13"/>
        <v>9.062078626878663E-3</v>
      </c>
      <c r="AB28" s="12">
        <f t="shared" ref="AB28:AB29" si="22">L28+N28+P28+R28+T28+V28+X28+J28+H28+F28+D28+B28</f>
        <v>27200</v>
      </c>
      <c r="AC28" s="13">
        <f t="shared" si="20"/>
        <v>9.0620786268786647E-3</v>
      </c>
      <c r="AD28" s="5"/>
      <c r="AE28" s="5"/>
    </row>
    <row r="29" spans="1:31" x14ac:dyDescent="0.2">
      <c r="A29" s="9" t="s">
        <v>33</v>
      </c>
      <c r="B29" s="9">
        <v>4320</v>
      </c>
      <c r="C29" s="10">
        <f t="shared" si="1"/>
        <v>2.0866101646122896E-2</v>
      </c>
      <c r="D29" s="9">
        <v>3937.5</v>
      </c>
      <c r="E29" s="10">
        <f t="shared" si="18"/>
        <v>1.8982250547195011E-2</v>
      </c>
      <c r="F29" s="9">
        <f>D29</f>
        <v>3937.5</v>
      </c>
      <c r="G29" s="10">
        <f t="shared" si="3"/>
        <v>1.8524832426130143E-2</v>
      </c>
      <c r="H29" s="9">
        <f>3937.5+8000</f>
        <v>11937.5</v>
      </c>
      <c r="I29" s="10">
        <f t="shared" si="4"/>
        <v>5.3940072049025081E-2</v>
      </c>
      <c r="J29" s="9">
        <v>1942.5</v>
      </c>
      <c r="K29" s="18">
        <f t="shared" si="5"/>
        <v>8.8360391400370969E-3</v>
      </c>
      <c r="L29" s="9">
        <v>1942.5</v>
      </c>
      <c r="M29" s="18">
        <f t="shared" si="19"/>
        <v>8.2455565364383775E-3</v>
      </c>
      <c r="N29" s="9">
        <v>11942.5</v>
      </c>
      <c r="O29" s="10">
        <f t="shared" si="7"/>
        <v>4.4558025798695854E-2</v>
      </c>
      <c r="P29" s="9">
        <v>1942.5</v>
      </c>
      <c r="Q29" s="10">
        <f t="shared" si="8"/>
        <v>7.3327872530223829E-3</v>
      </c>
      <c r="R29" s="9">
        <f>1942.5+1000</f>
        <v>2942.5</v>
      </c>
      <c r="S29" s="10">
        <f t="shared" si="9"/>
        <v>8.8641113504697323E-3</v>
      </c>
      <c r="T29" s="9">
        <f>11000+1942.5</f>
        <v>12942.5</v>
      </c>
      <c r="U29" s="10">
        <f t="shared" si="10"/>
        <v>4.8440953593435455E-2</v>
      </c>
      <c r="V29" s="9">
        <v>1942.5</v>
      </c>
      <c r="W29" s="10">
        <f t="shared" si="11"/>
        <v>7.2723071517047828E-3</v>
      </c>
      <c r="X29" s="9">
        <v>1942.5</v>
      </c>
      <c r="Y29" s="10">
        <f t="shared" si="12"/>
        <v>6.5054215194990167E-3</v>
      </c>
      <c r="Z29" s="11">
        <f t="shared" si="21"/>
        <v>5139.375</v>
      </c>
      <c r="AA29" s="10">
        <f t="shared" si="13"/>
        <v>2.0547097210153471E-2</v>
      </c>
      <c r="AB29" s="12">
        <f t="shared" si="22"/>
        <v>61672.5</v>
      </c>
      <c r="AC29" s="13">
        <f t="shared" si="20"/>
        <v>2.0547097210153475E-2</v>
      </c>
      <c r="AD29" s="5"/>
      <c r="AE29" s="5"/>
    </row>
    <row r="30" spans="1:31" x14ac:dyDescent="0.2">
      <c r="A30" s="9" t="s">
        <v>110</v>
      </c>
      <c r="B30" s="9"/>
      <c r="C30" s="10">
        <f t="shared" si="1"/>
        <v>0</v>
      </c>
      <c r="D30" s="9"/>
      <c r="E30" s="10">
        <f t="shared" si="18"/>
        <v>0</v>
      </c>
      <c r="F30" s="9"/>
      <c r="G30" s="10">
        <f t="shared" si="3"/>
        <v>0</v>
      </c>
      <c r="H30" s="9"/>
      <c r="I30" s="18">
        <f t="shared" si="4"/>
        <v>0</v>
      </c>
      <c r="J30" s="9"/>
      <c r="K30" s="18">
        <f t="shared" si="5"/>
        <v>0</v>
      </c>
      <c r="L30" s="9"/>
      <c r="M30" s="18">
        <f t="shared" si="19"/>
        <v>0</v>
      </c>
      <c r="N30" s="9"/>
      <c r="O30" s="10">
        <f t="shared" si="7"/>
        <v>0</v>
      </c>
      <c r="P30" s="9">
        <v>8000</v>
      </c>
      <c r="Q30" s="10">
        <f t="shared" si="8"/>
        <v>3.0199381222228604E-2</v>
      </c>
      <c r="R30" s="9"/>
      <c r="S30" s="10">
        <f t="shared" si="9"/>
        <v>0</v>
      </c>
      <c r="T30" s="9"/>
      <c r="U30" s="10">
        <f t="shared" si="10"/>
        <v>0</v>
      </c>
      <c r="V30" s="9"/>
      <c r="W30" s="10">
        <f t="shared" si="11"/>
        <v>0</v>
      </c>
      <c r="X30" s="9"/>
      <c r="Y30" s="10">
        <f t="shared" si="12"/>
        <v>0</v>
      </c>
      <c r="Z30" s="11">
        <f t="shared" ref="Z30:Z74" si="23">(B30+D30+F30+H30+J30+L30+N30+P30+R30+T30+V30+X30)/AE$2</f>
        <v>666.66666666666663</v>
      </c>
      <c r="AA30" s="10">
        <f t="shared" si="13"/>
        <v>2.6653172431996071E-3</v>
      </c>
      <c r="AB30" s="12">
        <f t="shared" ref="AB30:AB41" si="24">L30+N30+P30+R30+T30+V30+X30+J30+H30+F30+D30+B30</f>
        <v>8000</v>
      </c>
      <c r="AC30" s="13">
        <f t="shared" si="20"/>
        <v>2.6653172431996075E-3</v>
      </c>
      <c r="AD30" s="5"/>
      <c r="AE30" s="5"/>
    </row>
    <row r="31" spans="1:31" x14ac:dyDescent="0.2">
      <c r="A31" s="9" t="s">
        <v>34</v>
      </c>
      <c r="B31" s="9">
        <v>4240.51</v>
      </c>
      <c r="C31" s="10">
        <f t="shared" si="1"/>
        <v>2.0482155715601993E-2</v>
      </c>
      <c r="D31" s="9"/>
      <c r="E31" s="10">
        <f t="shared" si="18"/>
        <v>0</v>
      </c>
      <c r="F31" s="9"/>
      <c r="G31" s="10">
        <f t="shared" si="3"/>
        <v>0</v>
      </c>
      <c r="H31" s="9">
        <f>4729.51+421.17</f>
        <v>5150.68</v>
      </c>
      <c r="I31" s="10">
        <f t="shared" si="4"/>
        <v>2.3273553951955812E-2</v>
      </c>
      <c r="J31" s="9">
        <f>1109.82+1422.58+2486.12</f>
        <v>5018.5199999999995</v>
      </c>
      <c r="K31" s="10">
        <f>J31/J$2</f>
        <v>2.2828231220107575E-2</v>
      </c>
      <c r="L31" s="9"/>
      <c r="M31" s="10">
        <f t="shared" si="19"/>
        <v>0</v>
      </c>
      <c r="N31" s="9">
        <f>1779.3+194.25</f>
        <v>1973.55</v>
      </c>
      <c r="O31" s="10">
        <f t="shared" si="7"/>
        <v>7.3634073112845881E-3</v>
      </c>
      <c r="P31" s="9"/>
      <c r="Q31" s="10">
        <f t="shared" si="8"/>
        <v>0</v>
      </c>
      <c r="R31" s="9">
        <f>1351.76+854.7</f>
        <v>2206.46</v>
      </c>
      <c r="S31" s="10">
        <f t="shared" si="9"/>
        <v>6.6468333493143392E-3</v>
      </c>
      <c r="T31" s="9"/>
      <c r="U31" s="10">
        <f t="shared" si="10"/>
        <v>0</v>
      </c>
      <c r="V31" s="9"/>
      <c r="W31" s="10">
        <f t="shared" si="11"/>
        <v>0</v>
      </c>
      <c r="X31" s="9">
        <v>15483.17</v>
      </c>
      <c r="Y31" s="10">
        <f t="shared" si="12"/>
        <v>5.1853048807238913E-2</v>
      </c>
      <c r="Z31" s="11">
        <f t="shared" si="23"/>
        <v>2839.4074999999998</v>
      </c>
      <c r="AA31" s="10">
        <f t="shared" si="13"/>
        <v>1.1351882655330431E-2</v>
      </c>
      <c r="AB31" s="12">
        <f t="shared" si="24"/>
        <v>34072.89</v>
      </c>
      <c r="AC31" s="13">
        <f t="shared" si="20"/>
        <v>1.1351882655330435E-2</v>
      </c>
      <c r="AD31" s="5"/>
      <c r="AE31" s="5"/>
    </row>
    <row r="32" spans="1:31" x14ac:dyDescent="0.2">
      <c r="A32" s="9" t="s">
        <v>35</v>
      </c>
      <c r="B32" s="9"/>
      <c r="C32" s="10">
        <f t="shared" si="1"/>
        <v>0</v>
      </c>
      <c r="D32" s="9"/>
      <c r="E32" s="10">
        <f t="shared" si="18"/>
        <v>0</v>
      </c>
      <c r="F32" s="9"/>
      <c r="G32" s="10">
        <f t="shared" si="3"/>
        <v>0</v>
      </c>
      <c r="H32" s="9"/>
      <c r="I32" s="10">
        <f t="shared" si="4"/>
        <v>0</v>
      </c>
      <c r="J32" s="9"/>
      <c r="K32" s="10">
        <f>J32/J$2</f>
        <v>0</v>
      </c>
      <c r="L32" s="9"/>
      <c r="M32" s="10">
        <f t="shared" si="19"/>
        <v>0</v>
      </c>
      <c r="N32" s="9"/>
      <c r="O32" s="10">
        <f t="shared" si="7"/>
        <v>0</v>
      </c>
      <c r="P32" s="9"/>
      <c r="Q32" s="10">
        <f t="shared" si="8"/>
        <v>0</v>
      </c>
      <c r="R32" s="9"/>
      <c r="S32" s="10">
        <f t="shared" si="9"/>
        <v>0</v>
      </c>
      <c r="T32" s="9"/>
      <c r="U32" s="10">
        <f t="shared" si="10"/>
        <v>0</v>
      </c>
      <c r="V32" s="9">
        <v>17651.21</v>
      </c>
      <c r="W32" s="10">
        <f t="shared" si="11"/>
        <v>6.6082378748645032E-2</v>
      </c>
      <c r="X32" s="9">
        <v>13884.69</v>
      </c>
      <c r="Y32" s="10">
        <f t="shared" si="12"/>
        <v>4.6499748323074803E-2</v>
      </c>
      <c r="Z32" s="11">
        <f t="shared" si="23"/>
        <v>2627.9916666666668</v>
      </c>
      <c r="AA32" s="10">
        <f t="shared" si="13"/>
        <v>1.0506647256227311E-2</v>
      </c>
      <c r="AB32" s="12">
        <f t="shared" si="24"/>
        <v>31535.9</v>
      </c>
      <c r="AC32" s="13">
        <f t="shared" si="20"/>
        <v>1.0506647256227313E-2</v>
      </c>
      <c r="AD32" s="5"/>
      <c r="AE32" s="5"/>
    </row>
    <row r="33" spans="1:31" x14ac:dyDescent="0.2">
      <c r="A33" s="9" t="s">
        <v>36</v>
      </c>
      <c r="B33" s="9">
        <v>7700</v>
      </c>
      <c r="C33" s="10">
        <f t="shared" si="1"/>
        <v>3.7191894137765344E-2</v>
      </c>
      <c r="D33" s="9"/>
      <c r="E33" s="10">
        <f t="shared" si="18"/>
        <v>0</v>
      </c>
      <c r="F33" s="9">
        <v>7700</v>
      </c>
      <c r="G33" s="18">
        <f t="shared" si="3"/>
        <v>3.6226338966654503E-2</v>
      </c>
      <c r="H33" s="9">
        <v>8470</v>
      </c>
      <c r="I33" s="18">
        <f t="shared" si="4"/>
        <v>3.8272034366931301E-2</v>
      </c>
      <c r="J33" s="9">
        <f>8085+1980</f>
        <v>10065</v>
      </c>
      <c r="K33" s="18">
        <f>J33/J$2</f>
        <v>4.5783646818261713E-2</v>
      </c>
      <c r="L33" s="9">
        <v>11055</v>
      </c>
      <c r="M33" s="18">
        <f t="shared" si="19"/>
        <v>4.6926449168765129E-2</v>
      </c>
      <c r="N33" s="9">
        <f>12650+1265</f>
        <v>13915</v>
      </c>
      <c r="O33" s="18">
        <f t="shared" si="7"/>
        <v>5.1917515510894102E-2</v>
      </c>
      <c r="P33" s="9">
        <v>12485</v>
      </c>
      <c r="Q33" s="10">
        <f t="shared" si="8"/>
        <v>4.7129909319940516E-2</v>
      </c>
      <c r="R33" s="9">
        <v>11550</v>
      </c>
      <c r="S33" s="10">
        <f t="shared" si="9"/>
        <v>3.4793708104647547E-2</v>
      </c>
      <c r="T33" s="9">
        <v>10435</v>
      </c>
      <c r="U33" s="10">
        <f t="shared" si="10"/>
        <v>3.9055928201467957E-2</v>
      </c>
      <c r="V33" s="9">
        <v>10050</v>
      </c>
      <c r="W33" s="10">
        <f t="shared" si="11"/>
        <v>3.7625064028125127E-2</v>
      </c>
      <c r="X33" s="9">
        <v>9405</v>
      </c>
      <c r="Y33" s="10">
        <f t="shared" si="12"/>
        <v>3.1497291835721107E-2</v>
      </c>
      <c r="Z33" s="11">
        <f t="shared" si="23"/>
        <v>9402.5</v>
      </c>
      <c r="AA33" s="10">
        <f t="shared" si="13"/>
        <v>3.7590968068776459E-2</v>
      </c>
      <c r="AB33" s="12">
        <f t="shared" si="24"/>
        <v>112830</v>
      </c>
      <c r="AC33" s="13">
        <f t="shared" si="20"/>
        <v>3.7590968068776466E-2</v>
      </c>
      <c r="AD33" s="5"/>
      <c r="AE33" s="5"/>
    </row>
    <row r="34" spans="1:31" x14ac:dyDescent="0.2">
      <c r="A34" s="9" t="s">
        <v>37</v>
      </c>
      <c r="B34" s="9">
        <v>2064.0300000000002</v>
      </c>
      <c r="C34" s="10">
        <f t="shared" si="1"/>
        <v>9.9695045788534831E-3</v>
      </c>
      <c r="D34" s="9">
        <v>667.9</v>
      </c>
      <c r="E34" s="10">
        <f t="shared" si="18"/>
        <v>3.2198717817070593E-3</v>
      </c>
      <c r="F34" s="9">
        <v>966.82</v>
      </c>
      <c r="G34" s="18">
        <f t="shared" si="3"/>
        <v>4.5486167584079104E-3</v>
      </c>
      <c r="H34" s="9">
        <v>1435.45</v>
      </c>
      <c r="I34" s="18">
        <f t="shared" si="4"/>
        <v>6.4861383390804649E-3</v>
      </c>
      <c r="J34" s="9">
        <v>2038.93</v>
      </c>
      <c r="K34" s="18">
        <f>L34/J$2</f>
        <v>4.162013246826122E-3</v>
      </c>
      <c r="L34" s="9">
        <v>914.97</v>
      </c>
      <c r="M34" s="18">
        <f t="shared" si="19"/>
        <v>3.8838799815418389E-3</v>
      </c>
      <c r="N34" s="9">
        <v>998.27</v>
      </c>
      <c r="O34" s="18">
        <f t="shared" si="7"/>
        <v>3.7245920380208587E-3</v>
      </c>
      <c r="P34" s="9">
        <v>1696.66</v>
      </c>
      <c r="Q34" s="10">
        <f t="shared" si="8"/>
        <v>6.4047602680632988E-3</v>
      </c>
      <c r="R34" s="9">
        <v>1818.82</v>
      </c>
      <c r="S34" s="10">
        <f t="shared" si="9"/>
        <v>5.4790902315926442E-3</v>
      </c>
      <c r="T34" s="9">
        <v>2645.06</v>
      </c>
      <c r="U34" s="10">
        <f t="shared" si="10"/>
        <v>9.8998824579372147E-3</v>
      </c>
      <c r="V34" s="9">
        <v>2460.2600000000002</v>
      </c>
      <c r="W34" s="10">
        <f t="shared" si="11"/>
        <v>9.2106905498343418E-3</v>
      </c>
      <c r="X34" s="9">
        <v>2993.98</v>
      </c>
      <c r="Y34" s="10">
        <f t="shared" si="12"/>
        <v>1.0026822095726983E-2</v>
      </c>
      <c r="Z34" s="11">
        <f t="shared" si="23"/>
        <v>1725.0958333333331</v>
      </c>
      <c r="AA34" s="10">
        <f t="shared" si="13"/>
        <v>6.8968915061326918E-3</v>
      </c>
      <c r="AB34" s="12">
        <f t="shared" si="24"/>
        <v>20701.150000000001</v>
      </c>
      <c r="AC34" s="13">
        <f t="shared" si="20"/>
        <v>6.8968915061326944E-3</v>
      </c>
      <c r="AD34" s="5"/>
      <c r="AE34" s="5"/>
    </row>
    <row r="35" spans="1:31" x14ac:dyDescent="0.2">
      <c r="A35" s="9" t="s">
        <v>38</v>
      </c>
      <c r="B35" s="9">
        <v>2757.61</v>
      </c>
      <c r="C35" s="10">
        <f t="shared" si="1"/>
        <v>1.3319576518603E-2</v>
      </c>
      <c r="D35" s="9">
        <v>2821.19</v>
      </c>
      <c r="E35" s="10">
        <f t="shared" si="18"/>
        <v>1.3600643916505674E-2</v>
      </c>
      <c r="F35" s="9">
        <v>2816.06</v>
      </c>
      <c r="G35" s="18">
        <f t="shared" si="3"/>
        <v>1.3248771962394426E-2</v>
      </c>
      <c r="H35" s="9">
        <v>2994.92</v>
      </c>
      <c r="I35" s="18">
        <f t="shared" si="4"/>
        <v>1.353266601726209E-2</v>
      </c>
      <c r="J35" s="9">
        <v>2974.89</v>
      </c>
      <c r="K35" s="18">
        <f t="shared" ref="K35:K79" si="25">J35/J$2</f>
        <v>1.353217218908878E-2</v>
      </c>
      <c r="L35" s="9">
        <v>3783.92</v>
      </c>
      <c r="M35" s="18">
        <f t="shared" si="19"/>
        <v>1.6062046995809477E-2</v>
      </c>
      <c r="N35" s="9">
        <v>3609.57</v>
      </c>
      <c r="O35" s="18">
        <f t="shared" si="7"/>
        <v>1.3467474413414159E-2</v>
      </c>
      <c r="P35" s="9">
        <v>4302.28</v>
      </c>
      <c r="Q35" s="10">
        <f t="shared" si="8"/>
        <v>1.6240774230596208E-2</v>
      </c>
      <c r="R35" s="9">
        <v>4575.9799999999996</v>
      </c>
      <c r="S35" s="10">
        <f t="shared" si="9"/>
        <v>1.3784875533567538E-2</v>
      </c>
      <c r="T35" s="9">
        <v>4043.81</v>
      </c>
      <c r="U35" s="10">
        <f t="shared" si="10"/>
        <v>1.5135098516567143E-2</v>
      </c>
      <c r="V35" s="9"/>
      <c r="W35" s="10">
        <f t="shared" si="11"/>
        <v>0</v>
      </c>
      <c r="X35" s="9">
        <f>2089.4+230.8</f>
        <v>2320.2000000000003</v>
      </c>
      <c r="Y35" s="10">
        <f t="shared" si="12"/>
        <v>7.7703366844487105E-3</v>
      </c>
      <c r="Z35" s="11">
        <f t="shared" si="23"/>
        <v>3083.3691666666659</v>
      </c>
      <c r="AA35" s="10">
        <f t="shared" si="13"/>
        <v>1.2327235510600002E-2</v>
      </c>
      <c r="AB35" s="12">
        <f t="shared" si="24"/>
        <v>37000.43</v>
      </c>
      <c r="AC35" s="13">
        <f t="shared" si="20"/>
        <v>1.2327235510600007E-2</v>
      </c>
      <c r="AD35" s="5"/>
      <c r="AE35" s="5"/>
    </row>
    <row r="36" spans="1:31" x14ac:dyDescent="0.2">
      <c r="A36" s="9" t="s">
        <v>39</v>
      </c>
      <c r="B36" s="9">
        <v>3039.64</v>
      </c>
      <c r="C36" s="10">
        <f t="shared" si="1"/>
        <v>1.4681814168430786E-2</v>
      </c>
      <c r="D36" s="9">
        <v>2272.37</v>
      </c>
      <c r="E36" s="10">
        <f t="shared" si="18"/>
        <v>1.095484360023607E-2</v>
      </c>
      <c r="F36" s="9">
        <v>2397.75</v>
      </c>
      <c r="G36" s="18">
        <f t="shared" si="3"/>
        <v>1.1280740812635822E-2</v>
      </c>
      <c r="H36" s="9">
        <v>2394.3000000000002</v>
      </c>
      <c r="I36" s="18">
        <f t="shared" si="4"/>
        <v>1.0818740482260168E-2</v>
      </c>
      <c r="J36" s="9">
        <v>2386.54</v>
      </c>
      <c r="K36" s="18">
        <f t="shared" si="25"/>
        <v>1.0855887181088356E-2</v>
      </c>
      <c r="L36" s="9">
        <v>3076.87</v>
      </c>
      <c r="M36" s="18">
        <f t="shared" si="19"/>
        <v>1.30607493128809E-2</v>
      </c>
      <c r="N36" s="9">
        <v>2962.76</v>
      </c>
      <c r="O36" s="18">
        <f t="shared" si="7"/>
        <v>1.1054196065760446E-2</v>
      </c>
      <c r="P36" s="9">
        <v>3507.47</v>
      </c>
      <c r="Q36" s="10">
        <f t="shared" si="8"/>
        <v>1.324042795694127E-2</v>
      </c>
      <c r="R36" s="9">
        <v>3663.73</v>
      </c>
      <c r="S36" s="10">
        <f t="shared" si="9"/>
        <v>1.1036775081752411E-2</v>
      </c>
      <c r="T36" s="9">
        <v>3429.95</v>
      </c>
      <c r="U36" s="10">
        <f t="shared" si="10"/>
        <v>1.2837554473850024E-2</v>
      </c>
      <c r="V36" s="9">
        <v>3612.55</v>
      </c>
      <c r="W36" s="10">
        <f t="shared" si="11"/>
        <v>1.3524619408438153E-2</v>
      </c>
      <c r="X36" s="9">
        <v>4706.97</v>
      </c>
      <c r="Y36" s="10">
        <f t="shared" si="12"/>
        <v>1.5763615922592684E-2</v>
      </c>
      <c r="Z36" s="11">
        <f t="shared" si="23"/>
        <v>3120.9083333333333</v>
      </c>
      <c r="AA36" s="10">
        <f t="shared" si="13"/>
        <v>1.2477316192918021E-2</v>
      </c>
      <c r="AB36" s="12">
        <f t="shared" si="24"/>
        <v>37450.9</v>
      </c>
      <c r="AC36" s="13">
        <f t="shared" si="20"/>
        <v>1.2477316192918022E-2</v>
      </c>
      <c r="AD36" s="5"/>
      <c r="AE36" s="5"/>
    </row>
    <row r="37" spans="1:31" x14ac:dyDescent="0.2">
      <c r="A37" s="9" t="s">
        <v>40</v>
      </c>
      <c r="B37" s="9">
        <v>2724.15</v>
      </c>
      <c r="C37" s="10">
        <f t="shared" si="1"/>
        <v>1.3157960833167984E-2</v>
      </c>
      <c r="D37" s="9">
        <v>3229.31</v>
      </c>
      <c r="E37" s="10">
        <f t="shared" si="18"/>
        <v>1.5568145146555509E-2</v>
      </c>
      <c r="F37" s="9">
        <v>2769.44</v>
      </c>
      <c r="G37" s="10">
        <f t="shared" si="3"/>
        <v>1.3029437946469045E-2</v>
      </c>
      <c r="H37" s="9">
        <v>2740.01</v>
      </c>
      <c r="I37" s="10">
        <f t="shared" si="4"/>
        <v>1.2380844968799935E-2</v>
      </c>
      <c r="J37" s="9">
        <v>2823.66</v>
      </c>
      <c r="K37" s="10">
        <f t="shared" si="25"/>
        <v>1.2844257543452841E-2</v>
      </c>
      <c r="L37" s="9">
        <v>4169.1400000000003</v>
      </c>
      <c r="M37" s="10">
        <f t="shared" si="19"/>
        <v>1.7697235304157889E-2</v>
      </c>
      <c r="N37" s="9">
        <v>4196.83</v>
      </c>
      <c r="O37" s="10">
        <f t="shared" si="7"/>
        <v>1.5658568927171088E-2</v>
      </c>
      <c r="P37" s="9">
        <v>4091.9</v>
      </c>
      <c r="Q37" s="10">
        <f t="shared" si="8"/>
        <v>1.5446606002904654E-2</v>
      </c>
      <c r="R37" s="9">
        <v>4588.3599999999997</v>
      </c>
      <c r="S37" s="10">
        <f t="shared" si="9"/>
        <v>1.3822169568748103E-2</v>
      </c>
      <c r="T37" s="9">
        <v>3579</v>
      </c>
      <c r="U37" s="10">
        <f t="shared" si="10"/>
        <v>1.3395416102832181E-2</v>
      </c>
      <c r="V37" s="9">
        <v>3986.65</v>
      </c>
      <c r="W37" s="10">
        <f t="shared" si="11"/>
        <v>1.4925170299276124E-2</v>
      </c>
      <c r="X37" s="9">
        <v>5399.91</v>
      </c>
      <c r="Y37" s="10">
        <f t="shared" si="12"/>
        <v>1.808426806556393E-2</v>
      </c>
      <c r="Z37" s="11">
        <f t="shared" si="23"/>
        <v>3691.53</v>
      </c>
      <c r="AA37" s="10">
        <f t="shared" si="13"/>
        <v>1.4758647844182968E-2</v>
      </c>
      <c r="AB37" s="12">
        <f t="shared" si="24"/>
        <v>44298.36</v>
      </c>
      <c r="AC37" s="13">
        <f t="shared" si="20"/>
        <v>1.475864784418297E-2</v>
      </c>
      <c r="AD37" s="5"/>
      <c r="AE37" s="5"/>
    </row>
    <row r="38" spans="1:31" x14ac:dyDescent="0.2">
      <c r="A38" s="9" t="s">
        <v>41</v>
      </c>
      <c r="B38" s="9">
        <v>417.61</v>
      </c>
      <c r="C38" s="10">
        <f t="shared" si="1"/>
        <v>2.0171047936197646E-3</v>
      </c>
      <c r="D38" s="9">
        <v>180</v>
      </c>
      <c r="E38" s="10">
        <f t="shared" si="18"/>
        <v>8.6776002501462901E-4</v>
      </c>
      <c r="F38" s="9">
        <v>180</v>
      </c>
      <c r="G38" s="10">
        <f t="shared" si="3"/>
        <v>8.4684948233737793E-4</v>
      </c>
      <c r="H38" s="9">
        <v>180</v>
      </c>
      <c r="I38" s="10">
        <f t="shared" si="4"/>
        <v>8.133372120481268E-4</v>
      </c>
      <c r="J38" s="9">
        <v>180</v>
      </c>
      <c r="K38" s="10">
        <f t="shared" si="25"/>
        <v>8.1878354965594718E-4</v>
      </c>
      <c r="L38" s="9">
        <v>180</v>
      </c>
      <c r="M38" s="10">
        <f t="shared" si="19"/>
        <v>7.6406701495954077E-4</v>
      </c>
      <c r="N38" s="9">
        <v>210</v>
      </c>
      <c r="O38" s="10">
        <f t="shared" si="7"/>
        <v>7.8351981726825447E-4</v>
      </c>
      <c r="P38" s="9">
        <v>210</v>
      </c>
      <c r="Q38" s="10">
        <f t="shared" si="8"/>
        <v>7.9273375708350093E-4</v>
      </c>
      <c r="R38" s="9">
        <v>210</v>
      </c>
      <c r="S38" s="10">
        <f t="shared" si="9"/>
        <v>6.3261287462995533E-4</v>
      </c>
      <c r="T38" s="9">
        <f>195+384.78</f>
        <v>579.78</v>
      </c>
      <c r="U38" s="10">
        <f t="shared" si="10"/>
        <v>2.169990038586209E-3</v>
      </c>
      <c r="V38" s="9">
        <v>45</v>
      </c>
      <c r="W38" s="10">
        <f t="shared" si="11"/>
        <v>1.6847043594682895E-4</v>
      </c>
      <c r="X38" s="9">
        <v>429.78</v>
      </c>
      <c r="Y38" s="10">
        <f t="shared" si="12"/>
        <v>1.4393307905535583E-3</v>
      </c>
      <c r="Z38" s="11">
        <f t="shared" si="23"/>
        <v>250.18083333333334</v>
      </c>
      <c r="AA38" s="10">
        <f t="shared" si="13"/>
        <v>1.0002169335020705E-3</v>
      </c>
      <c r="AB38" s="12">
        <f t="shared" si="24"/>
        <v>3002.17</v>
      </c>
      <c r="AC38" s="13">
        <f t="shared" si="20"/>
        <v>1.0002169335020707E-3</v>
      </c>
      <c r="AD38" s="5"/>
      <c r="AE38" s="5"/>
    </row>
    <row r="39" spans="1:31" x14ac:dyDescent="0.2">
      <c r="A39" s="9" t="s">
        <v>113</v>
      </c>
      <c r="B39" s="9">
        <v>1479.4</v>
      </c>
      <c r="C39" s="10">
        <f t="shared" si="1"/>
        <v>7.1456737905727348E-3</v>
      </c>
      <c r="D39" s="9">
        <v>2219.1999999999998</v>
      </c>
      <c r="E39" s="10">
        <f t="shared" si="18"/>
        <v>1.0698516930624803E-2</v>
      </c>
      <c r="F39" s="9">
        <v>1994.4</v>
      </c>
      <c r="G39" s="10">
        <f t="shared" si="3"/>
        <v>9.3830922642981485E-3</v>
      </c>
      <c r="H39" s="9">
        <v>2219.4</v>
      </c>
      <c r="I39" s="10">
        <f t="shared" si="4"/>
        <v>1.0028447824553404E-2</v>
      </c>
      <c r="J39" s="9">
        <v>2144.6</v>
      </c>
      <c r="K39" s="10">
        <f t="shared" si="25"/>
        <v>9.7553511144008002E-3</v>
      </c>
      <c r="L39" s="9">
        <v>2684</v>
      </c>
      <c r="M39" s="10">
        <f t="shared" si="19"/>
        <v>1.1393088156396707E-2</v>
      </c>
      <c r="N39" s="9">
        <f>2924.2</f>
        <v>2924.2</v>
      </c>
      <c r="O39" s="10">
        <f t="shared" si="7"/>
        <v>1.0910326903122998E-2</v>
      </c>
      <c r="P39" s="9">
        <v>3299.6</v>
      </c>
      <c r="Q39" s="10">
        <f t="shared" si="8"/>
        <v>1.2455734785108188E-2</v>
      </c>
      <c r="R39" s="9">
        <v>2834.8</v>
      </c>
      <c r="S39" s="10">
        <f t="shared" si="9"/>
        <v>8.53967131905237E-3</v>
      </c>
      <c r="T39" s="9">
        <v>2265</v>
      </c>
      <c r="U39" s="10">
        <f t="shared" si="10"/>
        <v>8.4774008027144153E-3</v>
      </c>
      <c r="V39" s="9">
        <v>2700</v>
      </c>
      <c r="W39" s="10">
        <f t="shared" si="11"/>
        <v>1.0108226156809737E-2</v>
      </c>
      <c r="X39" s="9">
        <v>2445</v>
      </c>
      <c r="Y39" s="10">
        <f t="shared" si="12"/>
        <v>8.1882911789833181E-3</v>
      </c>
      <c r="Z39" s="11">
        <f t="shared" si="23"/>
        <v>2434.1333333333332</v>
      </c>
      <c r="AA39" s="10">
        <f t="shared" si="13"/>
        <v>9.731606318370405E-3</v>
      </c>
      <c r="AB39" s="12">
        <f t="shared" si="24"/>
        <v>29209.600000000002</v>
      </c>
      <c r="AC39" s="13">
        <f t="shared" si="20"/>
        <v>9.7316063183704067E-3</v>
      </c>
      <c r="AD39" s="5"/>
      <c r="AE39" s="5"/>
    </row>
    <row r="40" spans="1:31" x14ac:dyDescent="0.2">
      <c r="A40" s="9" t="s">
        <v>42</v>
      </c>
      <c r="B40" s="9"/>
      <c r="C40" s="10">
        <f t="shared" si="1"/>
        <v>0</v>
      </c>
      <c r="D40" s="9"/>
      <c r="E40" s="10">
        <f t="shared" si="18"/>
        <v>0</v>
      </c>
      <c r="F40" s="9"/>
      <c r="G40" s="10">
        <f t="shared" si="3"/>
        <v>0</v>
      </c>
      <c r="H40" s="9">
        <v>50</v>
      </c>
      <c r="I40" s="10">
        <f t="shared" si="4"/>
        <v>2.2592700334670191E-4</v>
      </c>
      <c r="J40" s="9">
        <v>50</v>
      </c>
      <c r="K40" s="10">
        <f t="shared" si="25"/>
        <v>2.2743987490442976E-4</v>
      </c>
      <c r="L40" s="9">
        <v>200</v>
      </c>
      <c r="M40" s="10">
        <f t="shared" si="19"/>
        <v>8.489633499550453E-4</v>
      </c>
      <c r="N40" s="9"/>
      <c r="O40" s="10">
        <f t="shared" si="7"/>
        <v>0</v>
      </c>
      <c r="P40" s="9">
        <v>50</v>
      </c>
      <c r="Q40" s="10">
        <f t="shared" si="8"/>
        <v>1.8874613263892878E-4</v>
      </c>
      <c r="R40" s="9">
        <v>50</v>
      </c>
      <c r="S40" s="10">
        <f t="shared" si="9"/>
        <v>1.5062211300713221E-4</v>
      </c>
      <c r="T40" s="9">
        <v>50</v>
      </c>
      <c r="U40" s="10">
        <f t="shared" si="10"/>
        <v>1.8713909056764712E-4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23"/>
        <v>37.5</v>
      </c>
      <c r="AA40" s="10">
        <f t="shared" si="13"/>
        <v>1.499240949299779E-4</v>
      </c>
      <c r="AB40" s="12">
        <f t="shared" si="24"/>
        <v>450</v>
      </c>
      <c r="AC40" s="13">
        <f t="shared" si="20"/>
        <v>1.4992409492997792E-4</v>
      </c>
      <c r="AD40" s="5"/>
      <c r="AE40" s="5"/>
    </row>
    <row r="41" spans="1:31" x14ac:dyDescent="0.2">
      <c r="A41" s="9" t="s">
        <v>148</v>
      </c>
      <c r="B41" s="9">
        <f>133.77</f>
        <v>133.77000000000001</v>
      </c>
      <c r="C41" s="10">
        <f t="shared" si="1"/>
        <v>6.4612463361154169E-4</v>
      </c>
      <c r="D41" s="9">
        <v>133.77000000000001</v>
      </c>
      <c r="E41" s="10">
        <f t="shared" si="18"/>
        <v>6.4489032525670521E-4</v>
      </c>
      <c r="F41" s="9"/>
      <c r="G41" s="10">
        <f t="shared" si="3"/>
        <v>0</v>
      </c>
      <c r="H41" s="9"/>
      <c r="I41" s="10">
        <f t="shared" si="4"/>
        <v>0</v>
      </c>
      <c r="J41" s="9"/>
      <c r="K41" s="10">
        <f t="shared" si="25"/>
        <v>0</v>
      </c>
      <c r="L41" s="9"/>
      <c r="M41" s="10">
        <f t="shared" si="19"/>
        <v>0</v>
      </c>
      <c r="N41" s="9"/>
      <c r="O41" s="10">
        <f t="shared" si="7"/>
        <v>0</v>
      </c>
      <c r="P41" s="9"/>
      <c r="Q41" s="10">
        <f t="shared" si="8"/>
        <v>0</v>
      </c>
      <c r="R41" s="9"/>
      <c r="S41" s="10">
        <f t="shared" si="9"/>
        <v>0</v>
      </c>
      <c r="T41" s="9">
        <v>150</v>
      </c>
      <c r="U41" s="10">
        <f t="shared" si="10"/>
        <v>5.6141727170294132E-4</v>
      </c>
      <c r="V41" s="9">
        <v>150</v>
      </c>
      <c r="W41" s="10">
        <f t="shared" si="11"/>
        <v>5.6156811982276318E-4</v>
      </c>
      <c r="X41" s="9"/>
      <c r="Y41" s="10">
        <f t="shared" si="12"/>
        <v>0</v>
      </c>
      <c r="Z41" s="11">
        <f t="shared" si="23"/>
        <v>47.294999999999995</v>
      </c>
      <c r="AA41" s="10"/>
      <c r="AB41" s="12">
        <f t="shared" si="24"/>
        <v>567.54</v>
      </c>
      <c r="AC41" s="13">
        <f t="shared" si="20"/>
        <v>1.8908426852568813E-4</v>
      </c>
      <c r="AD41" s="5"/>
      <c r="AE41" s="5"/>
    </row>
    <row r="42" spans="1:31" x14ac:dyDescent="0.2">
      <c r="A42" s="9" t="s">
        <v>43</v>
      </c>
      <c r="B42" s="9">
        <f>SUBTOTAL(9,B43:B46)</f>
        <v>9749.31</v>
      </c>
      <c r="C42" s="10">
        <f t="shared" si="1"/>
        <v>4.7090299407306115E-2</v>
      </c>
      <c r="D42" s="9">
        <f>SUBTOTAL(9,D43:D46)</f>
        <v>10027.84</v>
      </c>
      <c r="E42" s="10">
        <f t="shared" si="18"/>
        <v>4.8343103829126099E-2</v>
      </c>
      <c r="F42" s="9">
        <f>SUBTOTAL(9,F43:F46)</f>
        <v>10027.84</v>
      </c>
      <c r="G42" s="10">
        <f t="shared" si="3"/>
        <v>4.7178172849789181E-2</v>
      </c>
      <c r="H42" s="9">
        <f>SUBTOTAL(9,H43:H46)</f>
        <v>10027.84</v>
      </c>
      <c r="I42" s="10">
        <f t="shared" si="4"/>
        <v>4.5311196824803827E-2</v>
      </c>
      <c r="J42" s="9">
        <f>SUBTOTAL(9,J43:J46)</f>
        <v>10027.84</v>
      </c>
      <c r="K42" s="10">
        <f t="shared" si="25"/>
        <v>4.5614613503232739E-2</v>
      </c>
      <c r="L42" s="9">
        <f>SUBTOTAL(9,L43:L46)</f>
        <v>10027.84</v>
      </c>
      <c r="M42" s="10">
        <f t="shared" si="19"/>
        <v>4.256634319606601E-2</v>
      </c>
      <c r="N42" s="9">
        <f>SUBTOTAL(9,N43:N46)</f>
        <v>10027.84</v>
      </c>
      <c r="O42" s="10">
        <f t="shared" si="7"/>
        <v>3.7414339830453773E-2</v>
      </c>
      <c r="P42" s="9">
        <f>SUBTOTAL(9,P43:P46)</f>
        <v>10027.84</v>
      </c>
      <c r="Q42" s="10">
        <f t="shared" si="8"/>
        <v>3.7854320374439115E-2</v>
      </c>
      <c r="R42" s="9">
        <f>SUBTOTAL(9,R43:R46)</f>
        <v>10027.84</v>
      </c>
      <c r="S42" s="10">
        <f t="shared" si="9"/>
        <v>3.0208288993948815E-2</v>
      </c>
      <c r="T42" s="9">
        <f>SUBTOTAL(9,T43:T46)</f>
        <v>10027.84</v>
      </c>
      <c r="U42" s="10">
        <f t="shared" si="10"/>
        <v>3.7532017159157494E-2</v>
      </c>
      <c r="V42" s="9">
        <f>SUBTOTAL(9,V43:V46)</f>
        <v>9824.7800000000007</v>
      </c>
      <c r="W42" s="10">
        <f t="shared" si="11"/>
        <v>3.6781888215148578E-2</v>
      </c>
      <c r="X42" s="9">
        <f>SUBTOTAL(9,X43:X46)</f>
        <v>9626.11</v>
      </c>
      <c r="Y42" s="10">
        <f t="shared" si="12"/>
        <v>3.2237787975837671E-2</v>
      </c>
      <c r="Z42" s="11">
        <f t="shared" si="23"/>
        <v>9954.2299999999977</v>
      </c>
      <c r="AA42" s="10">
        <f t="shared" si="13"/>
        <v>3.9796771292662229E-2</v>
      </c>
      <c r="AB42" s="12">
        <f>SUBTOTAL(9,AB43:AB46)</f>
        <v>119450.76000000001</v>
      </c>
      <c r="AC42" s="13">
        <f t="shared" si="20"/>
        <v>3.9796771292662243E-2</v>
      </c>
      <c r="AD42" s="5"/>
      <c r="AE42" s="5"/>
    </row>
    <row r="43" spans="1:31" x14ac:dyDescent="0.2">
      <c r="A43" s="15" t="s">
        <v>32</v>
      </c>
      <c r="B43" s="9">
        <v>5729.17</v>
      </c>
      <c r="C43" s="10">
        <f t="shared" si="1"/>
        <v>2.7672556381462481E-2</v>
      </c>
      <c r="D43" s="9">
        <v>5908.89</v>
      </c>
      <c r="E43" s="10">
        <f t="shared" si="18"/>
        <v>2.8486102967826065E-2</v>
      </c>
      <c r="F43" s="9">
        <v>5919.93</v>
      </c>
      <c r="G43" s="10">
        <f t="shared" si="3"/>
        <v>2.7851609199852856E-2</v>
      </c>
      <c r="H43" s="9">
        <v>5919.93</v>
      </c>
      <c r="I43" s="10">
        <f t="shared" si="4"/>
        <v>2.6749440898444821E-2</v>
      </c>
      <c r="J43" s="9">
        <v>5919.93</v>
      </c>
      <c r="K43" s="10">
        <f t="shared" si="25"/>
        <v>2.692856277285962E-2</v>
      </c>
      <c r="L43" s="9">
        <v>5919.93</v>
      </c>
      <c r="M43" s="10">
        <f t="shared" si="19"/>
        <v>2.5129018021496859E-2</v>
      </c>
      <c r="N43" s="9">
        <v>5919.93</v>
      </c>
      <c r="O43" s="18">
        <f t="shared" si="7"/>
        <v>2.2087535580194561E-2</v>
      </c>
      <c r="P43" s="9">
        <v>5919.93</v>
      </c>
      <c r="Q43" s="10">
        <f t="shared" si="8"/>
        <v>2.2347277859863474E-2</v>
      </c>
      <c r="R43" s="9">
        <v>5919.93</v>
      </c>
      <c r="S43" s="10">
        <f t="shared" si="9"/>
        <v>1.7833447309086245E-2</v>
      </c>
      <c r="T43" s="9">
        <v>5919.93</v>
      </c>
      <c r="U43" s="10">
        <f t="shared" si="10"/>
        <v>2.2157006328482626E-2</v>
      </c>
      <c r="V43" s="9">
        <v>5919.93</v>
      </c>
      <c r="W43" s="10">
        <f t="shared" si="11"/>
        <v>2.2162959730549135E-2</v>
      </c>
      <c r="X43" s="9">
        <v>5919.93</v>
      </c>
      <c r="Y43" s="10">
        <f t="shared" si="12"/>
        <v>1.9825812106011746E-2</v>
      </c>
      <c r="Z43" s="11">
        <f t="shared" si="23"/>
        <v>5903.1133333333337</v>
      </c>
      <c r="AA43" s="10">
        <f t="shared" si="13"/>
        <v>2.3600504633842265E-2</v>
      </c>
      <c r="AB43" s="12">
        <f t="shared" ref="AB43:AB67" si="26">L43+N43+P43+R43+T43+V43+X43+J43+H43+F43+D43+B43</f>
        <v>70837.36</v>
      </c>
      <c r="AC43" s="13">
        <f t="shared" si="20"/>
        <v>2.3600504633842268E-2</v>
      </c>
      <c r="AD43" s="5"/>
      <c r="AE43" s="5"/>
    </row>
    <row r="44" spans="1:31" x14ac:dyDescent="0.2">
      <c r="A44" s="5" t="s">
        <v>44</v>
      </c>
      <c r="B44" s="9">
        <v>825.82</v>
      </c>
      <c r="C44" s="10">
        <f t="shared" si="1"/>
        <v>3.988806495694725E-3</v>
      </c>
      <c r="D44" s="9">
        <v>856.46</v>
      </c>
      <c r="E44" s="10">
        <f t="shared" si="18"/>
        <v>4.1288986168001619E-3</v>
      </c>
      <c r="F44" s="9">
        <v>856.46</v>
      </c>
      <c r="G44" s="18">
        <f t="shared" si="3"/>
        <v>4.0294039313481713E-3</v>
      </c>
      <c r="H44" s="9">
        <v>856.46</v>
      </c>
      <c r="I44" s="10">
        <f t="shared" si="4"/>
        <v>3.8699488257263265E-3</v>
      </c>
      <c r="J44" s="9">
        <v>856.46</v>
      </c>
      <c r="K44" s="10">
        <f t="shared" si="25"/>
        <v>3.8958631052129584E-3</v>
      </c>
      <c r="L44" s="9">
        <v>856.46</v>
      </c>
      <c r="M44" s="10">
        <f t="shared" si="19"/>
        <v>3.6355157535124904E-3</v>
      </c>
      <c r="N44" s="9">
        <v>856.46</v>
      </c>
      <c r="O44" s="18">
        <f t="shared" si="7"/>
        <v>3.1954922985598534E-3</v>
      </c>
      <c r="P44" s="9">
        <v>856.46</v>
      </c>
      <c r="Q44" s="10">
        <f t="shared" si="8"/>
        <v>3.2330702551987391E-3</v>
      </c>
      <c r="R44" s="9">
        <v>856.46</v>
      </c>
      <c r="S44" s="10">
        <f t="shared" si="9"/>
        <v>2.5800362981217694E-3</v>
      </c>
      <c r="T44" s="9">
        <v>856.46</v>
      </c>
      <c r="U44" s="10">
        <f t="shared" si="10"/>
        <v>3.205542910151341E-3</v>
      </c>
      <c r="V44" s="9">
        <v>653.4</v>
      </c>
      <c r="W44" s="10">
        <f t="shared" si="11"/>
        <v>2.4461907299479562E-3</v>
      </c>
      <c r="X44" s="9"/>
      <c r="Y44" s="10">
        <f t="shared" si="12"/>
        <v>0</v>
      </c>
      <c r="Z44" s="11">
        <f t="shared" si="23"/>
        <v>765.61333333333323</v>
      </c>
      <c r="AA44" s="10">
        <f t="shared" si="13"/>
        <v>3.0609036284352923E-3</v>
      </c>
      <c r="AB44" s="12">
        <f t="shared" si="26"/>
        <v>9187.36</v>
      </c>
      <c r="AC44" s="13">
        <f t="shared" si="20"/>
        <v>3.0609036284352932E-3</v>
      </c>
      <c r="AD44" s="5"/>
      <c r="AE44" s="5"/>
    </row>
    <row r="45" spans="1:31" x14ac:dyDescent="0.2">
      <c r="A45" s="5" t="s">
        <v>45</v>
      </c>
      <c r="B45" s="9">
        <v>952.5</v>
      </c>
      <c r="C45" s="10">
        <f t="shared" si="1"/>
        <v>4.6006856060027915E-3</v>
      </c>
      <c r="D45" s="9">
        <v>1020.67</v>
      </c>
      <c r="E45" s="10">
        <f t="shared" si="18"/>
        <v>4.9205368040648968E-3</v>
      </c>
      <c r="F45" s="9">
        <v>1009.63</v>
      </c>
      <c r="G45" s="18">
        <f t="shared" si="3"/>
        <v>4.7500257936238166E-3</v>
      </c>
      <c r="H45" s="9">
        <v>1009.63</v>
      </c>
      <c r="I45" s="10">
        <f t="shared" si="4"/>
        <v>4.562053607778613E-3</v>
      </c>
      <c r="J45" s="9">
        <v>1009.63</v>
      </c>
      <c r="K45" s="10">
        <f t="shared" si="25"/>
        <v>4.5926024179951883E-3</v>
      </c>
      <c r="L45" s="9">
        <v>1009.63</v>
      </c>
      <c r="M45" s="10">
        <f t="shared" si="19"/>
        <v>4.2856943350755615E-3</v>
      </c>
      <c r="N45" s="9">
        <v>1009.63</v>
      </c>
      <c r="O45" s="18">
        <f t="shared" si="7"/>
        <v>3.7669767290883227E-3</v>
      </c>
      <c r="P45" s="9">
        <v>1009.63</v>
      </c>
      <c r="Q45" s="18">
        <f t="shared" si="8"/>
        <v>3.8112751579248332E-3</v>
      </c>
      <c r="R45" s="9">
        <v>1009.63</v>
      </c>
      <c r="S45" s="10">
        <f t="shared" si="9"/>
        <v>3.041452079107818E-3</v>
      </c>
      <c r="T45" s="9">
        <v>1009.63</v>
      </c>
      <c r="U45" s="10">
        <f t="shared" si="10"/>
        <v>3.7788248001962713E-3</v>
      </c>
      <c r="V45" s="9">
        <v>1009.63</v>
      </c>
      <c r="W45" s="10">
        <f t="shared" si="11"/>
        <v>3.779840138777709E-3</v>
      </c>
      <c r="X45" s="9">
        <v>1009.63</v>
      </c>
      <c r="Y45" s="10">
        <f t="shared" si="12"/>
        <v>3.3812451627962892E-3</v>
      </c>
      <c r="Z45" s="11">
        <f t="shared" si="23"/>
        <v>1005.7891666666665</v>
      </c>
      <c r="AA45" s="10">
        <f t="shared" si="13"/>
        <v>4.0211208134100446E-3</v>
      </c>
      <c r="AB45" s="12">
        <f t="shared" si="26"/>
        <v>12069.47</v>
      </c>
      <c r="AC45" s="13">
        <f t="shared" si="20"/>
        <v>4.0211208134100455E-3</v>
      </c>
      <c r="AD45" s="5"/>
      <c r="AE45" s="5"/>
    </row>
    <row r="46" spans="1:31" x14ac:dyDescent="0.2">
      <c r="A46" s="9" t="s">
        <v>46</v>
      </c>
      <c r="B46" s="9">
        <v>2241.8200000000002</v>
      </c>
      <c r="C46" s="10">
        <f t="shared" si="1"/>
        <v>1.0828250924146118E-2</v>
      </c>
      <c r="D46" s="16">
        <v>2241.8200000000002</v>
      </c>
      <c r="E46" s="10">
        <f t="shared" si="18"/>
        <v>1.0807565440434977E-2</v>
      </c>
      <c r="F46" s="9">
        <v>2241.8200000000002</v>
      </c>
      <c r="G46" s="18">
        <f t="shared" si="3"/>
        <v>1.0547133924964338E-2</v>
      </c>
      <c r="H46" s="16">
        <v>2241.8200000000002</v>
      </c>
      <c r="I46" s="10">
        <f t="shared" si="4"/>
        <v>1.0129753492854067E-2</v>
      </c>
      <c r="J46" s="9">
        <v>2241.8200000000002</v>
      </c>
      <c r="K46" s="10">
        <f t="shared" si="25"/>
        <v>1.0197585207164975E-2</v>
      </c>
      <c r="L46" s="16">
        <v>2241.8200000000002</v>
      </c>
      <c r="M46" s="10">
        <f t="shared" si="19"/>
        <v>9.5161150859810993E-3</v>
      </c>
      <c r="N46" s="16">
        <v>2241.8200000000002</v>
      </c>
      <c r="O46" s="18">
        <f t="shared" si="7"/>
        <v>8.3643352226110395E-3</v>
      </c>
      <c r="P46" s="9">
        <v>2241.8200000000002</v>
      </c>
      <c r="Q46" s="18">
        <f t="shared" si="8"/>
        <v>8.4626971014520672E-3</v>
      </c>
      <c r="R46" s="9">
        <v>2241.8200000000002</v>
      </c>
      <c r="S46" s="10">
        <f t="shared" si="9"/>
        <v>6.7533533076329835E-3</v>
      </c>
      <c r="T46" s="16">
        <v>2241.8200000000002</v>
      </c>
      <c r="U46" s="10">
        <f t="shared" si="10"/>
        <v>8.3906431203272548E-3</v>
      </c>
      <c r="V46" s="16">
        <v>2241.8200000000002</v>
      </c>
      <c r="W46" s="10">
        <f t="shared" si="11"/>
        <v>8.3928976158737789E-3</v>
      </c>
      <c r="X46" s="9">
        <v>2696.55</v>
      </c>
      <c r="Y46" s="10">
        <f t="shared" si="12"/>
        <v>9.0307307070296387E-3</v>
      </c>
      <c r="Z46" s="11">
        <f t="shared" si="23"/>
        <v>2279.7141666666666</v>
      </c>
      <c r="AA46" s="10">
        <f t="shared" si="13"/>
        <v>9.1142422169746343E-3</v>
      </c>
      <c r="AB46" s="12">
        <f t="shared" si="26"/>
        <v>27356.57</v>
      </c>
      <c r="AC46" s="13">
        <f t="shared" si="20"/>
        <v>9.114242216974636E-3</v>
      </c>
      <c r="AD46" s="5"/>
      <c r="AE46" s="5"/>
    </row>
    <row r="47" spans="1:31" x14ac:dyDescent="0.2">
      <c r="A47" s="9" t="s">
        <v>47</v>
      </c>
      <c r="B47" s="9"/>
      <c r="C47" s="10">
        <f t="shared" si="1"/>
        <v>0</v>
      </c>
      <c r="D47" s="9"/>
      <c r="E47" s="10">
        <f t="shared" si="18"/>
        <v>0</v>
      </c>
      <c r="F47" s="9"/>
      <c r="G47" s="10">
        <f t="shared" si="3"/>
        <v>0</v>
      </c>
      <c r="H47" s="9"/>
      <c r="I47" s="10">
        <f t="shared" si="4"/>
        <v>0</v>
      </c>
      <c r="J47" s="9"/>
      <c r="K47" s="10">
        <f t="shared" si="25"/>
        <v>0</v>
      </c>
      <c r="L47" s="9"/>
      <c r="M47" s="10">
        <f t="shared" si="19"/>
        <v>0</v>
      </c>
      <c r="N47" s="9"/>
      <c r="O47" s="18">
        <f t="shared" si="7"/>
        <v>0</v>
      </c>
      <c r="P47" s="9"/>
      <c r="Q47" s="18">
        <f t="shared" si="8"/>
        <v>0</v>
      </c>
      <c r="R47" s="9"/>
      <c r="S47" s="10">
        <f t="shared" si="9"/>
        <v>0</v>
      </c>
      <c r="T47" s="9"/>
      <c r="U47" s="10">
        <f t="shared" si="10"/>
        <v>0</v>
      </c>
      <c r="V47" s="9"/>
      <c r="W47" s="10">
        <f t="shared" si="11"/>
        <v>0</v>
      </c>
      <c r="X47" s="9"/>
      <c r="Y47" s="10">
        <f t="shared" si="12"/>
        <v>0</v>
      </c>
      <c r="Z47" s="11">
        <f t="shared" si="23"/>
        <v>0</v>
      </c>
      <c r="AA47" s="10">
        <f t="shared" si="13"/>
        <v>0</v>
      </c>
      <c r="AB47" s="12">
        <f t="shared" si="26"/>
        <v>0</v>
      </c>
      <c r="AC47" s="13">
        <f t="shared" si="20"/>
        <v>0</v>
      </c>
      <c r="AD47" s="5"/>
      <c r="AE47" s="5"/>
    </row>
    <row r="48" spans="1:31" x14ac:dyDescent="0.2">
      <c r="A48" s="9" t="s">
        <v>48</v>
      </c>
      <c r="B48" s="9">
        <v>25000</v>
      </c>
      <c r="C48" s="10">
        <f t="shared" si="1"/>
        <v>0.12075290304469269</v>
      </c>
      <c r="D48" s="9">
        <v>25000</v>
      </c>
      <c r="E48" s="10">
        <f t="shared" si="18"/>
        <v>0.12052222569647625</v>
      </c>
      <c r="F48" s="9">
        <v>25000</v>
      </c>
      <c r="G48" s="10">
        <f t="shared" si="3"/>
        <v>0.11761798365796916</v>
      </c>
      <c r="H48" s="9">
        <v>25000</v>
      </c>
      <c r="I48" s="10">
        <f t="shared" si="4"/>
        <v>0.11296350167335095</v>
      </c>
      <c r="J48" s="9">
        <v>25000</v>
      </c>
      <c r="K48" s="10">
        <f t="shared" si="25"/>
        <v>0.11371993745221488</v>
      </c>
      <c r="L48" s="9">
        <v>25000</v>
      </c>
      <c r="M48" s="10">
        <f t="shared" si="19"/>
        <v>0.10612041874438066</v>
      </c>
      <c r="N48" s="9">
        <v>25000</v>
      </c>
      <c r="O48" s="18">
        <f t="shared" si="7"/>
        <v>9.3276168722411248E-2</v>
      </c>
      <c r="P48" s="9">
        <v>25000</v>
      </c>
      <c r="Q48" s="18">
        <f t="shared" si="8"/>
        <v>9.4373066319464391E-2</v>
      </c>
      <c r="R48" s="9">
        <v>25000</v>
      </c>
      <c r="S48" s="10">
        <f t="shared" si="9"/>
        <v>7.5311056503566107E-2</v>
      </c>
      <c r="T48" s="9">
        <v>25000</v>
      </c>
      <c r="U48" s="10">
        <f t="shared" si="10"/>
        <v>9.3569545283823566E-2</v>
      </c>
      <c r="V48" s="9">
        <v>25000</v>
      </c>
      <c r="W48" s="10">
        <f t="shared" si="11"/>
        <v>9.3594686637127195E-2</v>
      </c>
      <c r="X48" s="9">
        <v>25000</v>
      </c>
      <c r="Y48" s="10">
        <f t="shared" si="12"/>
        <v>8.3724858680811018E-2</v>
      </c>
      <c r="Z48" s="11">
        <f t="shared" si="23"/>
        <v>25000</v>
      </c>
      <c r="AA48" s="10">
        <f t="shared" si="13"/>
        <v>9.9949396619985267E-2</v>
      </c>
      <c r="AB48" s="12">
        <f t="shared" si="26"/>
        <v>300000</v>
      </c>
      <c r="AC48" s="13">
        <f t="shared" si="20"/>
        <v>9.9949396619985281E-2</v>
      </c>
      <c r="AD48" s="5"/>
      <c r="AE48" s="5"/>
    </row>
    <row r="49" spans="1:31" x14ac:dyDescent="0.2">
      <c r="A49" s="9" t="s">
        <v>49</v>
      </c>
      <c r="B49" s="9">
        <v>864.05</v>
      </c>
      <c r="C49" s="10">
        <f t="shared" si="1"/>
        <v>4.1734618350306686E-3</v>
      </c>
      <c r="D49" s="9">
        <f>237.61+292.53+571.51</f>
        <v>1101.6500000000001</v>
      </c>
      <c r="E49" s="10">
        <f t="shared" si="18"/>
        <v>5.3109323975409229E-3</v>
      </c>
      <c r="F49" s="9">
        <v>809.12</v>
      </c>
      <c r="G49" s="10">
        <f t="shared" si="3"/>
        <v>3.8066825174934405E-3</v>
      </c>
      <c r="H49" s="9">
        <v>809.12</v>
      </c>
      <c r="I49" s="10">
        <f t="shared" si="4"/>
        <v>3.6560411389576688E-3</v>
      </c>
      <c r="J49" s="9">
        <v>810.4</v>
      </c>
      <c r="K49" s="10">
        <f t="shared" si="25"/>
        <v>3.6863454924509972E-3</v>
      </c>
      <c r="L49" s="9">
        <f>571.51+248.69</f>
        <v>820.2</v>
      </c>
      <c r="M49" s="10">
        <f t="shared" si="19"/>
        <v>3.481598698165641E-3</v>
      </c>
      <c r="N49" s="9">
        <v>820.2</v>
      </c>
      <c r="O49" s="18">
        <f t="shared" si="7"/>
        <v>3.0602045434448685E-3</v>
      </c>
      <c r="P49" s="9">
        <v>850.27</v>
      </c>
      <c r="Q49" s="18">
        <f t="shared" si="8"/>
        <v>3.2097034839780395E-3</v>
      </c>
      <c r="R49" s="9">
        <v>855.18</v>
      </c>
      <c r="S49" s="10">
        <f t="shared" si="9"/>
        <v>2.5761803720287866E-3</v>
      </c>
      <c r="T49" s="9">
        <v>850.1</v>
      </c>
      <c r="U49" s="10">
        <f t="shared" si="10"/>
        <v>3.1817388178311365E-3</v>
      </c>
      <c r="V49" s="9">
        <f>591.68+263.5</f>
        <v>855.18</v>
      </c>
      <c r="W49" s="10">
        <f t="shared" si="11"/>
        <v>3.2016121647335371E-3</v>
      </c>
      <c r="X49" s="9">
        <v>935.36</v>
      </c>
      <c r="Y49" s="10">
        <f t="shared" si="12"/>
        <v>3.132515352627336E-3</v>
      </c>
      <c r="Z49" s="11">
        <f t="shared" si="23"/>
        <v>865.06916666666677</v>
      </c>
      <c r="AA49" s="10">
        <f t="shared" si="13"/>
        <v>3.4585256497154724E-3</v>
      </c>
      <c r="AB49" s="12">
        <f t="shared" si="26"/>
        <v>10380.829999999998</v>
      </c>
      <c r="AC49" s="13">
        <f t="shared" si="20"/>
        <v>3.458525649715472E-3</v>
      </c>
      <c r="AD49" s="5"/>
      <c r="AE49" s="5"/>
    </row>
    <row r="50" spans="1:31" x14ac:dyDescent="0.2">
      <c r="A50" s="9" t="s">
        <v>50</v>
      </c>
      <c r="B50" s="9">
        <v>300</v>
      </c>
      <c r="C50" s="10">
        <f t="shared" si="1"/>
        <v>1.4490348365363123E-3</v>
      </c>
      <c r="D50" s="9">
        <v>300</v>
      </c>
      <c r="E50" s="10">
        <f t="shared" si="18"/>
        <v>1.446266708357715E-3</v>
      </c>
      <c r="F50" s="9">
        <v>300</v>
      </c>
      <c r="G50" s="10">
        <f t="shared" si="3"/>
        <v>1.41141580389563E-3</v>
      </c>
      <c r="H50" s="9">
        <v>300</v>
      </c>
      <c r="I50" s="10">
        <f t="shared" si="4"/>
        <v>1.3555620200802114E-3</v>
      </c>
      <c r="J50" s="9">
        <v>300</v>
      </c>
      <c r="K50" s="10">
        <f t="shared" si="25"/>
        <v>1.3646392494265785E-3</v>
      </c>
      <c r="L50" s="9">
        <v>300</v>
      </c>
      <c r="M50" s="10">
        <f t="shared" si="19"/>
        <v>1.2734450249325679E-3</v>
      </c>
      <c r="N50" s="9">
        <v>300</v>
      </c>
      <c r="O50" s="18">
        <f t="shared" si="7"/>
        <v>1.119314024668935E-3</v>
      </c>
      <c r="P50" s="9">
        <v>300</v>
      </c>
      <c r="Q50" s="18">
        <f t="shared" si="8"/>
        <v>1.1324767958335728E-3</v>
      </c>
      <c r="R50" s="9">
        <v>300</v>
      </c>
      <c r="S50" s="10">
        <f t="shared" si="9"/>
        <v>9.0373267804279333E-4</v>
      </c>
      <c r="T50" s="9">
        <v>300</v>
      </c>
      <c r="U50" s="10">
        <f t="shared" si="10"/>
        <v>1.1228345434058826E-3</v>
      </c>
      <c r="V50" s="9">
        <v>300</v>
      </c>
      <c r="W50" s="10">
        <f t="shared" si="11"/>
        <v>1.1231362396455264E-3</v>
      </c>
      <c r="X50" s="9">
        <v>300</v>
      </c>
      <c r="Y50" s="10">
        <f t="shared" si="12"/>
        <v>1.0046983041697322E-3</v>
      </c>
      <c r="Z50" s="11">
        <f t="shared" si="23"/>
        <v>300</v>
      </c>
      <c r="AA50" s="10">
        <f t="shared" si="13"/>
        <v>1.1993927594398232E-3</v>
      </c>
      <c r="AB50" s="12">
        <f t="shared" si="26"/>
        <v>3600</v>
      </c>
      <c r="AC50" s="13">
        <f t="shared" si="20"/>
        <v>1.1993927594398234E-3</v>
      </c>
      <c r="AD50" s="5"/>
      <c r="AE50" s="5"/>
    </row>
    <row r="51" spans="1:31" x14ac:dyDescent="0.2">
      <c r="A51" s="9" t="s">
        <v>51</v>
      </c>
      <c r="B51" s="9">
        <v>1661.51</v>
      </c>
      <c r="C51" s="10">
        <f t="shared" si="1"/>
        <v>8.0252862375114944E-3</v>
      </c>
      <c r="D51" s="9">
        <f>275+174+560.97</f>
        <v>1009.97</v>
      </c>
      <c r="E51" s="10">
        <f t="shared" si="18"/>
        <v>4.8689532914668052E-3</v>
      </c>
      <c r="F51" s="9">
        <v>1674.76</v>
      </c>
      <c r="G51" s="10">
        <f t="shared" si="3"/>
        <v>7.8792757724408177E-3</v>
      </c>
      <c r="H51" s="9">
        <v>2409.7199999999998</v>
      </c>
      <c r="I51" s="10">
        <f t="shared" si="4"/>
        <v>1.088841637009229E-2</v>
      </c>
      <c r="J51" s="9">
        <v>1878.97</v>
      </c>
      <c r="K51" s="10">
        <f t="shared" si="25"/>
        <v>8.5470540349835283E-3</v>
      </c>
      <c r="L51" s="9">
        <f>840+304+284.2+589.01</f>
        <v>2017.21</v>
      </c>
      <c r="M51" s="10">
        <f t="shared" si="19"/>
        <v>8.5626867958140847E-3</v>
      </c>
      <c r="N51" s="9">
        <v>2367.0100000000002</v>
      </c>
      <c r="O51" s="18">
        <f t="shared" si="7"/>
        <v>8.8314249651053871E-3</v>
      </c>
      <c r="P51" s="9">
        <v>2880.01</v>
      </c>
      <c r="Q51" s="18">
        <f t="shared" si="8"/>
        <v>1.0871814989228826E-2</v>
      </c>
      <c r="R51" s="9">
        <v>2501.0100000000002</v>
      </c>
      <c r="S51" s="10">
        <f t="shared" si="9"/>
        <v>7.5341482170393562E-3</v>
      </c>
      <c r="T51" s="9">
        <v>2950.01</v>
      </c>
      <c r="U51" s="10">
        <f t="shared" si="10"/>
        <v>1.1041243771309295E-2</v>
      </c>
      <c r="V51" s="9">
        <v>2900.01</v>
      </c>
      <c r="W51" s="10">
        <f t="shared" si="11"/>
        <v>1.085702108778141E-2</v>
      </c>
      <c r="X51" s="9">
        <v>2912.01</v>
      </c>
      <c r="Y51" s="10">
        <f t="shared" si="12"/>
        <v>9.7523050290843401E-3</v>
      </c>
      <c r="Z51" s="11">
        <f t="shared" si="23"/>
        <v>2263.5166666666669</v>
      </c>
      <c r="AA51" s="10">
        <f t="shared" si="13"/>
        <v>9.0494850029045459E-3</v>
      </c>
      <c r="AB51" s="12">
        <f>L51+N51+P51+R51+T51+V51+X51+J51+H51+F51+D51+B51</f>
        <v>27162.200000000004</v>
      </c>
      <c r="AC51" s="13">
        <f t="shared" si="20"/>
        <v>9.0494850029045493E-3</v>
      </c>
      <c r="AD51" s="5"/>
      <c r="AE51" s="5"/>
    </row>
    <row r="52" spans="1:31" x14ac:dyDescent="0.2">
      <c r="A52" s="9" t="s">
        <v>52</v>
      </c>
      <c r="B52" s="9">
        <v>420.72</v>
      </c>
      <c r="C52" s="10">
        <f t="shared" si="1"/>
        <v>2.0321264547585242E-3</v>
      </c>
      <c r="D52" s="9">
        <v>620.36</v>
      </c>
      <c r="E52" s="10">
        <f t="shared" si="18"/>
        <v>2.9906867173226403E-3</v>
      </c>
      <c r="F52" s="9">
        <v>572.6</v>
      </c>
      <c r="G52" s="10">
        <f t="shared" si="3"/>
        <v>2.6939222977021256E-3</v>
      </c>
      <c r="H52" s="9">
        <v>571.46</v>
      </c>
      <c r="I52" s="10">
        <f t="shared" si="4"/>
        <v>2.5821649066501257E-3</v>
      </c>
      <c r="J52" s="9">
        <v>571.46</v>
      </c>
      <c r="K52" s="10">
        <f t="shared" si="25"/>
        <v>2.5994558182577086E-3</v>
      </c>
      <c r="L52" s="9">
        <v>583.92999999999995</v>
      </c>
      <c r="M52" s="10">
        <f t="shared" si="19"/>
        <v>2.4786758446962479E-3</v>
      </c>
      <c r="N52" s="9">
        <v>416.61</v>
      </c>
      <c r="O52" s="18">
        <f t="shared" si="7"/>
        <v>1.55439138605775E-3</v>
      </c>
      <c r="P52" s="9">
        <v>415.78</v>
      </c>
      <c r="Q52" s="18">
        <f t="shared" si="8"/>
        <v>1.5695373405722761E-3</v>
      </c>
      <c r="R52" s="9">
        <v>457.46</v>
      </c>
      <c r="S52" s="10">
        <f t="shared" si="9"/>
        <v>1.378071836324854E-3</v>
      </c>
      <c r="T52" s="9">
        <v>482.38</v>
      </c>
      <c r="U52" s="10">
        <f t="shared" si="10"/>
        <v>1.8054430901604324E-3</v>
      </c>
      <c r="V52" s="9">
        <v>483.58</v>
      </c>
      <c r="W52" s="10">
        <f t="shared" si="11"/>
        <v>1.8104207425592785E-3</v>
      </c>
      <c r="X52" s="9">
        <v>488.32</v>
      </c>
      <c r="Y52" s="10">
        <f t="shared" si="12"/>
        <v>1.6353809196405454E-3</v>
      </c>
      <c r="Z52" s="11">
        <f t="shared" si="23"/>
        <v>507.05500000000001</v>
      </c>
      <c r="AA52" s="10">
        <f t="shared" si="13"/>
        <v>2.0271936521258651E-3</v>
      </c>
      <c r="AB52" s="12">
        <f t="shared" si="26"/>
        <v>6084.66</v>
      </c>
      <c r="AC52" s="13">
        <f t="shared" si="20"/>
        <v>2.0271936521258655E-3</v>
      </c>
      <c r="AD52" s="5"/>
      <c r="AE52" s="5"/>
    </row>
    <row r="53" spans="1:31" x14ac:dyDescent="0.2">
      <c r="A53" s="9" t="s">
        <v>53</v>
      </c>
      <c r="B53" s="9">
        <v>526.30999999999995</v>
      </c>
      <c r="C53" s="10">
        <f t="shared" si="1"/>
        <v>2.5421384160580879E-3</v>
      </c>
      <c r="D53" s="9">
        <v>526.30999999999995</v>
      </c>
      <c r="E53" s="10">
        <f t="shared" si="18"/>
        <v>2.5372821042524965E-3</v>
      </c>
      <c r="F53" s="9">
        <v>526.30999999999995</v>
      </c>
      <c r="G53" s="10">
        <f t="shared" si="3"/>
        <v>2.4761408391610297E-3</v>
      </c>
      <c r="H53" s="9">
        <v>526.30999999999995</v>
      </c>
      <c r="I53" s="10">
        <f t="shared" si="4"/>
        <v>2.3781528226280535E-3</v>
      </c>
      <c r="J53" s="9">
        <v>526.30999999999995</v>
      </c>
      <c r="K53" s="10">
        <f t="shared" si="25"/>
        <v>2.3940776112190082E-3</v>
      </c>
      <c r="L53" s="9">
        <v>526.30999999999995</v>
      </c>
      <c r="M53" s="10">
        <f t="shared" si="19"/>
        <v>2.2340895035741991E-3</v>
      </c>
      <c r="N53" s="9">
        <v>554.72</v>
      </c>
      <c r="O53" s="18">
        <f t="shared" si="7"/>
        <v>2.0696862525478388E-3</v>
      </c>
      <c r="P53" s="9">
        <v>187.25</v>
      </c>
      <c r="Q53" s="18">
        <f t="shared" si="8"/>
        <v>7.0685426673278834E-4</v>
      </c>
      <c r="R53" s="9">
        <v>416.18</v>
      </c>
      <c r="S53" s="10">
        <f t="shared" si="9"/>
        <v>1.2537182198261658E-3</v>
      </c>
      <c r="T53" s="9">
        <v>208.47</v>
      </c>
      <c r="U53" s="10">
        <f t="shared" si="10"/>
        <v>7.8025772421274795E-4</v>
      </c>
      <c r="V53" s="9">
        <f>212.7</f>
        <v>212.7</v>
      </c>
      <c r="W53" s="10">
        <f t="shared" si="11"/>
        <v>7.9630359390867804E-4</v>
      </c>
      <c r="X53" s="9">
        <v>208.48</v>
      </c>
      <c r="Y53" s="10">
        <f t="shared" si="12"/>
        <v>6.9819834151101925E-4</v>
      </c>
      <c r="Z53" s="11">
        <f t="shared" si="23"/>
        <v>412.13833333333332</v>
      </c>
      <c r="AA53" s="10">
        <f t="shared" si="13"/>
        <v>1.6477191096253209E-3</v>
      </c>
      <c r="AB53" s="12">
        <f t="shared" si="26"/>
        <v>4945.66</v>
      </c>
      <c r="AC53" s="13">
        <f t="shared" si="20"/>
        <v>1.6477191096253214E-3</v>
      </c>
      <c r="AD53" s="5"/>
      <c r="AE53" s="5"/>
    </row>
    <row r="54" spans="1:31" x14ac:dyDescent="0.2">
      <c r="A54" s="9" t="s">
        <v>54</v>
      </c>
      <c r="B54" s="9"/>
      <c r="C54" s="10">
        <f t="shared" si="1"/>
        <v>0</v>
      </c>
      <c r="D54" s="9">
        <f>279.37</f>
        <v>279.37</v>
      </c>
      <c r="E54" s="10">
        <f t="shared" si="18"/>
        <v>1.3468117677129829E-3</v>
      </c>
      <c r="F54" s="9">
        <v>253.71</v>
      </c>
      <c r="G54" s="10">
        <f t="shared" si="3"/>
        <v>1.1936343453545343E-3</v>
      </c>
      <c r="H54" s="9">
        <v>210.31</v>
      </c>
      <c r="I54" s="10">
        <f t="shared" si="4"/>
        <v>9.5029416147689757E-4</v>
      </c>
      <c r="J54" s="9">
        <f>274.54+120</f>
        <v>394.54</v>
      </c>
      <c r="K54" s="10">
        <f t="shared" si="25"/>
        <v>1.7946825648958744E-3</v>
      </c>
      <c r="L54" s="9">
        <v>259.88</v>
      </c>
      <c r="M54" s="10">
        <f t="shared" si="19"/>
        <v>1.1031429769315859E-3</v>
      </c>
      <c r="N54" s="9">
        <v>531.54999999999995</v>
      </c>
      <c r="O54" s="18">
        <f t="shared" si="7"/>
        <v>1.9832378993759076E-3</v>
      </c>
      <c r="P54" s="9">
        <v>77.010000000000005</v>
      </c>
      <c r="Q54" s="10">
        <f t="shared" si="8"/>
        <v>2.9070679349047814E-4</v>
      </c>
      <c r="R54" s="9">
        <v>418.83</v>
      </c>
      <c r="S54" s="10">
        <f t="shared" si="9"/>
        <v>1.2617011918155438E-3</v>
      </c>
      <c r="T54" s="9">
        <v>258.20999999999998</v>
      </c>
      <c r="U54" s="10">
        <f t="shared" si="10"/>
        <v>9.6642369150944324E-4</v>
      </c>
      <c r="V54" s="9">
        <v>446.32</v>
      </c>
      <c r="W54" s="10">
        <f t="shared" si="11"/>
        <v>1.6709272215953042E-3</v>
      </c>
      <c r="X54" s="9">
        <v>192.64</v>
      </c>
      <c r="Y54" s="10">
        <f t="shared" si="12"/>
        <v>6.4515027105085737E-4</v>
      </c>
      <c r="Z54" s="11">
        <f t="shared" si="23"/>
        <v>276.86416666666668</v>
      </c>
      <c r="AA54" s="10">
        <f t="shared" si="13"/>
        <v>1.1068962561611348E-3</v>
      </c>
      <c r="AB54" s="12">
        <f t="shared" si="26"/>
        <v>3322.37</v>
      </c>
      <c r="AC54" s="13">
        <f t="shared" si="20"/>
        <v>1.1068962561611348E-3</v>
      </c>
      <c r="AD54" s="5"/>
      <c r="AE54" s="5"/>
    </row>
    <row r="55" spans="1:31" x14ac:dyDescent="0.2">
      <c r="A55" s="9" t="s">
        <v>55</v>
      </c>
      <c r="B55" s="9"/>
      <c r="C55" s="10">
        <f t="shared" si="1"/>
        <v>0</v>
      </c>
      <c r="D55" s="9"/>
      <c r="E55" s="10">
        <f t="shared" si="18"/>
        <v>0</v>
      </c>
      <c r="F55" s="9"/>
      <c r="G55" s="10">
        <f t="shared" si="3"/>
        <v>0</v>
      </c>
      <c r="H55" s="9">
        <v>410.4</v>
      </c>
      <c r="I55" s="10">
        <f t="shared" si="4"/>
        <v>1.8544088434697291E-3</v>
      </c>
      <c r="J55" s="9">
        <f>359.86</f>
        <v>359.86</v>
      </c>
      <c r="K55" s="10">
        <f t="shared" si="25"/>
        <v>1.6369302676621619E-3</v>
      </c>
      <c r="L55" s="9"/>
      <c r="M55" s="10">
        <f t="shared" si="19"/>
        <v>0</v>
      </c>
      <c r="N55" s="9"/>
      <c r="O55" s="18">
        <f t="shared" si="7"/>
        <v>0</v>
      </c>
      <c r="P55" s="9">
        <v>359.86</v>
      </c>
      <c r="Q55" s="10">
        <f t="shared" si="8"/>
        <v>1.3584436658288983E-3</v>
      </c>
      <c r="R55" s="9"/>
      <c r="S55" s="10">
        <f t="shared" si="9"/>
        <v>0</v>
      </c>
      <c r="T55" s="9"/>
      <c r="U55" s="10">
        <f t="shared" si="10"/>
        <v>0</v>
      </c>
      <c r="V55" s="9">
        <v>359.86</v>
      </c>
      <c r="W55" s="10">
        <f t="shared" si="11"/>
        <v>1.3472393573294636E-3</v>
      </c>
      <c r="X55" s="9"/>
      <c r="Y55" s="10">
        <f t="shared" si="12"/>
        <v>0</v>
      </c>
      <c r="Z55" s="11">
        <f t="shared" si="23"/>
        <v>124.16500000000001</v>
      </c>
      <c r="AA55" s="10">
        <f t="shared" si="13"/>
        <v>4.9640867325281889E-4</v>
      </c>
      <c r="AB55" s="12">
        <f t="shared" si="26"/>
        <v>1489.98</v>
      </c>
      <c r="AC55" s="13">
        <f t="shared" si="20"/>
        <v>4.9640867325281889E-4</v>
      </c>
      <c r="AD55" s="5"/>
      <c r="AE55" s="5"/>
    </row>
    <row r="56" spans="1:31" x14ac:dyDescent="0.2">
      <c r="A56" s="9" t="s">
        <v>111</v>
      </c>
      <c r="B56" s="9">
        <v>150</v>
      </c>
      <c r="C56" s="10">
        <f t="shared" si="1"/>
        <v>7.2451741826815616E-4</v>
      </c>
      <c r="D56" s="9">
        <v>600</v>
      </c>
      <c r="E56" s="10">
        <f t="shared" si="18"/>
        <v>2.89253341671543E-3</v>
      </c>
      <c r="F56" s="9">
        <v>600</v>
      </c>
      <c r="G56" s="10">
        <f t="shared" si="3"/>
        <v>2.8228316077912601E-3</v>
      </c>
      <c r="H56" s="9">
        <v>600</v>
      </c>
      <c r="I56" s="10">
        <f t="shared" si="4"/>
        <v>2.7111240401604228E-3</v>
      </c>
      <c r="J56" s="9">
        <v>600</v>
      </c>
      <c r="K56" s="10">
        <f t="shared" si="25"/>
        <v>2.729278498853157E-3</v>
      </c>
      <c r="L56" s="9">
        <v>600</v>
      </c>
      <c r="M56" s="10">
        <f t="shared" si="19"/>
        <v>2.5468900498651359E-3</v>
      </c>
      <c r="N56" s="9">
        <v>750</v>
      </c>
      <c r="O56" s="10">
        <f t="shared" si="7"/>
        <v>2.7982850616723376E-3</v>
      </c>
      <c r="P56" s="9">
        <v>450</v>
      </c>
      <c r="Q56" s="10">
        <f t="shared" si="8"/>
        <v>1.698715193750359E-3</v>
      </c>
      <c r="R56" s="9">
        <v>600</v>
      </c>
      <c r="S56" s="10">
        <f t="shared" si="9"/>
        <v>1.8074653560855867E-3</v>
      </c>
      <c r="T56" s="9">
        <v>750</v>
      </c>
      <c r="U56" s="10">
        <f t="shared" si="10"/>
        <v>2.8070863585147069E-3</v>
      </c>
      <c r="V56" s="9">
        <v>600</v>
      </c>
      <c r="W56" s="10">
        <f t="shared" si="11"/>
        <v>2.2462724792910527E-3</v>
      </c>
      <c r="X56" s="9">
        <v>450</v>
      </c>
      <c r="Y56" s="10">
        <f t="shared" si="12"/>
        <v>1.5070474562545984E-3</v>
      </c>
      <c r="Z56" s="11">
        <f t="shared" si="23"/>
        <v>562.5</v>
      </c>
      <c r="AA56" s="10">
        <f t="shared" si="13"/>
        <v>2.2488614239496683E-3</v>
      </c>
      <c r="AB56" s="12">
        <f t="shared" si="26"/>
        <v>6750</v>
      </c>
      <c r="AC56" s="13">
        <f t="shared" si="20"/>
        <v>2.2488614239496688E-3</v>
      </c>
      <c r="AD56" s="5"/>
      <c r="AE56" s="5"/>
    </row>
    <row r="57" spans="1:31" x14ac:dyDescent="0.2">
      <c r="A57" s="9" t="s">
        <v>56</v>
      </c>
      <c r="B57" s="9">
        <v>337.5</v>
      </c>
      <c r="C57" s="10">
        <f t="shared" si="1"/>
        <v>1.6301641911033512E-3</v>
      </c>
      <c r="D57" s="9"/>
      <c r="E57" s="10">
        <f t="shared" si="18"/>
        <v>0</v>
      </c>
      <c r="F57" s="9">
        <v>286.10000000000002</v>
      </c>
      <c r="G57" s="10">
        <f t="shared" si="3"/>
        <v>1.3460202049817992E-3</v>
      </c>
      <c r="H57" s="9"/>
      <c r="I57" s="10">
        <f t="shared" si="4"/>
        <v>0</v>
      </c>
      <c r="J57" s="9"/>
      <c r="K57" s="10">
        <f t="shared" si="25"/>
        <v>0</v>
      </c>
      <c r="L57" s="9"/>
      <c r="M57" s="10">
        <f t="shared" si="19"/>
        <v>0</v>
      </c>
      <c r="N57" s="9"/>
      <c r="O57" s="10">
        <f t="shared" si="7"/>
        <v>0</v>
      </c>
      <c r="P57" s="9"/>
      <c r="Q57" s="10">
        <f t="shared" si="8"/>
        <v>0</v>
      </c>
      <c r="R57" s="9">
        <v>233.13</v>
      </c>
      <c r="S57" s="10">
        <f t="shared" si="9"/>
        <v>7.0229066410705467E-4</v>
      </c>
      <c r="T57" s="9">
        <v>99.02</v>
      </c>
      <c r="U57" s="10">
        <f t="shared" si="10"/>
        <v>3.7061025496016832E-4</v>
      </c>
      <c r="V57" s="9"/>
      <c r="W57" s="10">
        <f t="shared" si="11"/>
        <v>0</v>
      </c>
      <c r="X57" s="9"/>
      <c r="Y57" s="10">
        <f t="shared" si="12"/>
        <v>0</v>
      </c>
      <c r="Z57" s="11">
        <f t="shared" si="23"/>
        <v>79.645833333333329</v>
      </c>
      <c r="AA57" s="10">
        <f t="shared" si="13"/>
        <v>3.1842211939850303E-4</v>
      </c>
      <c r="AB57" s="12">
        <f t="shared" si="26"/>
        <v>955.75</v>
      </c>
      <c r="AC57" s="13">
        <f t="shared" si="20"/>
        <v>3.1842211939850308E-4</v>
      </c>
      <c r="AD57" s="5"/>
      <c r="AE57" s="5"/>
    </row>
    <row r="58" spans="1:31" x14ac:dyDescent="0.2">
      <c r="A58" s="9" t="s">
        <v>57</v>
      </c>
      <c r="B58" s="9"/>
      <c r="C58" s="10">
        <f t="shared" si="1"/>
        <v>0</v>
      </c>
      <c r="D58" s="9"/>
      <c r="E58" s="10">
        <f t="shared" si="18"/>
        <v>0</v>
      </c>
      <c r="F58" s="9"/>
      <c r="G58" s="10">
        <f t="shared" si="3"/>
        <v>0</v>
      </c>
      <c r="H58" s="9">
        <v>264.2</v>
      </c>
      <c r="I58" s="10">
        <f t="shared" si="4"/>
        <v>1.1937982856839728E-3</v>
      </c>
      <c r="J58" s="9"/>
      <c r="K58" s="10">
        <f t="shared" si="25"/>
        <v>0</v>
      </c>
      <c r="L58" s="9"/>
      <c r="M58" s="10">
        <f t="shared" si="19"/>
        <v>0</v>
      </c>
      <c r="N58" s="9">
        <v>75</v>
      </c>
      <c r="O58" s="10">
        <f t="shared" si="7"/>
        <v>2.7982850616723376E-4</v>
      </c>
      <c r="P58" s="9"/>
      <c r="Q58" s="10">
        <f t="shared" si="8"/>
        <v>0</v>
      </c>
      <c r="R58" s="9">
        <v>355.25</v>
      </c>
      <c r="S58" s="10">
        <f t="shared" si="9"/>
        <v>1.0701701129156745E-3</v>
      </c>
      <c r="T58" s="9">
        <v>125</v>
      </c>
      <c r="U58" s="10">
        <f t="shared" si="10"/>
        <v>4.6784772641911781E-4</v>
      </c>
      <c r="V58" s="9">
        <v>58.45</v>
      </c>
      <c r="W58" s="10">
        <f t="shared" si="11"/>
        <v>2.1882437735760337E-4</v>
      </c>
      <c r="X58" s="9"/>
      <c r="Y58" s="10">
        <f t="shared" si="12"/>
        <v>0</v>
      </c>
      <c r="Z58" s="11">
        <f t="shared" si="23"/>
        <v>73.158333333333346</v>
      </c>
      <c r="AA58" s="10">
        <f t="shared" si="13"/>
        <v>2.9248525097561691E-4</v>
      </c>
      <c r="AB58" s="12">
        <f t="shared" si="26"/>
        <v>877.90000000000009</v>
      </c>
      <c r="AC58" s="13">
        <f t="shared" si="20"/>
        <v>2.9248525097561696E-4</v>
      </c>
      <c r="AD58" s="5"/>
      <c r="AE58" s="5"/>
    </row>
    <row r="59" spans="1:31" x14ac:dyDescent="0.2">
      <c r="A59" s="9" t="s">
        <v>58</v>
      </c>
      <c r="B59" s="9"/>
      <c r="C59" s="10">
        <f t="shared" si="1"/>
        <v>0</v>
      </c>
      <c r="D59" s="9">
        <v>194.1</v>
      </c>
      <c r="E59" s="10">
        <f t="shared" si="18"/>
        <v>9.3573456030744163E-4</v>
      </c>
      <c r="F59" s="9"/>
      <c r="G59" s="10">
        <f t="shared" si="3"/>
        <v>0</v>
      </c>
      <c r="H59" s="9">
        <v>161.05000000000001</v>
      </c>
      <c r="I59" s="10">
        <f t="shared" si="4"/>
        <v>7.2771087777972684E-4</v>
      </c>
      <c r="J59" s="9"/>
      <c r="K59" s="10">
        <f t="shared" si="25"/>
        <v>0</v>
      </c>
      <c r="L59" s="9"/>
      <c r="M59" s="10">
        <f t="shared" si="19"/>
        <v>0</v>
      </c>
      <c r="N59" s="9"/>
      <c r="O59" s="10">
        <f t="shared" si="7"/>
        <v>0</v>
      </c>
      <c r="P59" s="9"/>
      <c r="Q59" s="10">
        <f t="shared" si="8"/>
        <v>0</v>
      </c>
      <c r="R59" s="9">
        <v>232.74</v>
      </c>
      <c r="S59" s="10">
        <f t="shared" si="9"/>
        <v>7.0111581162559907E-4</v>
      </c>
      <c r="T59" s="9"/>
      <c r="U59" s="10">
        <f t="shared" si="10"/>
        <v>0</v>
      </c>
      <c r="V59" s="9">
        <f>242.59+266.06</f>
        <v>508.65</v>
      </c>
      <c r="W59" s="10">
        <f t="shared" si="11"/>
        <v>1.9042774943189896E-3</v>
      </c>
      <c r="X59" s="9">
        <v>249.52</v>
      </c>
      <c r="Y59" s="10">
        <f t="shared" si="12"/>
        <v>8.3564106952143866E-4</v>
      </c>
      <c r="Z59" s="11">
        <f t="shared" si="23"/>
        <v>112.17166666666667</v>
      </c>
      <c r="AA59" s="10">
        <f t="shared" si="13"/>
        <v>4.4845961604765788E-4</v>
      </c>
      <c r="AB59" s="12">
        <f t="shared" si="26"/>
        <v>1346.06</v>
      </c>
      <c r="AC59" s="13">
        <f t="shared" si="20"/>
        <v>4.4845961604765794E-4</v>
      </c>
      <c r="AD59" s="5"/>
      <c r="AE59" s="5"/>
    </row>
    <row r="60" spans="1:31" x14ac:dyDescent="0.2">
      <c r="A60" s="9" t="s">
        <v>59</v>
      </c>
      <c r="B60" s="9"/>
      <c r="C60" s="10">
        <f t="shared" si="1"/>
        <v>0</v>
      </c>
      <c r="D60" s="9"/>
      <c r="E60" s="10">
        <f t="shared" si="18"/>
        <v>0</v>
      </c>
      <c r="F60" s="9">
        <v>40</v>
      </c>
      <c r="G60" s="10">
        <f t="shared" si="3"/>
        <v>1.8818877385275067E-4</v>
      </c>
      <c r="H60" s="9">
        <v>40</v>
      </c>
      <c r="I60" s="10">
        <f t="shared" si="4"/>
        <v>1.8074160267736152E-4</v>
      </c>
      <c r="J60" s="9"/>
      <c r="K60" s="10">
        <f t="shared" si="25"/>
        <v>0</v>
      </c>
      <c r="L60" s="9"/>
      <c r="M60" s="10">
        <f t="shared" si="19"/>
        <v>0</v>
      </c>
      <c r="N60" s="9"/>
      <c r="O60" s="10">
        <f t="shared" si="7"/>
        <v>0</v>
      </c>
      <c r="P60" s="9"/>
      <c r="Q60" s="10">
        <f t="shared" si="8"/>
        <v>0</v>
      </c>
      <c r="R60" s="9"/>
      <c r="S60" s="10">
        <f t="shared" si="9"/>
        <v>0</v>
      </c>
      <c r="T60" s="9"/>
      <c r="U60" s="10">
        <f t="shared" si="10"/>
        <v>0</v>
      </c>
      <c r="V60" s="9">
        <v>40</v>
      </c>
      <c r="W60" s="10">
        <f t="shared" si="11"/>
        <v>1.4975149861940349E-4</v>
      </c>
      <c r="X60" s="9"/>
      <c r="Y60" s="10">
        <f t="shared" si="12"/>
        <v>0</v>
      </c>
      <c r="Z60" s="11">
        <f t="shared" si="23"/>
        <v>10</v>
      </c>
      <c r="AA60" s="10">
        <f t="shared" si="13"/>
        <v>3.9979758647994108E-5</v>
      </c>
      <c r="AB60" s="12">
        <f t="shared" si="26"/>
        <v>120</v>
      </c>
      <c r="AC60" s="13">
        <f t="shared" si="20"/>
        <v>3.9979758647994114E-5</v>
      </c>
      <c r="AD60" s="5"/>
      <c r="AE60" s="5"/>
    </row>
    <row r="61" spans="1:31" x14ac:dyDescent="0.2">
      <c r="A61" s="9" t="s">
        <v>60</v>
      </c>
      <c r="B61" s="9"/>
      <c r="C61" s="10">
        <f t="shared" si="1"/>
        <v>0</v>
      </c>
      <c r="D61" s="16"/>
      <c r="E61" s="10">
        <f t="shared" si="18"/>
        <v>0</v>
      </c>
      <c r="F61" s="9"/>
      <c r="G61" s="10">
        <f t="shared" si="3"/>
        <v>0</v>
      </c>
      <c r="H61" s="16"/>
      <c r="I61" s="10">
        <f t="shared" si="4"/>
        <v>0</v>
      </c>
      <c r="J61" s="9"/>
      <c r="K61" s="10">
        <f t="shared" si="25"/>
        <v>0</v>
      </c>
      <c r="L61" s="16"/>
      <c r="M61" s="10">
        <f t="shared" si="19"/>
        <v>0</v>
      </c>
      <c r="N61" s="16">
        <v>406.24</v>
      </c>
      <c r="O61" s="10">
        <f t="shared" si="7"/>
        <v>1.5157004312716937E-3</v>
      </c>
      <c r="P61" s="9"/>
      <c r="Q61" s="10">
        <f t="shared" si="8"/>
        <v>0</v>
      </c>
      <c r="R61" s="9">
        <f>504.63+284.54</f>
        <v>789.17000000000007</v>
      </c>
      <c r="S61" s="10">
        <f t="shared" si="9"/>
        <v>2.3773290584367711E-3</v>
      </c>
      <c r="T61" s="16">
        <f>135.16+289.85</f>
        <v>425.01</v>
      </c>
      <c r="U61" s="10">
        <f t="shared" si="10"/>
        <v>1.5907196976431141E-3</v>
      </c>
      <c r="V61" s="16"/>
      <c r="W61" s="10">
        <f t="shared" si="11"/>
        <v>0</v>
      </c>
      <c r="X61" s="9">
        <v>238.4</v>
      </c>
      <c r="Y61" s="10">
        <f t="shared" si="12"/>
        <v>7.9840025238021395E-4</v>
      </c>
      <c r="Z61" s="11">
        <f t="shared" si="23"/>
        <v>154.90166666666667</v>
      </c>
      <c r="AA61" s="10">
        <f t="shared" si="13"/>
        <v>6.1929312475053676E-4</v>
      </c>
      <c r="AB61" s="12">
        <f t="shared" si="26"/>
        <v>1858.8200000000002</v>
      </c>
      <c r="AC61" s="13">
        <f t="shared" si="20"/>
        <v>6.1929312475053687E-4</v>
      </c>
      <c r="AD61" s="5"/>
      <c r="AE61" s="5"/>
    </row>
    <row r="62" spans="1:31" x14ac:dyDescent="0.2">
      <c r="A62" s="5" t="s">
        <v>61</v>
      </c>
      <c r="B62" s="9">
        <v>82.47</v>
      </c>
      <c r="C62" s="10">
        <f t="shared" si="1"/>
        <v>3.9833967656383224E-4</v>
      </c>
      <c r="D62" s="16"/>
      <c r="E62" s="10">
        <f t="shared" si="18"/>
        <v>0</v>
      </c>
      <c r="F62" s="9">
        <v>18</v>
      </c>
      <c r="G62" s="10">
        <f t="shared" si="3"/>
        <v>8.4684948233737791E-5</v>
      </c>
      <c r="H62" s="16">
        <v>298.86</v>
      </c>
      <c r="I62" s="10">
        <f t="shared" si="4"/>
        <v>1.3504108844039067E-3</v>
      </c>
      <c r="J62" s="9">
        <v>114.23</v>
      </c>
      <c r="K62" s="10">
        <f t="shared" si="25"/>
        <v>5.1960913820666029E-4</v>
      </c>
      <c r="L62" s="16">
        <v>49.95</v>
      </c>
      <c r="M62" s="10">
        <f t="shared" si="19"/>
        <v>2.1202859665127256E-4</v>
      </c>
      <c r="N62" s="16">
        <v>105.25</v>
      </c>
      <c r="O62" s="10">
        <f t="shared" si="7"/>
        <v>3.9269267032135136E-4</v>
      </c>
      <c r="P62" s="9">
        <v>56.94</v>
      </c>
      <c r="Q62" s="10">
        <f t="shared" si="8"/>
        <v>2.1494409584921209E-4</v>
      </c>
      <c r="R62" s="9">
        <v>103.11</v>
      </c>
      <c r="S62" s="10">
        <f t="shared" si="9"/>
        <v>3.1061292144330809E-4</v>
      </c>
      <c r="T62" s="16">
        <v>300.44</v>
      </c>
      <c r="U62" s="10">
        <f t="shared" si="10"/>
        <v>1.124481367402878E-3</v>
      </c>
      <c r="V62" s="16">
        <v>31.34</v>
      </c>
      <c r="W62" s="10">
        <f t="shared" si="11"/>
        <v>1.1733029916830264E-4</v>
      </c>
      <c r="X62" s="9">
        <v>208.4</v>
      </c>
      <c r="Y62" s="10">
        <f t="shared" si="12"/>
        <v>6.9793042196324075E-4</v>
      </c>
      <c r="Z62" s="11">
        <f t="shared" si="23"/>
        <v>114.0825</v>
      </c>
      <c r="AA62" s="10">
        <f t="shared" si="13"/>
        <v>4.5609908159597874E-4</v>
      </c>
      <c r="AB62" s="12">
        <f t="shared" si="26"/>
        <v>1368.99</v>
      </c>
      <c r="AC62" s="13">
        <f t="shared" si="20"/>
        <v>4.5609908159597885E-4</v>
      </c>
      <c r="AD62" s="5"/>
      <c r="AE62" s="5"/>
    </row>
    <row r="63" spans="1:31" x14ac:dyDescent="0.2">
      <c r="A63" s="16" t="s">
        <v>62</v>
      </c>
      <c r="B63" s="9"/>
      <c r="C63" s="10">
        <f t="shared" si="1"/>
        <v>0</v>
      </c>
      <c r="D63" s="9"/>
      <c r="E63" s="10">
        <f t="shared" si="18"/>
        <v>0</v>
      </c>
      <c r="F63" s="9"/>
      <c r="G63" s="10">
        <f t="shared" si="3"/>
        <v>0</v>
      </c>
      <c r="H63" s="9"/>
      <c r="I63" s="10">
        <f t="shared" si="4"/>
        <v>0</v>
      </c>
      <c r="J63" s="9"/>
      <c r="K63" s="10">
        <f t="shared" si="25"/>
        <v>0</v>
      </c>
      <c r="L63" s="9"/>
      <c r="M63" s="10">
        <f t="shared" si="19"/>
        <v>0</v>
      </c>
      <c r="N63" s="9"/>
      <c r="O63" s="10">
        <f t="shared" si="7"/>
        <v>0</v>
      </c>
      <c r="P63" s="9">
        <v>584.4</v>
      </c>
      <c r="Q63" s="10">
        <f t="shared" si="8"/>
        <v>2.2060647982837995E-3</v>
      </c>
      <c r="R63" s="9"/>
      <c r="S63" s="10">
        <f t="shared" si="9"/>
        <v>0</v>
      </c>
      <c r="T63" s="9">
        <v>880.59</v>
      </c>
      <c r="U63" s="10">
        <f t="shared" si="10"/>
        <v>3.2958562352592875E-3</v>
      </c>
      <c r="V63" s="9"/>
      <c r="W63" s="10">
        <f t="shared" si="11"/>
        <v>0</v>
      </c>
      <c r="X63" s="9"/>
      <c r="Y63" s="10">
        <f t="shared" si="12"/>
        <v>0</v>
      </c>
      <c r="Z63" s="11">
        <f t="shared" si="23"/>
        <v>122.0825</v>
      </c>
      <c r="AA63" s="10">
        <f t="shared" si="13"/>
        <v>4.8808288851437403E-4</v>
      </c>
      <c r="AB63" s="12">
        <f t="shared" si="26"/>
        <v>1464.99</v>
      </c>
      <c r="AC63" s="13">
        <f t="shared" si="20"/>
        <v>4.8808288851437414E-4</v>
      </c>
      <c r="AD63" s="5"/>
      <c r="AE63" s="5"/>
    </row>
    <row r="64" spans="1:31" x14ac:dyDescent="0.2">
      <c r="A64" s="9" t="s">
        <v>63</v>
      </c>
      <c r="B64" s="9">
        <v>1800</v>
      </c>
      <c r="C64" s="10">
        <f t="shared" si="1"/>
        <v>8.6942090192178734E-3</v>
      </c>
      <c r="D64" s="9">
        <v>2500</v>
      </c>
      <c r="E64" s="10">
        <f t="shared" si="18"/>
        <v>1.2052222569647626E-2</v>
      </c>
      <c r="F64" s="9">
        <v>2500</v>
      </c>
      <c r="G64" s="10">
        <f t="shared" si="3"/>
        <v>1.1761798365796916E-2</v>
      </c>
      <c r="H64" s="9">
        <f>1000+1500</f>
        <v>2500</v>
      </c>
      <c r="I64" s="10">
        <f t="shared" si="4"/>
        <v>1.1296350167335096E-2</v>
      </c>
      <c r="J64" s="9">
        <v>2500</v>
      </c>
      <c r="K64" s="10">
        <f t="shared" si="25"/>
        <v>1.1371993745221487E-2</v>
      </c>
      <c r="L64" s="9">
        <v>2500</v>
      </c>
      <c r="M64" s="10">
        <f t="shared" si="19"/>
        <v>1.0612041874438066E-2</v>
      </c>
      <c r="N64" s="9">
        <v>2500</v>
      </c>
      <c r="O64" s="10">
        <f t="shared" si="7"/>
        <v>9.3276168722411252E-3</v>
      </c>
      <c r="P64" s="9">
        <v>2500</v>
      </c>
      <c r="Q64" s="10">
        <f t="shared" si="8"/>
        <v>9.4373066319464391E-3</v>
      </c>
      <c r="R64" s="9">
        <v>2500</v>
      </c>
      <c r="S64" s="10">
        <f t="shared" si="9"/>
        <v>7.5311056503566112E-3</v>
      </c>
      <c r="T64" s="9">
        <v>2500</v>
      </c>
      <c r="U64" s="10">
        <f t="shared" si="10"/>
        <v>9.3569545283823559E-3</v>
      </c>
      <c r="V64" s="9">
        <v>2500</v>
      </c>
      <c r="W64" s="10">
        <f t="shared" si="11"/>
        <v>9.3594686637127195E-3</v>
      </c>
      <c r="X64" s="9">
        <v>2500</v>
      </c>
      <c r="Y64" s="10">
        <f t="shared" si="12"/>
        <v>8.3724858680811025E-3</v>
      </c>
      <c r="Z64" s="11">
        <f t="shared" si="23"/>
        <v>2441.6666666666665</v>
      </c>
      <c r="AA64" s="10">
        <f t="shared" si="13"/>
        <v>9.7617244032185604E-3</v>
      </c>
      <c r="AB64" s="12">
        <f t="shared" si="26"/>
        <v>29300</v>
      </c>
      <c r="AC64" s="13">
        <f t="shared" si="20"/>
        <v>9.7617244032185621E-3</v>
      </c>
      <c r="AD64" s="5"/>
      <c r="AE64" s="5"/>
    </row>
    <row r="65" spans="1:31" x14ac:dyDescent="0.2">
      <c r="A65" s="9" t="s">
        <v>136</v>
      </c>
      <c r="B65" s="9">
        <f>995.44+463.98</f>
        <v>1459.42</v>
      </c>
      <c r="C65" s="10">
        <f t="shared" si="1"/>
        <v>7.0491680704594167E-3</v>
      </c>
      <c r="D65" s="9">
        <f>150+99.5+648+355.81+527.2</f>
        <v>1780.51</v>
      </c>
      <c r="E65" s="10">
        <f t="shared" si="18"/>
        <v>8.5836411229933164E-3</v>
      </c>
      <c r="F65" s="9">
        <v>606.76</v>
      </c>
      <c r="G65" s="10">
        <f t="shared" si="3"/>
        <v>2.8546355105723746E-3</v>
      </c>
      <c r="H65" s="9">
        <f>683.03+99.5</f>
        <v>782.53</v>
      </c>
      <c r="I65" s="10">
        <f t="shared" si="4"/>
        <v>3.5358931585778926E-3</v>
      </c>
      <c r="J65" s="9">
        <v>1649.41</v>
      </c>
      <c r="K65" s="10">
        <f t="shared" si="25"/>
        <v>7.5028320813223101E-3</v>
      </c>
      <c r="L65" s="9">
        <f>1540+874.42</f>
        <v>2414.42</v>
      </c>
      <c r="M65" s="10">
        <f t="shared" si="19"/>
        <v>1.0248770456992302E-2</v>
      </c>
      <c r="N65" s="9">
        <v>259.54000000000002</v>
      </c>
      <c r="O65" s="10">
        <f t="shared" si="7"/>
        <v>9.6835587320858471E-4</v>
      </c>
      <c r="P65" s="9">
        <v>956.95</v>
      </c>
      <c r="Q65" s="10">
        <f t="shared" si="8"/>
        <v>3.6124122325764583E-3</v>
      </c>
      <c r="R65" s="9">
        <v>1135.06</v>
      </c>
      <c r="S65" s="10">
        <f t="shared" si="9"/>
        <v>3.4193027117975098E-3</v>
      </c>
      <c r="T65" s="9">
        <v>1423.01</v>
      </c>
      <c r="U65" s="10">
        <f t="shared" si="10"/>
        <v>5.3260159453733507E-3</v>
      </c>
      <c r="V65" s="9">
        <v>1182.57</v>
      </c>
      <c r="W65" s="10">
        <f t="shared" si="11"/>
        <v>4.4272907430587E-3</v>
      </c>
      <c r="X65" s="9">
        <v>1160.5999999999999</v>
      </c>
      <c r="Y65" s="10">
        <f t="shared" si="12"/>
        <v>3.8868428393979706E-3</v>
      </c>
      <c r="Z65" s="11">
        <f t="shared" si="23"/>
        <v>1234.2316666666668</v>
      </c>
      <c r="AA65" s="10">
        <f t="shared" si="13"/>
        <v>4.9344284149044852E-3</v>
      </c>
      <c r="AB65" s="12">
        <f t="shared" si="26"/>
        <v>14810.78</v>
      </c>
      <c r="AC65" s="13">
        <f t="shared" si="20"/>
        <v>4.9344284149044852E-3</v>
      </c>
      <c r="AD65" s="5"/>
      <c r="AE65" s="5"/>
    </row>
    <row r="66" spans="1:31" x14ac:dyDescent="0.2">
      <c r="A66" s="9" t="s">
        <v>137</v>
      </c>
      <c r="B66" s="9"/>
      <c r="C66" s="10"/>
      <c r="D66" s="9">
        <f>30.8+23.3</f>
        <v>54.1</v>
      </c>
      <c r="E66" s="10"/>
      <c r="F66" s="9">
        <v>77.41</v>
      </c>
      <c r="G66" s="10"/>
      <c r="H66" s="9">
        <v>1152.42</v>
      </c>
      <c r="I66" s="10"/>
      <c r="J66" s="9">
        <v>1169.42</v>
      </c>
      <c r="K66" s="10">
        <f t="shared" si="25"/>
        <v>5.3194547702147656E-3</v>
      </c>
      <c r="L66" s="9">
        <f>124</f>
        <v>124</v>
      </c>
      <c r="M66" s="10"/>
      <c r="N66" s="9">
        <v>345</v>
      </c>
      <c r="O66" s="10">
        <f t="shared" si="7"/>
        <v>1.2872111283692752E-3</v>
      </c>
      <c r="P66" s="9">
        <v>1396</v>
      </c>
      <c r="Q66" s="10">
        <f t="shared" si="8"/>
        <v>5.2697920232788915E-3</v>
      </c>
      <c r="R66" s="9">
        <v>650.88</v>
      </c>
      <c r="S66" s="10">
        <f t="shared" si="9"/>
        <v>1.9607384182816446E-3</v>
      </c>
      <c r="T66" s="9">
        <f>480+144</f>
        <v>624</v>
      </c>
      <c r="U66" s="10"/>
      <c r="V66" s="9">
        <v>699.09</v>
      </c>
      <c r="W66" s="10">
        <f t="shared" si="11"/>
        <v>2.61724437924597E-3</v>
      </c>
      <c r="X66" s="9">
        <v>733.68</v>
      </c>
      <c r="Y66" s="10">
        <f t="shared" si="12"/>
        <v>2.4570901726774972E-3</v>
      </c>
      <c r="Z66" s="11">
        <f t="shared" si="23"/>
        <v>585.50000000000011</v>
      </c>
      <c r="AA66" s="10">
        <f t="shared" si="13"/>
        <v>2.3408148688400555E-3</v>
      </c>
      <c r="AB66" s="12">
        <f>L66+N66+P66+R66+T66+V66+X66+J66+H66+F66+D66+B66</f>
        <v>7026.0000000000009</v>
      </c>
      <c r="AC66" s="13">
        <f t="shared" si="20"/>
        <v>2.3408148688400555E-3</v>
      </c>
      <c r="AD66" s="5"/>
      <c r="AE66" s="5"/>
    </row>
    <row r="67" spans="1:31" x14ac:dyDescent="0.2">
      <c r="A67" s="9" t="s">
        <v>64</v>
      </c>
      <c r="B67" s="9">
        <f>1920+290+378</f>
        <v>2588</v>
      </c>
      <c r="C67" s="10">
        <f t="shared" si="1"/>
        <v>1.2500340523186586E-2</v>
      </c>
      <c r="D67" s="9">
        <f>290+1920</f>
        <v>2210</v>
      </c>
      <c r="E67" s="10">
        <f t="shared" si="18"/>
        <v>1.0654164751568501E-2</v>
      </c>
      <c r="F67" s="9">
        <v>1920</v>
      </c>
      <c r="G67" s="10">
        <f t="shared" si="3"/>
        <v>9.0330611449320319E-3</v>
      </c>
      <c r="H67" s="9">
        <v>2210</v>
      </c>
      <c r="I67" s="10">
        <f t="shared" si="4"/>
        <v>9.9859735479242238E-3</v>
      </c>
      <c r="J67" s="9">
        <f>1920+397</f>
        <v>2317</v>
      </c>
      <c r="K67" s="10">
        <f t="shared" si="25"/>
        <v>1.0539563803071274E-2</v>
      </c>
      <c r="L67" s="9">
        <v>1373</v>
      </c>
      <c r="M67" s="10">
        <f t="shared" si="19"/>
        <v>5.8281333974413863E-3</v>
      </c>
      <c r="N67" s="9">
        <v>3998</v>
      </c>
      <c r="O67" s="10">
        <f t="shared" si="7"/>
        <v>1.4916724902088006E-2</v>
      </c>
      <c r="P67" s="9">
        <v>3000</v>
      </c>
      <c r="Q67" s="10">
        <f t="shared" si="8"/>
        <v>1.1324767958335726E-2</v>
      </c>
      <c r="R67" s="9">
        <v>3000</v>
      </c>
      <c r="S67" s="10">
        <f t="shared" si="9"/>
        <v>9.0373267804279341E-3</v>
      </c>
      <c r="T67" s="9">
        <f>3000+267.9</f>
        <v>3267.9</v>
      </c>
      <c r="U67" s="10">
        <f t="shared" si="10"/>
        <v>1.223103668132028E-2</v>
      </c>
      <c r="V67" s="9">
        <v>3000</v>
      </c>
      <c r="W67" s="10">
        <f t="shared" si="11"/>
        <v>1.1231362396455263E-2</v>
      </c>
      <c r="X67" s="9">
        <f>3000+1500</f>
        <v>4500</v>
      </c>
      <c r="Y67" s="10">
        <f t="shared" si="12"/>
        <v>1.5070474562545984E-2</v>
      </c>
      <c r="Z67" s="11">
        <f t="shared" si="23"/>
        <v>2781.9916666666668</v>
      </c>
      <c r="AA67" s="10">
        <f t="shared" si="13"/>
        <v>1.1122335539406421E-2</v>
      </c>
      <c r="AB67" s="12">
        <f t="shared" si="26"/>
        <v>33383.9</v>
      </c>
      <c r="AC67" s="13">
        <f t="shared" si="20"/>
        <v>1.1122335539406423E-2</v>
      </c>
      <c r="AD67" s="5"/>
      <c r="AE67" s="5"/>
    </row>
    <row r="68" spans="1:31" x14ac:dyDescent="0.2">
      <c r="A68" s="88" t="s">
        <v>65</v>
      </c>
      <c r="B68" s="89">
        <f>SUM(B69:B79)</f>
        <v>7724.17</v>
      </c>
      <c r="C68" s="6">
        <f t="shared" si="1"/>
        <v>3.7308638044428959E-2</v>
      </c>
      <c r="D68" s="89">
        <f>SUM(D69:D79)</f>
        <v>6074.08</v>
      </c>
      <c r="E68" s="6">
        <f t="shared" si="18"/>
        <v>2.92824656263381E-2</v>
      </c>
      <c r="F68" s="89">
        <f>SUM(F69:F79)</f>
        <v>4525.63</v>
      </c>
      <c r="G68" s="6">
        <f t="shared" si="3"/>
        <v>2.12918190152806E-2</v>
      </c>
      <c r="H68" s="89">
        <f>SUM(H69:H79)</f>
        <v>4945.43</v>
      </c>
      <c r="I68" s="6">
        <f t="shared" si="4"/>
        <v>2.23461236032176E-2</v>
      </c>
      <c r="J68" s="89">
        <f>SUM(J69:J79)</f>
        <v>4495.9799999999996</v>
      </c>
      <c r="K68" s="6">
        <f t="shared" si="25"/>
        <v>2.0451302575456361E-2</v>
      </c>
      <c r="L68" s="89">
        <f>SUM(L69:L79)</f>
        <v>11194.27</v>
      </c>
      <c r="M68" s="6">
        <f t="shared" si="19"/>
        <v>4.7517624797506326E-2</v>
      </c>
      <c r="N68" s="89">
        <f>SUM(N69:N79)</f>
        <v>8986.86</v>
      </c>
      <c r="O68" s="6">
        <f t="shared" si="7"/>
        <v>3.3530394785787551E-2</v>
      </c>
      <c r="P68" s="89">
        <f>SUM(P69:P79)</f>
        <v>35094.699999999997</v>
      </c>
      <c r="Q68" s="6">
        <f t="shared" si="8"/>
        <v>0.13247977802246827</v>
      </c>
      <c r="R68" s="89">
        <f>SUM(R69:R79)</f>
        <v>15016.85</v>
      </c>
      <c r="S68" s="6">
        <f t="shared" si="9"/>
        <v>4.5237393554223071E-2</v>
      </c>
      <c r="T68" s="89">
        <f>SUM(T69:T79)</f>
        <v>4459.83</v>
      </c>
      <c r="U68" s="6">
        <f t="shared" si="10"/>
        <v>1.6692170605726194E-2</v>
      </c>
      <c r="V68" s="89">
        <f>SUM(V69:V79)</f>
        <v>10311.029999999999</v>
      </c>
      <c r="W68" s="6">
        <f t="shared" si="11"/>
        <v>3.8602304870240696E-2</v>
      </c>
      <c r="X68" s="89">
        <f>SUM(X69:X79)</f>
        <v>12785.529999999999</v>
      </c>
      <c r="Y68" s="6">
        <f t="shared" si="12"/>
        <v>4.2818667696370785E-2</v>
      </c>
      <c r="Z68" s="113">
        <f>(B68+D68+F68+H68+J68+L68+N68+P68+R68+T68+V68+X68)/AE$2</f>
        <v>10467.863333333333</v>
      </c>
      <c r="AA68" s="64">
        <f>Z68/Z$2</f>
        <v>4.1850264962685374E-2</v>
      </c>
      <c r="AB68" s="89">
        <f>SUM(AB69:AB79)</f>
        <v>125614.36000000002</v>
      </c>
      <c r="AC68" s="114">
        <f>AB68/AB$2</f>
        <v>4.1850264962685388E-2</v>
      </c>
      <c r="AD68" s="5"/>
      <c r="AE68" s="5"/>
    </row>
    <row r="69" spans="1:31" x14ac:dyDescent="0.2">
      <c r="A69" s="9" t="s">
        <v>147</v>
      </c>
      <c r="B69" s="9"/>
      <c r="C69" s="10">
        <f t="shared" si="1"/>
        <v>0</v>
      </c>
      <c r="D69" s="9"/>
      <c r="E69" s="10">
        <f t="shared" si="18"/>
        <v>0</v>
      </c>
      <c r="F69" s="9"/>
      <c r="G69" s="10">
        <f t="shared" si="3"/>
        <v>0</v>
      </c>
      <c r="H69" s="9"/>
      <c r="I69" s="10">
        <f t="shared" si="4"/>
        <v>0</v>
      </c>
      <c r="J69" s="9"/>
      <c r="K69" s="10">
        <f t="shared" si="25"/>
        <v>0</v>
      </c>
      <c r="L69" s="9"/>
      <c r="M69" s="10">
        <f t="shared" si="19"/>
        <v>0</v>
      </c>
      <c r="N69" s="9">
        <v>1601.9</v>
      </c>
      <c r="O69" s="10">
        <f t="shared" si="7"/>
        <v>5.9767637870572236E-3</v>
      </c>
      <c r="P69" s="9">
        <f>165.12+27670</f>
        <v>27835.119999999999</v>
      </c>
      <c r="Q69" s="10">
        <f t="shared" si="8"/>
        <v>0.10507542503080998</v>
      </c>
      <c r="R69" s="9"/>
      <c r="S69" s="10">
        <f t="shared" si="9"/>
        <v>0</v>
      </c>
      <c r="T69" s="9"/>
      <c r="U69" s="10">
        <f t="shared" si="10"/>
        <v>0</v>
      </c>
      <c r="V69" s="9"/>
      <c r="W69" s="10">
        <f t="shared" si="11"/>
        <v>0</v>
      </c>
      <c r="X69" s="9"/>
      <c r="Y69" s="10">
        <f t="shared" si="12"/>
        <v>0</v>
      </c>
      <c r="Z69" s="11">
        <f t="shared" si="23"/>
        <v>2453.085</v>
      </c>
      <c r="AA69" s="10">
        <f>Z69/Z$2</f>
        <v>9.8073746243014619E-3</v>
      </c>
      <c r="AB69" s="12">
        <f>L69+N69+P69+R69+T69+V69+X69+J69+H69+F69+D69+B69</f>
        <v>29437.02</v>
      </c>
      <c r="AC69" s="19">
        <f>AB69/AB$2</f>
        <v>9.8073746243014636E-3</v>
      </c>
      <c r="AD69" s="5"/>
      <c r="AE69" s="20"/>
    </row>
    <row r="70" spans="1:31" x14ac:dyDescent="0.2">
      <c r="A70" s="9" t="s">
        <v>67</v>
      </c>
      <c r="B70" s="9">
        <v>20</v>
      </c>
      <c r="C70" s="10">
        <f t="shared" si="1"/>
        <v>9.6602322435754143E-5</v>
      </c>
      <c r="D70" s="9">
        <v>20</v>
      </c>
      <c r="E70" s="10">
        <f t="shared" si="18"/>
        <v>9.6417780557181006E-5</v>
      </c>
      <c r="F70" s="9">
        <v>20</v>
      </c>
      <c r="G70" s="10">
        <f t="shared" si="3"/>
        <v>9.4094386926375336E-5</v>
      </c>
      <c r="H70" s="9">
        <v>20</v>
      </c>
      <c r="I70" s="10">
        <f t="shared" si="4"/>
        <v>9.0370801338680759E-5</v>
      </c>
      <c r="J70" s="9">
        <v>11.57</v>
      </c>
      <c r="K70" s="10">
        <f t="shared" si="25"/>
        <v>5.262958705288505E-5</v>
      </c>
      <c r="L70" s="9"/>
      <c r="M70" s="10">
        <f t="shared" si="19"/>
        <v>0</v>
      </c>
      <c r="N70" s="9"/>
      <c r="O70" s="10">
        <f t="shared" si="7"/>
        <v>0</v>
      </c>
      <c r="P70" s="9"/>
      <c r="Q70" s="10">
        <f t="shared" si="8"/>
        <v>0</v>
      </c>
      <c r="R70" s="9"/>
      <c r="S70" s="10">
        <f t="shared" si="9"/>
        <v>0</v>
      </c>
      <c r="T70" s="9"/>
      <c r="U70" s="10">
        <f t="shared" si="10"/>
        <v>0</v>
      </c>
      <c r="V70" s="9">
        <v>20</v>
      </c>
      <c r="W70" s="10">
        <f t="shared" si="11"/>
        <v>7.4875749309701747E-5</v>
      </c>
      <c r="X70" s="9">
        <v>20</v>
      </c>
      <c r="Y70" s="10">
        <f t="shared" si="12"/>
        <v>6.6979886944648813E-5</v>
      </c>
      <c r="Z70" s="11">
        <f t="shared" si="23"/>
        <v>10.964166666666666</v>
      </c>
      <c r="AA70" s="10">
        <f t="shared" ref="AA70:AA79" si="27">Z70/Z$2</f>
        <v>4.3834473710971532E-5</v>
      </c>
      <c r="AB70" s="12">
        <f t="shared" ref="AB70:AB79" si="28">L70+N70+P70+R70+T70+V70+X70+J70+H70+F70+D70+B70</f>
        <v>131.57</v>
      </c>
      <c r="AC70" s="19">
        <f t="shared" ref="AC70:AC79" si="29">AB70/AB$2</f>
        <v>4.3834473710971539E-5</v>
      </c>
      <c r="AD70" s="5"/>
      <c r="AE70" s="20"/>
    </row>
    <row r="71" spans="1:31" x14ac:dyDescent="0.2">
      <c r="A71" s="9" t="s">
        <v>68</v>
      </c>
      <c r="B71" s="9"/>
      <c r="C71" s="10">
        <f t="shared" si="1"/>
        <v>0</v>
      </c>
      <c r="D71" s="9"/>
      <c r="E71" s="10">
        <f t="shared" si="18"/>
        <v>0</v>
      </c>
      <c r="F71" s="9"/>
      <c r="G71" s="10">
        <f t="shared" si="3"/>
        <v>0</v>
      </c>
      <c r="H71" s="9"/>
      <c r="I71" s="10">
        <f t="shared" si="4"/>
        <v>0</v>
      </c>
      <c r="J71" s="9"/>
      <c r="K71" s="10">
        <f t="shared" si="25"/>
        <v>0</v>
      </c>
      <c r="L71" s="9"/>
      <c r="M71" s="10">
        <f t="shared" si="19"/>
        <v>0</v>
      </c>
      <c r="N71" s="9">
        <v>1679.41</v>
      </c>
      <c r="O71" s="10">
        <f t="shared" si="7"/>
        <v>6.2659572205641867E-3</v>
      </c>
      <c r="P71" s="9">
        <v>2067.56</v>
      </c>
      <c r="Q71" s="10">
        <f t="shared" si="8"/>
        <v>7.8048790799788714E-3</v>
      </c>
      <c r="R71" s="9">
        <f>7207.1+1987</f>
        <v>9194.1</v>
      </c>
      <c r="S71" s="10">
        <f t="shared" si="9"/>
        <v>2.7696695383977489E-2</v>
      </c>
      <c r="T71" s="9"/>
      <c r="U71" s="10">
        <f t="shared" si="10"/>
        <v>0</v>
      </c>
      <c r="V71" s="9">
        <f>3999.99+1268.1</f>
        <v>5268.09</v>
      </c>
      <c r="W71" s="10">
        <f t="shared" si="11"/>
        <v>1.9722609309047335E-2</v>
      </c>
      <c r="X71" s="9"/>
      <c r="Y71" s="10">
        <f t="shared" si="12"/>
        <v>0</v>
      </c>
      <c r="Z71" s="11">
        <f t="shared" si="23"/>
        <v>1517.43</v>
      </c>
      <c r="AA71" s="10">
        <f t="shared" si="27"/>
        <v>6.0666485165225695E-3</v>
      </c>
      <c r="AB71" s="12">
        <f t="shared" si="28"/>
        <v>18209.16</v>
      </c>
      <c r="AC71" s="19">
        <f t="shared" si="29"/>
        <v>6.0666485165225704E-3</v>
      </c>
      <c r="AD71" s="5"/>
      <c r="AE71" s="5"/>
    </row>
    <row r="72" spans="1:31" x14ac:dyDescent="0.2">
      <c r="A72" s="9" t="s">
        <v>69</v>
      </c>
      <c r="B72" s="9">
        <v>2399.79</v>
      </c>
      <c r="C72" s="10">
        <f t="shared" si="1"/>
        <v>1.1591264367904922E-2</v>
      </c>
      <c r="D72" s="9">
        <f>156+15</f>
        <v>171</v>
      </c>
      <c r="E72" s="10">
        <f t="shared" si="18"/>
        <v>8.2437202376389751E-4</v>
      </c>
      <c r="F72" s="9"/>
      <c r="G72" s="10">
        <f t="shared" si="3"/>
        <v>0</v>
      </c>
      <c r="H72" s="9"/>
      <c r="I72" s="10">
        <f t="shared" si="4"/>
        <v>0</v>
      </c>
      <c r="J72" s="9">
        <v>24.58</v>
      </c>
      <c r="K72" s="10">
        <f t="shared" si="25"/>
        <v>1.1180944250301767E-4</v>
      </c>
      <c r="L72" s="9">
        <f>193.83+2290.61</f>
        <v>2484.44</v>
      </c>
      <c r="M72" s="10">
        <f t="shared" si="19"/>
        <v>1.0545992525811563E-2</v>
      </c>
      <c r="N72" s="9">
        <v>467.72</v>
      </c>
      <c r="O72" s="10">
        <f t="shared" si="7"/>
        <v>1.7450851853938476E-3</v>
      </c>
      <c r="P72" s="9"/>
      <c r="Q72" s="10">
        <f t="shared" si="8"/>
        <v>0</v>
      </c>
      <c r="R72" s="9">
        <v>1362.92</v>
      </c>
      <c r="S72" s="10">
        <f t="shared" si="9"/>
        <v>4.1057178051936132E-3</v>
      </c>
      <c r="T72" s="9"/>
      <c r="U72" s="10">
        <f t="shared" si="10"/>
        <v>0</v>
      </c>
      <c r="V72" s="9"/>
      <c r="W72" s="10">
        <f t="shared" si="11"/>
        <v>0</v>
      </c>
      <c r="X72" s="9">
        <f>1500+1205.7</f>
        <v>2705.7</v>
      </c>
      <c r="Y72" s="10">
        <f t="shared" si="12"/>
        <v>9.0613740053068145E-3</v>
      </c>
      <c r="Z72" s="11">
        <f t="shared" si="23"/>
        <v>801.3458333333333</v>
      </c>
      <c r="AA72" s="10">
        <f t="shared" si="27"/>
        <v>3.2037613010242375E-3</v>
      </c>
      <c r="AB72" s="12">
        <f t="shared" si="28"/>
        <v>9616.15</v>
      </c>
      <c r="AC72" s="19">
        <f t="shared" si="29"/>
        <v>3.2037613010242379E-3</v>
      </c>
      <c r="AD72" s="5"/>
      <c r="AE72" s="5"/>
    </row>
    <row r="73" spans="1:31" x14ac:dyDescent="0.2">
      <c r="A73" s="9" t="s">
        <v>70</v>
      </c>
      <c r="B73" s="9">
        <v>671.3</v>
      </c>
      <c r="C73" s="10">
        <f t="shared" si="1"/>
        <v>3.2424569525560877E-3</v>
      </c>
      <c r="D73" s="9">
        <v>1250</v>
      </c>
      <c r="E73" s="10">
        <f t="shared" si="18"/>
        <v>6.0261112848238128E-3</v>
      </c>
      <c r="F73" s="9"/>
      <c r="G73" s="10">
        <f t="shared" si="3"/>
        <v>0</v>
      </c>
      <c r="H73" s="9"/>
      <c r="I73" s="10">
        <f t="shared" si="4"/>
        <v>0</v>
      </c>
      <c r="J73" s="9"/>
      <c r="K73" s="10">
        <f t="shared" si="25"/>
        <v>0</v>
      </c>
      <c r="L73" s="9"/>
      <c r="M73" s="10">
        <f t="shared" si="19"/>
        <v>0</v>
      </c>
      <c r="N73" s="9"/>
      <c r="O73" s="10">
        <f t="shared" si="7"/>
        <v>0</v>
      </c>
      <c r="P73" s="9"/>
      <c r="Q73" s="10">
        <f t="shared" si="8"/>
        <v>0</v>
      </c>
      <c r="R73" s="9"/>
      <c r="S73" s="10">
        <f t="shared" si="9"/>
        <v>0</v>
      </c>
      <c r="T73" s="9"/>
      <c r="U73" s="10">
        <f t="shared" si="10"/>
        <v>0</v>
      </c>
      <c r="V73" s="9">
        <v>563.11</v>
      </c>
      <c r="W73" s="10">
        <f t="shared" si="11"/>
        <v>2.1081641596893078E-3</v>
      </c>
      <c r="X73" s="9"/>
      <c r="Y73" s="10">
        <f t="shared" si="12"/>
        <v>0</v>
      </c>
      <c r="Z73" s="11">
        <f t="shared" si="23"/>
        <v>207.03416666666666</v>
      </c>
      <c r="AA73" s="10">
        <f t="shared" si="27"/>
        <v>8.2771760152219192E-4</v>
      </c>
      <c r="AB73" s="12">
        <f t="shared" si="28"/>
        <v>2484.41</v>
      </c>
      <c r="AC73" s="19">
        <f t="shared" si="29"/>
        <v>8.2771760152219203E-4</v>
      </c>
      <c r="AD73" s="5"/>
      <c r="AE73" s="5"/>
    </row>
    <row r="74" spans="1:31" x14ac:dyDescent="0.2">
      <c r="A74" s="9" t="s">
        <v>71</v>
      </c>
      <c r="B74" s="9"/>
      <c r="C74" s="10">
        <f t="shared" ref="C74:C79" si="30">B74/B$2</f>
        <v>0</v>
      </c>
      <c r="D74" s="9"/>
      <c r="E74" s="10">
        <f t="shared" si="18"/>
        <v>0</v>
      </c>
      <c r="F74" s="9"/>
      <c r="G74" s="10">
        <f t="shared" ref="G74:G79" si="31">F74/F$2</f>
        <v>0</v>
      </c>
      <c r="H74" s="9"/>
      <c r="I74" s="10">
        <f t="shared" ref="I74:I80" si="32">H74/H$2</f>
        <v>0</v>
      </c>
      <c r="J74" s="9"/>
      <c r="K74" s="10">
        <f t="shared" si="25"/>
        <v>0</v>
      </c>
      <c r="L74" s="9"/>
      <c r="M74" s="10">
        <f t="shared" si="19"/>
        <v>0</v>
      </c>
      <c r="N74" s="9">
        <v>690</v>
      </c>
      <c r="O74" s="10">
        <f t="shared" ref="O74:O79" si="33">N74/N$2</f>
        <v>2.5744222567385504E-3</v>
      </c>
      <c r="P74" s="9">
        <v>732.19</v>
      </c>
      <c r="Q74" s="10">
        <f t="shared" ref="Q74:Q79" si="34">P74/P$2</f>
        <v>2.7639606171379455E-3</v>
      </c>
      <c r="R74" s="9"/>
      <c r="S74" s="10">
        <f t="shared" ref="S74:S79" si="35">R74/R$2</f>
        <v>0</v>
      </c>
      <c r="T74" s="9"/>
      <c r="U74" s="10">
        <f t="shared" ref="U74:U79" si="36">T74/T$2</f>
        <v>0</v>
      </c>
      <c r="V74" s="9"/>
      <c r="W74" s="10">
        <f t="shared" ref="W74:W79" si="37">V74/V$2</f>
        <v>0</v>
      </c>
      <c r="X74" s="9"/>
      <c r="Y74" s="10">
        <f t="shared" ref="Y74:Y79" si="38">X74/X$2</f>
        <v>0</v>
      </c>
      <c r="Z74" s="11">
        <f t="shared" si="23"/>
        <v>118.51583333333333</v>
      </c>
      <c r="AA74" s="10">
        <f t="shared" si="27"/>
        <v>4.7382344126325614E-4</v>
      </c>
      <c r="AB74" s="12">
        <f t="shared" si="28"/>
        <v>1422.19</v>
      </c>
      <c r="AC74" s="19">
        <f t="shared" si="29"/>
        <v>4.7382344126325625E-4</v>
      </c>
      <c r="AD74" s="5"/>
      <c r="AE74" s="5"/>
    </row>
    <row r="75" spans="1:31" x14ac:dyDescent="0.2">
      <c r="A75" s="9" t="s">
        <v>72</v>
      </c>
      <c r="B75" s="9"/>
      <c r="C75" s="10">
        <f t="shared" si="30"/>
        <v>0</v>
      </c>
      <c r="D75" s="9"/>
      <c r="E75" s="10">
        <f t="shared" si="18"/>
        <v>0</v>
      </c>
      <c r="F75" s="9"/>
      <c r="G75" s="10">
        <f t="shared" si="31"/>
        <v>0</v>
      </c>
      <c r="H75" s="9"/>
      <c r="I75" s="10">
        <f t="shared" si="32"/>
        <v>0</v>
      </c>
      <c r="J75" s="9"/>
      <c r="K75" s="10">
        <f t="shared" si="25"/>
        <v>0</v>
      </c>
      <c r="L75" s="9">
        <v>4250</v>
      </c>
      <c r="M75" s="10">
        <f t="shared" si="19"/>
        <v>1.8040471186544713E-2</v>
      </c>
      <c r="N75" s="9"/>
      <c r="O75" s="10">
        <f t="shared" si="33"/>
        <v>0</v>
      </c>
      <c r="P75" s="9"/>
      <c r="Q75" s="10">
        <f t="shared" si="34"/>
        <v>0</v>
      </c>
      <c r="R75" s="9"/>
      <c r="S75" s="10">
        <f t="shared" si="35"/>
        <v>0</v>
      </c>
      <c r="T75" s="9"/>
      <c r="U75" s="10">
        <f t="shared" si="36"/>
        <v>0</v>
      </c>
      <c r="V75" s="9"/>
      <c r="W75" s="10">
        <f t="shared" si="37"/>
        <v>0</v>
      </c>
      <c r="X75" s="9"/>
      <c r="Y75" s="10">
        <f t="shared" si="38"/>
        <v>0</v>
      </c>
      <c r="Z75" s="11">
        <f>(B75+D75+F75+H75+J75+L75+N75+P75+R75+T75+V75+X75)/AE$2</f>
        <v>354.16666666666669</v>
      </c>
      <c r="AA75" s="10">
        <f t="shared" si="27"/>
        <v>1.4159497854497913E-3</v>
      </c>
      <c r="AB75" s="12">
        <f t="shared" si="28"/>
        <v>4250</v>
      </c>
      <c r="AC75" s="19">
        <f t="shared" si="29"/>
        <v>1.4159497854497915E-3</v>
      </c>
      <c r="AD75" s="5"/>
      <c r="AE75" s="20"/>
    </row>
    <row r="76" spans="1:31" x14ac:dyDescent="0.2">
      <c r="A76" s="9" t="s">
        <v>73</v>
      </c>
      <c r="B76" s="9">
        <v>4459.83</v>
      </c>
      <c r="C76" s="10">
        <f t="shared" si="30"/>
        <v>2.1541496783432472E-2</v>
      </c>
      <c r="D76" s="9">
        <v>4459.83</v>
      </c>
      <c r="E76" s="10">
        <f t="shared" si="18"/>
        <v>2.1500345513116626E-2</v>
      </c>
      <c r="F76" s="9">
        <v>4459.83</v>
      </c>
      <c r="G76" s="10">
        <f t="shared" si="31"/>
        <v>2.0982248482292826E-2</v>
      </c>
      <c r="H76" s="9">
        <v>4459.83</v>
      </c>
      <c r="I76" s="10">
        <f t="shared" si="32"/>
        <v>2.0151920546714431E-2</v>
      </c>
      <c r="J76" s="9">
        <v>4459.83</v>
      </c>
      <c r="K76" s="10">
        <f t="shared" si="25"/>
        <v>2.0286863545900459E-2</v>
      </c>
      <c r="L76" s="9">
        <v>4459.83</v>
      </c>
      <c r="M76" s="10">
        <f t="shared" si="19"/>
        <v>1.8931161085150049E-2</v>
      </c>
      <c r="N76" s="9">
        <v>4459.83</v>
      </c>
      <c r="O76" s="10">
        <f t="shared" si="33"/>
        <v>1.6639834222130855E-2</v>
      </c>
      <c r="P76" s="9">
        <v>4459.83</v>
      </c>
      <c r="Q76" s="10">
        <f t="shared" si="34"/>
        <v>1.6835513294541474E-2</v>
      </c>
      <c r="R76" s="9">
        <v>4459.83</v>
      </c>
      <c r="S76" s="10">
        <f t="shared" si="35"/>
        <v>1.343498036505197E-2</v>
      </c>
      <c r="T76" s="9">
        <v>4459.83</v>
      </c>
      <c r="U76" s="10">
        <f t="shared" si="36"/>
        <v>1.6692170605726194E-2</v>
      </c>
      <c r="V76" s="9">
        <v>4459.83</v>
      </c>
      <c r="W76" s="10">
        <f t="shared" si="37"/>
        <v>1.6696655652194359E-2</v>
      </c>
      <c r="X76" s="9">
        <v>4459.83</v>
      </c>
      <c r="Y76" s="10">
        <f t="shared" si="38"/>
        <v>1.4935945459617657E-2</v>
      </c>
      <c r="Z76" s="11">
        <f>(B76+D76+F76+H76+J76+L76+N76+P76+R76+T76+V76+X76)/AE$2</f>
        <v>4459.8300000000008</v>
      </c>
      <c r="AA76" s="10">
        <f t="shared" si="27"/>
        <v>1.783029270110836E-2</v>
      </c>
      <c r="AB76" s="12">
        <f t="shared" si="28"/>
        <v>53517.960000000014</v>
      </c>
      <c r="AC76" s="19">
        <f t="shared" si="29"/>
        <v>1.7830292701108363E-2</v>
      </c>
      <c r="AD76" s="5"/>
      <c r="AE76" s="20"/>
    </row>
    <row r="77" spans="1:31" x14ac:dyDescent="0.2">
      <c r="A77" s="9" t="s">
        <v>138</v>
      </c>
      <c r="B77" s="9"/>
      <c r="C77" s="10">
        <f t="shared" si="30"/>
        <v>0</v>
      </c>
      <c r="D77" s="9"/>
      <c r="E77" s="10">
        <f t="shared" si="18"/>
        <v>0</v>
      </c>
      <c r="F77" s="9">
        <v>45.8</v>
      </c>
      <c r="G77" s="10">
        <f t="shared" si="31"/>
        <v>2.154761460613995E-4</v>
      </c>
      <c r="H77" s="9">
        <v>119.1</v>
      </c>
      <c r="I77" s="10">
        <f t="shared" si="32"/>
        <v>5.3815812197184393E-4</v>
      </c>
      <c r="J77" s="9"/>
      <c r="K77" s="10">
        <f t="shared" si="25"/>
        <v>0</v>
      </c>
      <c r="L77" s="9"/>
      <c r="M77" s="10">
        <f t="shared" si="19"/>
        <v>0</v>
      </c>
      <c r="N77" s="9">
        <v>88</v>
      </c>
      <c r="O77" s="10">
        <f t="shared" si="33"/>
        <v>3.2833211390288758E-4</v>
      </c>
      <c r="P77" s="9"/>
      <c r="Q77" s="10">
        <f t="shared" si="34"/>
        <v>0</v>
      </c>
      <c r="R77" s="9"/>
      <c r="S77" s="10">
        <f t="shared" si="35"/>
        <v>0</v>
      </c>
      <c r="T77" s="9"/>
      <c r="U77" s="10">
        <f t="shared" si="36"/>
        <v>0</v>
      </c>
      <c r="V77" s="9"/>
      <c r="W77" s="10">
        <f t="shared" si="37"/>
        <v>0</v>
      </c>
      <c r="X77" s="9"/>
      <c r="Y77" s="10">
        <f t="shared" si="38"/>
        <v>0</v>
      </c>
      <c r="Z77" s="11">
        <f t="shared" ref="Z77:Z78" si="39">(B77+D77+F77+H77+J77+L77+N77+P77+R77+T77+V77+X77)/AE$2</f>
        <v>21.074999999999999</v>
      </c>
      <c r="AA77" s="10">
        <f t="shared" si="27"/>
        <v>8.425734135064758E-5</v>
      </c>
      <c r="AB77" s="12">
        <f t="shared" si="28"/>
        <v>252.89999999999998</v>
      </c>
      <c r="AC77" s="19">
        <f t="shared" si="29"/>
        <v>8.425734135064758E-5</v>
      </c>
      <c r="AD77" s="5"/>
      <c r="AE77" s="20"/>
    </row>
    <row r="78" spans="1:31" x14ac:dyDescent="0.2">
      <c r="A78" s="9" t="s">
        <v>149</v>
      </c>
      <c r="B78" s="9"/>
      <c r="C78" s="10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>
        <v>5600</v>
      </c>
      <c r="Y78" s="10"/>
      <c r="Z78" s="11">
        <f t="shared" si="39"/>
        <v>466.66666666666669</v>
      </c>
      <c r="AA78" s="10"/>
      <c r="AB78" s="12">
        <f t="shared" si="28"/>
        <v>5600</v>
      </c>
      <c r="AC78" s="19">
        <f t="shared" si="29"/>
        <v>1.8657220702397253E-3</v>
      </c>
      <c r="AD78" s="5"/>
      <c r="AE78" s="20"/>
    </row>
    <row r="79" spans="1:31" x14ac:dyDescent="0.2">
      <c r="A79" s="9" t="s">
        <v>74</v>
      </c>
      <c r="B79" s="9">
        <v>173.25</v>
      </c>
      <c r="C79" s="10">
        <f t="shared" si="30"/>
        <v>8.3681761809972029E-4</v>
      </c>
      <c r="D79" s="9">
        <v>173.25</v>
      </c>
      <c r="E79" s="10">
        <f t="shared" si="18"/>
        <v>8.3521902407658047E-4</v>
      </c>
      <c r="F79" s="9"/>
      <c r="G79" s="10">
        <f t="shared" si="31"/>
        <v>0</v>
      </c>
      <c r="H79" s="9">
        <v>346.5</v>
      </c>
      <c r="I79" s="10">
        <f t="shared" si="32"/>
        <v>1.5656741331926442E-3</v>
      </c>
      <c r="J79" s="9"/>
      <c r="K79" s="10">
        <f t="shared" si="25"/>
        <v>0</v>
      </c>
      <c r="L79" s="9"/>
      <c r="M79" s="10">
        <f t="shared" si="19"/>
        <v>0</v>
      </c>
      <c r="N79" s="9"/>
      <c r="O79" s="10">
        <f t="shared" si="33"/>
        <v>0</v>
      </c>
      <c r="P79" s="9"/>
      <c r="Q79" s="10">
        <f t="shared" si="34"/>
        <v>0</v>
      </c>
      <c r="R79" s="9"/>
      <c r="S79" s="10">
        <f t="shared" si="35"/>
        <v>0</v>
      </c>
      <c r="T79" s="9"/>
      <c r="U79" s="10">
        <f t="shared" si="36"/>
        <v>0</v>
      </c>
      <c r="V79" s="9"/>
      <c r="W79" s="10">
        <f t="shared" si="37"/>
        <v>0</v>
      </c>
      <c r="X79" s="9"/>
      <c r="Y79" s="10">
        <f t="shared" si="38"/>
        <v>0</v>
      </c>
      <c r="Z79" s="11">
        <f>(B79+D79+F79+H79+J79+L79+N79+P79+R79+T79+V79+X79)/AE$2</f>
        <v>57.75</v>
      </c>
      <c r="AA79" s="10">
        <f t="shared" si="27"/>
        <v>2.3088310619216596E-4</v>
      </c>
      <c r="AB79" s="12">
        <f t="shared" si="28"/>
        <v>693</v>
      </c>
      <c r="AC79" s="19">
        <f t="shared" si="29"/>
        <v>2.3088310619216599E-4</v>
      </c>
      <c r="AD79" s="5"/>
      <c r="AE79" s="20"/>
    </row>
    <row r="80" spans="1:31" x14ac:dyDescent="0.2">
      <c r="A80" s="88" t="s">
        <v>75</v>
      </c>
      <c r="B80" s="96">
        <f>B2-B6-B20-B68</f>
        <v>63201.959999999992</v>
      </c>
      <c r="C80" s="6">
        <f>B80/B$2</f>
        <v>0.30527280592458178</v>
      </c>
      <c r="D80" s="96">
        <f>D2-D6-D20-D68</f>
        <v>80334.530000000013</v>
      </c>
      <c r="E80" s="6">
        <f>D80/D$2</f>
        <v>0.38728385423521378</v>
      </c>
      <c r="F80" s="96">
        <f>F2-F6-F20-F68</f>
        <v>79342.869999999966</v>
      </c>
      <c r="G80" s="6">
        <f>F80/F$2</f>
        <v>0.37328593548145472</v>
      </c>
      <c r="H80" s="96">
        <f>H2-H6-H20-H68</f>
        <v>67855.829999999987</v>
      </c>
      <c r="I80" s="6">
        <f t="shared" si="32"/>
        <v>0.30660928663006465</v>
      </c>
      <c r="J80" s="96">
        <f>J2-J6-J20-J68</f>
        <v>75092.680000000022</v>
      </c>
      <c r="K80" s="6">
        <f>J80/J$2</f>
        <v>0.3415813949087676</v>
      </c>
      <c r="L80" s="96">
        <f>L2-L6-L20-L68</f>
        <v>71225.799999999988</v>
      </c>
      <c r="M80" s="6">
        <f>L80/L$2</f>
        <v>0.3023404688561403</v>
      </c>
      <c r="N80" s="96">
        <f>N2-N6-N20-N68</f>
        <v>84151.869999999966</v>
      </c>
      <c r="O80" s="106">
        <f>N80/N$2</f>
        <v>0.31397456097705656</v>
      </c>
      <c r="P80" s="96">
        <f>P2-P6-P20-P68</f>
        <v>32931.829999999973</v>
      </c>
      <c r="Q80" s="6">
        <f>P80/P$2</f>
        <v>0.12431511106445298</v>
      </c>
      <c r="R80" s="96">
        <f>R2-R6-R20-R68</f>
        <v>137318.21</v>
      </c>
      <c r="S80" s="6">
        <f>R80/R$2</f>
        <v>0.41366317889114224</v>
      </c>
      <c r="T80" s="96">
        <f>T2-T6-T20-T68</f>
        <v>64205.930000000008</v>
      </c>
      <c r="U80" s="6">
        <f>T80/T$2</f>
        <v>0.24030878698500024</v>
      </c>
      <c r="V80" s="96">
        <f>V2-V6-V20-V68</f>
        <v>59855.76999999999</v>
      </c>
      <c r="W80" s="6">
        <f>V80/V$2</f>
        <v>0.22408728146295831</v>
      </c>
      <c r="X80" s="96">
        <f>X2-X6-X20-X68</f>
        <v>77529.850000000006</v>
      </c>
      <c r="Y80" s="6">
        <f>X80/X$2</f>
        <v>0.25964702939177908</v>
      </c>
      <c r="Z80" s="96">
        <f>Z2-Z6-Z20-Z68</f>
        <v>74420.594166666677</v>
      </c>
      <c r="AA80" s="6">
        <f>Z80/Z$2</f>
        <v>0.29753173932236515</v>
      </c>
      <c r="AB80" s="96">
        <f>AB2-AB6-AB20-AB68</f>
        <v>893047.12999999977</v>
      </c>
      <c r="AC80" s="21">
        <f>AB80/AB$2</f>
        <v>0.2975317393223651</v>
      </c>
      <c r="AD80" s="5"/>
      <c r="AE80" s="5"/>
    </row>
    <row r="81" spans="1:31" x14ac:dyDescent="0.2">
      <c r="A81" s="88" t="s">
        <v>76</v>
      </c>
      <c r="B81" s="132">
        <f>B80/B2</f>
        <v>0.30527280592458178</v>
      </c>
      <c r="C81" s="133"/>
      <c r="D81" s="132">
        <f>D80/D2</f>
        <v>0.38728385423521378</v>
      </c>
      <c r="E81" s="133"/>
      <c r="F81" s="132">
        <f>F80/F2</f>
        <v>0.37328593548145472</v>
      </c>
      <c r="G81" s="133"/>
      <c r="H81" s="132">
        <f>H80/H2</f>
        <v>0.30660928663006465</v>
      </c>
      <c r="I81" s="133"/>
      <c r="J81" s="132">
        <f>J80/J2</f>
        <v>0.3415813949087676</v>
      </c>
      <c r="K81" s="133"/>
      <c r="L81" s="132">
        <f>L80/L2</f>
        <v>0.3023404688561403</v>
      </c>
      <c r="M81" s="133"/>
      <c r="N81" s="132">
        <f>N80/N2</f>
        <v>0.31397456097705656</v>
      </c>
      <c r="O81" s="134"/>
      <c r="P81" s="132">
        <f>P80/P2</f>
        <v>0.12431511106445298</v>
      </c>
      <c r="Q81" s="133"/>
      <c r="R81" s="132">
        <f>R80/R2</f>
        <v>0.41366317889114224</v>
      </c>
      <c r="S81" s="133"/>
      <c r="T81" s="132">
        <f>T80/T2</f>
        <v>0.24030878698500024</v>
      </c>
      <c r="U81" s="133"/>
      <c r="V81" s="132">
        <f>V80/V2</f>
        <v>0.22408728146295831</v>
      </c>
      <c r="W81" s="133"/>
      <c r="X81" s="132">
        <f>X80/X2</f>
        <v>0.25964702939177908</v>
      </c>
      <c r="Y81" s="133"/>
      <c r="Z81" s="132">
        <f>Z80/Z2</f>
        <v>0.29753173932236515</v>
      </c>
      <c r="AA81" s="6">
        <f t="shared" si="13"/>
        <v>1.1895247128226056E-6</v>
      </c>
      <c r="AB81" s="131" t="s">
        <v>150</v>
      </c>
      <c r="AC81" s="21" t="e">
        <f t="shared" ref="AC81:AC83" si="40">AB81/AB$3</f>
        <v>#VALUE!</v>
      </c>
      <c r="AD81" s="5"/>
      <c r="AE81" s="5"/>
    </row>
    <row r="82" spans="1:31" x14ac:dyDescent="0.2">
      <c r="A82" s="88" t="s">
        <v>77</v>
      </c>
      <c r="B82" s="98">
        <f>(B20+B68)/C19</f>
        <v>129023.98081974176</v>
      </c>
      <c r="C82" s="6">
        <f>B82/B$2</f>
        <v>0.62320080985466264</v>
      </c>
      <c r="D82" s="98">
        <f>(D20+D68)/E19</f>
        <v>110523.6284213547</v>
      </c>
      <c r="E82" s="6">
        <f>D82/D$2</f>
        <v>0.53282214757567958</v>
      </c>
      <c r="F82" s="98">
        <f>(F20+F68)/G19</f>
        <v>117641.58329596654</v>
      </c>
      <c r="G82" s="6">
        <f>F82/F$2</f>
        <v>0.55347063286410447</v>
      </c>
      <c r="H82" s="98">
        <f>(H20+H68)/I19</f>
        <v>139754.92541986937</v>
      </c>
      <c r="I82" s="6">
        <f>H82/H$2</f>
        <v>0.63148823006105803</v>
      </c>
      <c r="J82" s="98">
        <f>(J20+J68)/K19</f>
        <v>128833.94787855231</v>
      </c>
      <c r="K82" s="6">
        <f>J82/J$2</f>
        <v>0.58603953977883516</v>
      </c>
      <c r="L82" s="98">
        <f>(L20+L68)/M19</f>
        <v>146683.80862661707</v>
      </c>
      <c r="M82" s="6">
        <f>L82/L$2</f>
        <v>0.62264588777908803</v>
      </c>
      <c r="N82" s="98">
        <f>(N20+N68)/O19</f>
        <v>166402.50579666355</v>
      </c>
      <c r="O82" s="106">
        <f>N82/N$2</f>
        <v>0.62085552826086421</v>
      </c>
      <c r="P82" s="98">
        <f>(P20+P68)/Q19</f>
        <v>222191.09085027743</v>
      </c>
      <c r="Q82" s="6">
        <f>P82/P$2</f>
        <v>0.83875418209629482</v>
      </c>
      <c r="R82" s="98">
        <f>(R20+R68)/S19</f>
        <v>169857.08398192606</v>
      </c>
      <c r="S82" s="6">
        <f>R82/R$2</f>
        <v>0.51168465797175233</v>
      </c>
      <c r="T82" s="98">
        <f>(T20+T68)/U19</f>
        <v>181813.97408238941</v>
      </c>
      <c r="U82" s="6">
        <f>T82/T$2</f>
        <v>0.68049003524536233</v>
      </c>
      <c r="V82" s="98">
        <f>(V20+V68)/W19</f>
        <v>189822.69110984923</v>
      </c>
      <c r="W82" s="6">
        <f>V82/V$2</f>
        <v>0.71065581164170111</v>
      </c>
      <c r="X82" s="98">
        <f>(X20+X68)/Y19</f>
        <v>204821.93256636811</v>
      </c>
      <c r="Y82" s="6">
        <f>X82/X$2</f>
        <v>0.68594749435399105</v>
      </c>
      <c r="Z82" s="115">
        <f>(B82+D82+F82+H82+J82+L82+N82+P82+R82+T82+V82+X82)/AE$2</f>
        <v>158947.59607079797</v>
      </c>
      <c r="AA82" s="6">
        <f t="shared" si="13"/>
        <v>0.63546865285893595</v>
      </c>
      <c r="AB82" s="98">
        <f>(AB20+AB68)/AC19</f>
        <v>1900131.1238021571</v>
      </c>
      <c r="AC82" s="21">
        <f t="shared" si="40"/>
        <v>0.662555820721907</v>
      </c>
      <c r="AD82" s="5"/>
      <c r="AE82" s="5"/>
    </row>
    <row r="83" spans="1:31" x14ac:dyDescent="0.2">
      <c r="A83" s="90" t="s">
        <v>78</v>
      </c>
      <c r="B83" s="89">
        <f>B6+B20+B68</f>
        <v>143832.4</v>
      </c>
      <c r="C83" s="6">
        <f>B83/B$2</f>
        <v>0.69472719407541828</v>
      </c>
      <c r="D83" s="89">
        <f>D6+D20+D68</f>
        <v>127096.08999999998</v>
      </c>
      <c r="E83" s="6">
        <f>D83/D$2</f>
        <v>0.61271614576478628</v>
      </c>
      <c r="F83" s="89">
        <f>F6+F20+F68</f>
        <v>133209.66</v>
      </c>
      <c r="G83" s="6">
        <f>F83/F$2</f>
        <v>0.62671406451854517</v>
      </c>
      <c r="H83" s="89">
        <f>H68+H20+H6</f>
        <v>153454.59</v>
      </c>
      <c r="I83" s="6">
        <f>H83/H$2</f>
        <v>0.6933907133699353</v>
      </c>
      <c r="J83" s="89">
        <f>J68+J20+J6</f>
        <v>144745.63999999998</v>
      </c>
      <c r="K83" s="6">
        <f>J83/J$2</f>
        <v>0.6584186050912324</v>
      </c>
      <c r="L83" s="89">
        <f>L68+L20+L6</f>
        <v>164355.63</v>
      </c>
      <c r="M83" s="6">
        <f>L83/L$2</f>
        <v>0.6976595311438597</v>
      </c>
      <c r="N83" s="89">
        <f>N68+N20+N6</f>
        <v>183869.43000000002</v>
      </c>
      <c r="O83" s="106">
        <f>N83/N$2</f>
        <v>0.68602543902294344</v>
      </c>
      <c r="P83" s="89">
        <f>P68+P20+P6</f>
        <v>231974.26</v>
      </c>
      <c r="Q83" s="6">
        <f>P83/P$2</f>
        <v>0.87568488893554708</v>
      </c>
      <c r="R83" s="89">
        <f>R68+R20+R6</f>
        <v>194638.36000000002</v>
      </c>
      <c r="S83" s="6">
        <f>R83/R$2</f>
        <v>0.58633682110885776</v>
      </c>
      <c r="T83" s="89">
        <f>T68+T20+T6</f>
        <v>202975.02</v>
      </c>
      <c r="U83" s="6">
        <f>T83/T$2</f>
        <v>0.75969121301499964</v>
      </c>
      <c r="V83" s="89">
        <f>V68+V20+V6</f>
        <v>207253.41</v>
      </c>
      <c r="W83" s="6">
        <f>V83/V$2</f>
        <v>0.77591271853704169</v>
      </c>
      <c r="X83" s="89">
        <f>X68+X20+X6</f>
        <v>221067.25000000003</v>
      </c>
      <c r="Y83" s="6">
        <f>X83/X$2</f>
        <v>0.74035297060822092</v>
      </c>
      <c r="Z83" s="116">
        <f>(B83+D83+F83+H83+J83+L83+N83+P83+R83+T83+V83+X83)/AE$2</f>
        <v>175705.97833333336</v>
      </c>
      <c r="AA83" s="6">
        <f>Z83/Z$2</f>
        <v>0.7024682606776349</v>
      </c>
      <c r="AB83" s="89">
        <f>B83+D83+F83+H83+J83+L83+N83+P83+R83+T83+V83+X83</f>
        <v>2108471.7400000002</v>
      </c>
      <c r="AC83" s="21">
        <f t="shared" si="40"/>
        <v>0.73520201141134611</v>
      </c>
      <c r="AD83" s="5"/>
      <c r="AE83" s="5"/>
    </row>
    <row r="84" spans="1:31" x14ac:dyDescent="0.2">
      <c r="A84" s="91" t="s">
        <v>79</v>
      </c>
      <c r="B84" s="98"/>
      <c r="C84" s="22"/>
      <c r="D84" s="98"/>
      <c r="E84" s="22"/>
      <c r="F84" s="98"/>
      <c r="G84" s="22"/>
      <c r="H84" s="98"/>
      <c r="I84" s="22"/>
      <c r="J84" s="98"/>
      <c r="K84" s="22"/>
      <c r="L84" s="98"/>
      <c r="M84" s="22"/>
      <c r="N84" s="98"/>
      <c r="O84" s="107"/>
      <c r="P84" s="98"/>
      <c r="Q84" s="22"/>
      <c r="R84" s="112"/>
      <c r="S84" s="22"/>
      <c r="T84" s="98"/>
      <c r="U84" s="22"/>
      <c r="V84" s="98"/>
      <c r="W84" s="22"/>
      <c r="X84" s="98"/>
      <c r="Y84" s="22"/>
      <c r="Z84" s="116">
        <f>(B84+D84+F84+H84+J84+L84+N84+P84+R84+T84+V84+X84)/AE$2</f>
        <v>0</v>
      </c>
      <c r="AA84" s="22"/>
      <c r="AB84" s="121"/>
      <c r="AC84" s="22"/>
      <c r="AD84" s="5"/>
      <c r="AE84" s="5"/>
    </row>
    <row r="85" spans="1:31" x14ac:dyDescent="0.2">
      <c r="A85" s="91" t="s">
        <v>80</v>
      </c>
      <c r="B85" s="99">
        <v>22500</v>
      </c>
      <c r="C85" s="10"/>
      <c r="D85" s="99">
        <v>91000</v>
      </c>
      <c r="E85" s="10"/>
      <c r="F85" s="99">
        <v>35000</v>
      </c>
      <c r="G85" s="10"/>
      <c r="H85" s="99">
        <f>88000+H4</f>
        <v>111420.93</v>
      </c>
      <c r="I85" s="10"/>
      <c r="J85" s="99">
        <v>20000</v>
      </c>
      <c r="K85" s="10"/>
      <c r="L85" s="99">
        <f>25000+L4</f>
        <v>37169.47</v>
      </c>
      <c r="M85" s="10"/>
      <c r="N85" s="99">
        <v>45000</v>
      </c>
      <c r="O85" s="108"/>
      <c r="P85" s="99">
        <v>70000</v>
      </c>
      <c r="Q85" s="10"/>
      <c r="R85" s="99">
        <v>55000</v>
      </c>
      <c r="S85" s="10">
        <f>R85/R$2</f>
        <v>0.16568432430784544</v>
      </c>
      <c r="T85" s="99">
        <v>200000</v>
      </c>
      <c r="U85" s="10"/>
      <c r="V85" s="99">
        <v>120000</v>
      </c>
      <c r="W85" s="10"/>
      <c r="X85" s="99">
        <v>281000</v>
      </c>
      <c r="Y85" s="10"/>
      <c r="Z85" s="117">
        <f>(B85+D85+F85+H85+J85+L85+N85+P85+R85+T85+V85+X85)/AE$2</f>
        <v>90674.2</v>
      </c>
      <c r="AA85" s="10">
        <f>Z85/Z$2</f>
        <v>0.36251326315999471</v>
      </c>
      <c r="AB85" s="99">
        <f>L85+N85+P85+R85+T85+V85+X85+J85+H85+F85+D85+B85</f>
        <v>1088090.3999999999</v>
      </c>
      <c r="AC85" s="13">
        <f>AB85/AB$3</f>
        <v>0.37940572572121645</v>
      </c>
      <c r="AD85" s="5"/>
      <c r="AE85" s="5"/>
    </row>
    <row r="86" spans="1:31" ht="16" thickBot="1" x14ac:dyDescent="0.25">
      <c r="A86" s="92" t="s">
        <v>81</v>
      </c>
      <c r="B86" s="100">
        <f>B80-B84-B85</f>
        <v>40701.959999999992</v>
      </c>
      <c r="C86" s="23"/>
      <c r="D86" s="100">
        <f>D80-D84-D85</f>
        <v>-10665.469999999987</v>
      </c>
      <c r="E86" s="23"/>
      <c r="F86" s="100">
        <f>F80-F84-F85</f>
        <v>44342.869999999966</v>
      </c>
      <c r="G86" s="24"/>
      <c r="H86" s="100">
        <f>H80-H84-H85</f>
        <v>-43565.100000000006</v>
      </c>
      <c r="I86" s="24"/>
      <c r="J86" s="100">
        <f>J80-J84-J85</f>
        <v>55092.680000000022</v>
      </c>
      <c r="K86" s="24"/>
      <c r="L86" s="100">
        <f>L80-L84-L85</f>
        <v>34056.329999999987</v>
      </c>
      <c r="M86" s="24"/>
      <c r="N86" s="100">
        <f>N80-N84-N85</f>
        <v>39151.869999999966</v>
      </c>
      <c r="O86" s="109"/>
      <c r="P86" s="100">
        <f>P80-P84-P85</f>
        <v>-37068.170000000027</v>
      </c>
      <c r="Q86" s="24"/>
      <c r="R86" s="100">
        <f>R80-R84-R85</f>
        <v>82318.209999999992</v>
      </c>
      <c r="S86" s="24"/>
      <c r="T86" s="100">
        <f>T80-T84-T85</f>
        <v>-135794.07</v>
      </c>
      <c r="U86" s="24"/>
      <c r="V86" s="100">
        <f>V80-V84-V85</f>
        <v>-60144.23000000001</v>
      </c>
      <c r="W86" s="24"/>
      <c r="X86" s="100">
        <f>X80-X84-X85</f>
        <v>-203470.15</v>
      </c>
      <c r="Y86" s="23"/>
      <c r="Z86" s="116">
        <f>(B86+D86+F86+H86+J86+L86+N86+P86+R86+T86+V86+X86)/AE$2</f>
        <v>-16253.60583333334</v>
      </c>
      <c r="AA86" s="23"/>
      <c r="AB86" s="100">
        <f>AB80-AB84-AB85</f>
        <v>-195043.27000000014</v>
      </c>
      <c r="AC86" s="23"/>
      <c r="AD86" s="5"/>
      <c r="AE86" s="5"/>
    </row>
    <row r="87" spans="1:31" x14ac:dyDescent="0.2">
      <c r="A87" s="93" t="s">
        <v>82</v>
      </c>
      <c r="B87" s="101">
        <f>B86/B2</f>
        <v>0.19659519318435836</v>
      </c>
      <c r="C87" s="25"/>
      <c r="D87" s="101">
        <f>D86/D2</f>
        <v>-5.14170472999598E-2</v>
      </c>
      <c r="E87" s="25"/>
      <c r="F87" s="101">
        <f>F86/F2</f>
        <v>0.20862075836029789</v>
      </c>
      <c r="G87" s="26"/>
      <c r="H87" s="101">
        <f>H86/H2</f>
        <v>-0.1968506498699881</v>
      </c>
      <c r="I87" s="26"/>
      <c r="J87" s="101">
        <f>J86/J2</f>
        <v>0.25060544494699566</v>
      </c>
      <c r="K87" s="26"/>
      <c r="L87" s="101">
        <f>L86/L2</f>
        <v>0.1445628800198725</v>
      </c>
      <c r="M87" s="26"/>
      <c r="N87" s="105">
        <f>N86/N2</f>
        <v>0.14607745727671631</v>
      </c>
      <c r="O87" s="110"/>
      <c r="P87" s="105">
        <f>P86/P2</f>
        <v>-0.13992947463004732</v>
      </c>
      <c r="Q87" s="26"/>
      <c r="R87" s="105">
        <f>R86/R2</f>
        <v>0.24797885458329683</v>
      </c>
      <c r="S87" s="26"/>
      <c r="T87" s="105">
        <f>T86/T2</f>
        <v>-0.50824757528558828</v>
      </c>
      <c r="U87" s="26"/>
      <c r="V87" s="105">
        <f>V86/V2</f>
        <v>-0.2251672143952522</v>
      </c>
      <c r="W87" s="26"/>
      <c r="X87" s="105">
        <f>X86/X2</f>
        <v>-0.6814203821805368</v>
      </c>
      <c r="Y87" s="25"/>
      <c r="Z87" s="118">
        <f>Z86/Z2</f>
        <v>-6.4981523837629604E-2</v>
      </c>
      <c r="AA87" s="25"/>
      <c r="AB87" s="122">
        <f>AB86/AB2</f>
        <v>-6.4981523837629632E-2</v>
      </c>
      <c r="AC87" s="27"/>
      <c r="AD87" s="5"/>
      <c r="AE87" s="5"/>
    </row>
    <row r="88" spans="1:31" x14ac:dyDescent="0.2">
      <c r="A88" s="94" t="s">
        <v>83</v>
      </c>
      <c r="B88" s="102">
        <f>(B20+B68+B85)/C19</f>
        <v>156795.80200306914</v>
      </c>
      <c r="C88" s="28"/>
      <c r="D88" s="102">
        <f>(D20+D68+D85)/E19</f>
        <v>220296.303180972</v>
      </c>
      <c r="E88" s="29"/>
      <c r="F88" s="102">
        <f>(F20+F68+F85)/G19</f>
        <v>159509.02689412693</v>
      </c>
      <c r="G88" s="29"/>
      <c r="H88" s="102">
        <f>(H20+H68-H85)/I19</f>
        <v>5838.8116131689958</v>
      </c>
      <c r="I88" s="29"/>
      <c r="J88" s="102">
        <f>(J20+J68-J85)/K19</f>
        <v>104596.06687032418</v>
      </c>
      <c r="K88" s="29"/>
      <c r="L88" s="102">
        <f>(L20+L68-L85)/M19</f>
        <v>100292.22761651516</v>
      </c>
      <c r="M88" s="29"/>
      <c r="N88" s="102">
        <f>(N20+N68-N85)/O19</f>
        <v>112062.11218271127</v>
      </c>
      <c r="O88" s="102"/>
      <c r="P88" s="102">
        <f>(P20+P68-P85)/Q19</f>
        <v>131395.95615898992</v>
      </c>
      <c r="Q88" s="29"/>
      <c r="R88" s="102">
        <f>(R20+R68-R85)/S19</f>
        <v>104931.45080484002</v>
      </c>
      <c r="S88" s="29"/>
      <c r="T88" s="102">
        <f>(T20+T68-T85)/U19</f>
        <v>-84102.198824413965</v>
      </c>
      <c r="U88" s="29"/>
      <c r="V88" s="102">
        <f>(V20+V68-V85)/W19</f>
        <v>34877.250314114834</v>
      </c>
      <c r="W88" s="29"/>
      <c r="X88" s="102">
        <f>(X20+X68-X85)/Y19</f>
        <v>-135057.76601231573</v>
      </c>
      <c r="Y88" s="28"/>
      <c r="Z88" s="119">
        <f>(B88+D88+F88+H88+J88+L88+N88+P88+R88+T88+V88+X88)/12</f>
        <v>75952.920233508572</v>
      </c>
      <c r="AA88" s="28"/>
      <c r="AB88" s="123">
        <f>(AB20+AB68+AB85)/AC19</f>
        <v>3242064.1450924324</v>
      </c>
      <c r="AC88" s="30"/>
      <c r="AD88" s="5"/>
      <c r="AE88" s="5"/>
    </row>
    <row r="89" spans="1:31" ht="16" thickBot="1" x14ac:dyDescent="0.25">
      <c r="A89" s="95" t="s">
        <v>84</v>
      </c>
      <c r="B89" s="103">
        <f>B83+B85</f>
        <v>166332.4</v>
      </c>
      <c r="C89" s="31"/>
      <c r="D89" s="103">
        <f>D83+D85</f>
        <v>218096.08999999997</v>
      </c>
      <c r="E89" s="31"/>
      <c r="F89" s="103">
        <f>F83+F85</f>
        <v>168209.66</v>
      </c>
      <c r="G89" s="32"/>
      <c r="H89" s="103">
        <f>H83+H85</f>
        <v>264875.52000000002</v>
      </c>
      <c r="I89" s="32"/>
      <c r="J89" s="103">
        <f>J83+J85</f>
        <v>164745.63999999998</v>
      </c>
      <c r="K89" s="32"/>
      <c r="L89" s="103">
        <f>L83+L85</f>
        <v>201525.1</v>
      </c>
      <c r="M89" s="32"/>
      <c r="N89" s="103">
        <f>N83+N85</f>
        <v>228869.43000000002</v>
      </c>
      <c r="O89" s="111"/>
      <c r="P89" s="103">
        <f>P83+P85</f>
        <v>301974.26</v>
      </c>
      <c r="Q89" s="32"/>
      <c r="R89" s="103">
        <f>R83+R85</f>
        <v>249638.36000000002</v>
      </c>
      <c r="S89" s="32"/>
      <c r="T89" s="103">
        <f>T83+T85</f>
        <v>402975.02</v>
      </c>
      <c r="U89" s="32"/>
      <c r="V89" s="103">
        <f>V83+V85</f>
        <v>327253.41000000003</v>
      </c>
      <c r="W89" s="32"/>
      <c r="X89" s="103">
        <f>X83+X85</f>
        <v>502067.25</v>
      </c>
      <c r="Y89" s="31"/>
      <c r="Z89" s="120">
        <f>Z83+Z85</f>
        <v>266380.17833333334</v>
      </c>
      <c r="AA89" s="31"/>
      <c r="AB89" s="124">
        <f>AB83+AB85</f>
        <v>3196562.14</v>
      </c>
      <c r="AC89" s="33"/>
      <c r="AD89" s="5"/>
      <c r="AE89" s="5"/>
    </row>
    <row r="90" spans="1:31" x14ac:dyDescent="0.2">
      <c r="A90" s="34"/>
      <c r="B90" s="35"/>
      <c r="C90" s="36"/>
      <c r="D90" s="35"/>
      <c r="E90" s="3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6"/>
      <c r="Z90" s="37"/>
      <c r="AA90" s="36"/>
      <c r="AB90" s="38"/>
      <c r="AC90" s="5"/>
      <c r="AD90" s="5"/>
      <c r="AE90" s="5"/>
    </row>
    <row r="91" spans="1:31" x14ac:dyDescent="0.2">
      <c r="A91" s="39"/>
      <c r="B91" s="15"/>
      <c r="C91" s="5"/>
      <c r="D91" s="15"/>
      <c r="E91" s="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5"/>
      <c r="Z91" s="40"/>
      <c r="AA91" s="5"/>
      <c r="AB91" s="41"/>
      <c r="AC91" s="5"/>
      <c r="AD91" s="5"/>
      <c r="AE91" s="5"/>
    </row>
    <row r="92" spans="1:3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x14ac:dyDescent="0.2">
      <c r="A93" s="69" t="s">
        <v>85</v>
      </c>
      <c r="B93" s="68">
        <f>SUM(B94:B96)</f>
        <v>124995.20999999999</v>
      </c>
      <c r="C93" s="42"/>
      <c r="D93" s="68">
        <f>SUM(D94:D96)</f>
        <v>134209.24</v>
      </c>
      <c r="E93" s="42"/>
      <c r="F93" s="68">
        <f>SUM(F94:F96)</f>
        <v>168672.60999999996</v>
      </c>
      <c r="G93" s="42"/>
      <c r="H93" s="68">
        <f>SUM(H94:H96)</f>
        <v>125107.51</v>
      </c>
      <c r="I93" s="42"/>
      <c r="J93" s="68">
        <f>SUM(J94:J96)</f>
        <v>180200.18999999997</v>
      </c>
      <c r="K93" s="42"/>
      <c r="L93" s="68">
        <f>SUM(L94:L96)</f>
        <v>214256.52</v>
      </c>
      <c r="M93" s="42"/>
      <c r="N93" s="70">
        <f>SUM(N94:N96)</f>
        <v>253408.39000000004</v>
      </c>
      <c r="O93" s="42"/>
      <c r="P93" s="68">
        <f>SUM(P94:P96)</f>
        <v>233352.87000000002</v>
      </c>
      <c r="Q93" s="42"/>
      <c r="R93" s="68">
        <f>SUM(R94:R96)</f>
        <v>298658.43</v>
      </c>
      <c r="S93" s="42"/>
      <c r="T93" s="68">
        <f>SUM(T94:T96)</f>
        <v>162864.36000000002</v>
      </c>
      <c r="U93" s="42"/>
      <c r="V93" s="71">
        <f>SUM(V94:V96)</f>
        <v>102720.13000000005</v>
      </c>
      <c r="W93" s="42"/>
      <c r="X93" s="67">
        <f>SUM(X94:X96)</f>
        <v>29249.970000000008</v>
      </c>
      <c r="Y93" s="39"/>
      <c r="Z93" s="39"/>
      <c r="AA93" s="39"/>
      <c r="AB93" s="39"/>
      <c r="AC93" s="39"/>
      <c r="AD93" s="5"/>
      <c r="AE93" s="5"/>
    </row>
    <row r="94" spans="1:31" ht="16" x14ac:dyDescent="0.2">
      <c r="A94" s="43" t="s">
        <v>86</v>
      </c>
      <c r="B94" s="128">
        <v>4669.84</v>
      </c>
      <c r="C94" s="137"/>
      <c r="D94" s="44">
        <v>34879.5</v>
      </c>
      <c r="E94" s="5"/>
      <c r="F94" s="44">
        <v>5410.95</v>
      </c>
      <c r="G94" s="5"/>
      <c r="H94" s="45">
        <v>22974.97</v>
      </c>
      <c r="I94" s="5"/>
      <c r="J94" s="45">
        <v>25000</v>
      </c>
      <c r="K94" s="5"/>
      <c r="L94" s="44">
        <v>25000</v>
      </c>
      <c r="M94" s="5"/>
      <c r="N94" s="45">
        <v>25000</v>
      </c>
      <c r="O94" s="5"/>
      <c r="P94" s="45">
        <v>25000</v>
      </c>
      <c r="Q94" s="5"/>
      <c r="R94" s="45">
        <v>25000</v>
      </c>
      <c r="S94" s="5"/>
      <c r="T94" s="44">
        <v>25000</v>
      </c>
      <c r="U94" s="5"/>
      <c r="V94" s="46">
        <v>5151.8</v>
      </c>
      <c r="W94" s="5"/>
      <c r="X94" s="31">
        <v>0</v>
      </c>
      <c r="Y94" s="5"/>
      <c r="Z94" s="5"/>
      <c r="AA94" s="5"/>
      <c r="AB94" s="5"/>
      <c r="AC94" s="5"/>
      <c r="AD94" s="5"/>
      <c r="AE94" s="5"/>
    </row>
    <row r="95" spans="1:31" ht="16" x14ac:dyDescent="0.2">
      <c r="A95" s="47" t="s">
        <v>87</v>
      </c>
      <c r="B95" s="129">
        <v>0.32</v>
      </c>
      <c r="C95" s="137"/>
      <c r="D95" s="48">
        <v>1519.52</v>
      </c>
      <c r="E95" s="5"/>
      <c r="F95" s="48">
        <v>1708.32</v>
      </c>
      <c r="G95" s="5"/>
      <c r="H95" s="49">
        <v>2794.77</v>
      </c>
      <c r="I95" s="5"/>
      <c r="J95" s="49">
        <v>3194.77</v>
      </c>
      <c r="K95" s="5"/>
      <c r="L95" s="48">
        <v>2594.77</v>
      </c>
      <c r="M95" s="5"/>
      <c r="N95" s="49">
        <v>2650.66</v>
      </c>
      <c r="O95" s="5"/>
      <c r="P95" s="49">
        <v>2177.7600000000002</v>
      </c>
      <c r="Q95" s="5"/>
      <c r="R95" s="49">
        <v>2157.16</v>
      </c>
      <c r="S95" s="5"/>
      <c r="T95" s="48">
        <v>1257.1600000000001</v>
      </c>
      <c r="U95" s="5"/>
      <c r="V95" s="50">
        <v>507.16</v>
      </c>
      <c r="W95" s="5"/>
      <c r="X95" s="51">
        <v>4.1500000000000004</v>
      </c>
      <c r="Y95" s="5"/>
      <c r="Z95" s="5"/>
      <c r="AA95" s="5"/>
      <c r="AB95" s="5"/>
      <c r="AC95" s="5"/>
      <c r="AD95" s="5"/>
      <c r="AE95" s="5"/>
    </row>
    <row r="96" spans="1:31" ht="16" x14ac:dyDescent="0.2">
      <c r="A96" s="52" t="s">
        <v>88</v>
      </c>
      <c r="B96" s="130">
        <f>70292.93+128046.53-78014.41</f>
        <v>120325.04999999999</v>
      </c>
      <c r="C96" s="138"/>
      <c r="D96" s="53">
        <f>B96+100102.97-122617.8</f>
        <v>97810.219999999987</v>
      </c>
      <c r="E96" s="54"/>
      <c r="F96" s="53">
        <f>D96+118585.5-54842.38</f>
        <v>161553.33999999997</v>
      </c>
      <c r="G96" s="54"/>
      <c r="H96" s="55">
        <f>F96+73145.21-135360.78</f>
        <v>99337.76999999999</v>
      </c>
      <c r="I96" s="54"/>
      <c r="J96" s="55">
        <f>H96+95127.12-42459.47</f>
        <v>152005.41999999998</v>
      </c>
      <c r="K96" s="54"/>
      <c r="L96" s="56">
        <f>J96+118157.01-83500.68</f>
        <v>186661.75</v>
      </c>
      <c r="M96" s="54"/>
      <c r="N96" s="56">
        <f>L96+152789.04-113693.06</f>
        <v>225757.73000000004</v>
      </c>
      <c r="O96" s="54"/>
      <c r="P96" s="55">
        <f>N96+77460.91-97043.53</f>
        <v>206175.11000000002</v>
      </c>
      <c r="Q96" s="54"/>
      <c r="R96" s="55">
        <f>P96+206794.57-141468.41</f>
        <v>271501.27</v>
      </c>
      <c r="S96" s="54"/>
      <c r="T96" s="53">
        <f>R96+68298.18-203192.25</f>
        <v>136607.20000000001</v>
      </c>
      <c r="U96" s="54"/>
      <c r="V96" s="57">
        <f>T96+120363.71-159909.74</f>
        <v>97061.170000000042</v>
      </c>
      <c r="W96" s="54"/>
      <c r="X96" s="136">
        <f>V96+198559.83-266375.18</f>
        <v>29245.820000000007</v>
      </c>
      <c r="Y96" s="5"/>
      <c r="Z96" s="5"/>
      <c r="AA96" s="5"/>
      <c r="AB96" s="5"/>
      <c r="AC96" s="5"/>
      <c r="AD96" s="5"/>
      <c r="AE96" s="5"/>
    </row>
    <row r="97" spans="1:31" x14ac:dyDescent="0.2">
      <c r="A97" s="58"/>
      <c r="B97" s="58"/>
      <c r="C97" s="5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 thickBot="1" x14ac:dyDescent="0.25">
      <c r="A99" s="39" t="s">
        <v>89</v>
      </c>
      <c r="B99" s="41">
        <f>SUM(B2)</f>
        <v>207034.36</v>
      </c>
      <c r="C99" s="39"/>
      <c r="D99" s="41">
        <f>SUM(D2)</f>
        <v>207430.62</v>
      </c>
      <c r="E99" s="39"/>
      <c r="F99" s="41">
        <f>SUM(F2)</f>
        <v>212552.53</v>
      </c>
      <c r="G99" s="39"/>
      <c r="H99" s="41">
        <f>SUM(H2)</f>
        <v>221310.41999999998</v>
      </c>
      <c r="I99" s="39"/>
      <c r="J99" s="41">
        <f>SUM(J2)</f>
        <v>219838.32</v>
      </c>
      <c r="K99" s="39"/>
      <c r="L99" s="41">
        <f>SUM(L2)</f>
        <v>235581.43</v>
      </c>
      <c r="M99" s="39"/>
      <c r="N99" s="41">
        <f>SUM(N2)</f>
        <v>268021.3</v>
      </c>
      <c r="O99" s="39"/>
      <c r="P99" s="41">
        <f>SUM(P2)</f>
        <v>264906.08999999997</v>
      </c>
      <c r="Q99" s="39"/>
      <c r="R99" s="41">
        <f>SUM(R2)</f>
        <v>331956.57</v>
      </c>
      <c r="S99" s="39"/>
      <c r="T99" s="41">
        <f>SUM(T2)</f>
        <v>267180.95</v>
      </c>
      <c r="U99" s="39"/>
      <c r="V99" s="41">
        <f>SUM(V2)</f>
        <v>267109.18</v>
      </c>
      <c r="W99" s="39"/>
      <c r="X99" s="41">
        <f>SUM(X2)</f>
        <v>298597.10000000003</v>
      </c>
      <c r="Y99" s="39"/>
      <c r="Z99" s="41">
        <f>SUM(Z2)</f>
        <v>250126.57250000001</v>
      </c>
      <c r="AA99" s="39"/>
      <c r="AB99" s="41">
        <f>SUM(AB2)</f>
        <v>3001518.8699999996</v>
      </c>
      <c r="AC99" s="39"/>
      <c r="AD99" s="39"/>
      <c r="AE99" s="39"/>
    </row>
    <row r="100" spans="1:31" x14ac:dyDescent="0.2">
      <c r="A100" s="59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5"/>
      <c r="AD100" s="5"/>
      <c r="AE100" s="5"/>
    </row>
    <row r="101" spans="1:3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A103" s="72">
        <v>2024</v>
      </c>
      <c r="B103" s="73" t="s">
        <v>90</v>
      </c>
      <c r="C103" s="5"/>
      <c r="D103" s="73" t="s">
        <v>91</v>
      </c>
      <c r="E103" s="5"/>
      <c r="F103" s="73" t="s">
        <v>92</v>
      </c>
      <c r="G103" s="5"/>
      <c r="H103" s="73" t="s">
        <v>93</v>
      </c>
      <c r="I103" s="5"/>
      <c r="J103" s="73" t="s">
        <v>94</v>
      </c>
      <c r="K103" s="5"/>
      <c r="L103" s="73" t="s">
        <v>95</v>
      </c>
      <c r="M103" s="5"/>
      <c r="N103" s="73" t="s">
        <v>96</v>
      </c>
      <c r="O103" s="5"/>
      <c r="P103" s="73" t="s">
        <v>97</v>
      </c>
      <c r="Q103" s="5"/>
      <c r="R103" s="73" t="s">
        <v>98</v>
      </c>
      <c r="S103" s="5"/>
      <c r="T103" s="73" t="s">
        <v>99</v>
      </c>
      <c r="U103" s="5"/>
      <c r="V103" s="73" t="s">
        <v>100</v>
      </c>
      <c r="W103" s="5"/>
      <c r="X103" s="73" t="s">
        <v>101</v>
      </c>
      <c r="Y103" s="5"/>
      <c r="Z103" s="73" t="s">
        <v>14</v>
      </c>
      <c r="AA103" s="5"/>
      <c r="AB103" s="5"/>
      <c r="AC103" s="5"/>
      <c r="AD103" s="5"/>
      <c r="AE103" s="5"/>
    </row>
    <row r="104" spans="1:31" x14ac:dyDescent="0.2">
      <c r="A104" s="60" t="s">
        <v>102</v>
      </c>
      <c r="B104" s="61">
        <v>70293.25</v>
      </c>
      <c r="C104" s="5"/>
      <c r="D104" s="61">
        <f>B111</f>
        <v>124995.20999999999</v>
      </c>
      <c r="E104" s="5"/>
      <c r="F104" s="61">
        <f>D111</f>
        <v>124329.73999999996</v>
      </c>
      <c r="G104" s="5"/>
      <c r="H104" s="61">
        <f>F111</f>
        <v>168672.60999999996</v>
      </c>
      <c r="I104" s="5"/>
      <c r="J104" s="61">
        <f>H111</f>
        <v>125107.50999999992</v>
      </c>
      <c r="K104" s="5"/>
      <c r="L104" s="61">
        <f>J111</f>
        <v>180200.18999999997</v>
      </c>
      <c r="M104" s="5"/>
      <c r="N104" s="61">
        <f>L111</f>
        <v>214256.51999999993</v>
      </c>
      <c r="O104" s="5"/>
      <c r="P104" s="61">
        <f>N111</f>
        <v>253408.3899999999</v>
      </c>
      <c r="Q104" s="5"/>
      <c r="R104" s="61">
        <f>P111</f>
        <v>216340.2199999998</v>
      </c>
      <c r="S104" s="5"/>
      <c r="T104" s="61">
        <f>R111</f>
        <v>298658.42999999976</v>
      </c>
      <c r="U104" s="5"/>
      <c r="V104" s="61">
        <f>T111</f>
        <v>162864.34999999974</v>
      </c>
      <c r="W104" s="5"/>
      <c r="X104" s="61">
        <f>V111</f>
        <v>102720.11999999973</v>
      </c>
      <c r="Y104" s="5"/>
      <c r="Z104" s="61"/>
      <c r="AA104" s="5"/>
      <c r="AB104" s="5"/>
      <c r="AC104" s="5"/>
      <c r="AD104" s="5"/>
      <c r="AE104" s="5"/>
    </row>
    <row r="105" spans="1:31" x14ac:dyDescent="0.2">
      <c r="A105" s="60" t="s">
        <v>103</v>
      </c>
      <c r="B105" s="61">
        <f>B2</f>
        <v>207034.36</v>
      </c>
      <c r="C105" s="5"/>
      <c r="D105" s="61">
        <f>D2</f>
        <v>207430.62</v>
      </c>
      <c r="E105" s="5"/>
      <c r="F105" s="61">
        <f>F3+F4</f>
        <v>212552.53</v>
      </c>
      <c r="G105" s="5"/>
      <c r="H105" s="62">
        <f>H2</f>
        <v>221310.41999999998</v>
      </c>
      <c r="I105" s="5"/>
      <c r="J105" s="62">
        <f>J3</f>
        <v>219838.32</v>
      </c>
      <c r="K105" s="5"/>
      <c r="L105" s="62">
        <f>L2</f>
        <v>235581.43</v>
      </c>
      <c r="M105" s="5"/>
      <c r="N105" s="62">
        <f>N2</f>
        <v>268021.3</v>
      </c>
      <c r="O105" s="5"/>
      <c r="P105" s="62">
        <f>P2</f>
        <v>264906.08999999997</v>
      </c>
      <c r="Q105" s="5"/>
      <c r="R105" s="62">
        <f>R2</f>
        <v>331956.57</v>
      </c>
      <c r="S105" s="5"/>
      <c r="T105" s="62">
        <f>T3</f>
        <v>267180.95</v>
      </c>
      <c r="U105" s="5"/>
      <c r="V105" s="62">
        <f>V3+V4</f>
        <v>267109.18</v>
      </c>
      <c r="W105" s="5"/>
      <c r="X105" s="62">
        <f>X3+1901.83</f>
        <v>298597.10000000003</v>
      </c>
      <c r="Y105" s="5"/>
      <c r="Z105" s="61">
        <f t="shared" ref="Z105:Z110" si="41">B105+D105+F105+H105+J105+L105+N105+P105+R105+T105+V105+X105</f>
        <v>3001518.87</v>
      </c>
      <c r="AA105" s="5"/>
      <c r="AB105" s="5"/>
      <c r="AC105" s="5"/>
      <c r="AD105" s="5"/>
      <c r="AE105" s="5"/>
    </row>
    <row r="106" spans="1:31" x14ac:dyDescent="0.2">
      <c r="A106" s="60" t="s">
        <v>104</v>
      </c>
      <c r="B106" s="61">
        <f>B83-B107-B108</f>
        <v>109083.09</v>
      </c>
      <c r="C106" s="5"/>
      <c r="D106" s="61">
        <f>D83-D48-D42</f>
        <v>92068.249999999985</v>
      </c>
      <c r="E106" s="5"/>
      <c r="F106" s="61">
        <f>F83-F48-F42</f>
        <v>98181.82</v>
      </c>
      <c r="G106" s="5"/>
      <c r="H106" s="61">
        <f>H83-H107-H108</f>
        <v>118426.75</v>
      </c>
      <c r="I106" s="5"/>
      <c r="J106" s="61">
        <f>J83-J107-J108</f>
        <v>109717.79999999999</v>
      </c>
      <c r="K106" s="5"/>
      <c r="L106" s="61">
        <f>L83-L107-L108</f>
        <v>129327.79000000001</v>
      </c>
      <c r="M106" s="5"/>
      <c r="N106" s="61">
        <f>N83-N107-N108</f>
        <v>148841.59000000003</v>
      </c>
      <c r="O106" s="5"/>
      <c r="P106" s="61">
        <f>P83-P107-P108</f>
        <v>196946.42</v>
      </c>
      <c r="Q106" s="5"/>
      <c r="R106" s="61">
        <f>R83-R107-R108</f>
        <v>159610.52000000002</v>
      </c>
      <c r="S106" s="5"/>
      <c r="T106" s="61">
        <f>T83-T107-T108+0.01</f>
        <v>167947.19</v>
      </c>
      <c r="U106" s="5"/>
      <c r="V106" s="61">
        <f>V83-V107-V108</f>
        <v>172428.63</v>
      </c>
      <c r="W106" s="5"/>
      <c r="X106" s="61">
        <f>X83-X107-X108</f>
        <v>186441.14</v>
      </c>
      <c r="Y106" s="5"/>
      <c r="Z106" s="61">
        <f t="shared" si="41"/>
        <v>1689020.9900000002</v>
      </c>
      <c r="AA106" s="5"/>
      <c r="AB106" s="5"/>
      <c r="AC106" s="5"/>
      <c r="AD106" s="5"/>
      <c r="AE106" s="5"/>
    </row>
    <row r="107" spans="1:31" x14ac:dyDescent="0.2">
      <c r="A107" s="60" t="s">
        <v>105</v>
      </c>
      <c r="B107" s="61">
        <f>B42</f>
        <v>9749.31</v>
      </c>
      <c r="C107" s="5"/>
      <c r="D107" s="61">
        <f>D42</f>
        <v>10027.84</v>
      </c>
      <c r="E107" s="5"/>
      <c r="F107" s="61">
        <f>F42</f>
        <v>10027.84</v>
      </c>
      <c r="G107" s="5"/>
      <c r="H107" s="61">
        <f>H42</f>
        <v>10027.84</v>
      </c>
      <c r="I107" s="5"/>
      <c r="J107" s="61">
        <f>J42</f>
        <v>10027.84</v>
      </c>
      <c r="K107" s="5"/>
      <c r="L107" s="61">
        <f>L42</f>
        <v>10027.84</v>
      </c>
      <c r="M107" s="5"/>
      <c r="N107" s="61">
        <f>N42</f>
        <v>10027.84</v>
      </c>
      <c r="O107" s="5"/>
      <c r="P107" s="61">
        <f>P42</f>
        <v>10027.84</v>
      </c>
      <c r="Q107" s="5"/>
      <c r="R107" s="61">
        <f>R42</f>
        <v>10027.84</v>
      </c>
      <c r="S107" s="5"/>
      <c r="T107" s="61">
        <f>T42</f>
        <v>10027.84</v>
      </c>
      <c r="U107" s="5"/>
      <c r="V107" s="61">
        <f>V42</f>
        <v>9824.7800000000007</v>
      </c>
      <c r="W107" s="5"/>
      <c r="X107" s="61">
        <f>X42</f>
        <v>9626.11</v>
      </c>
      <c r="Y107" s="5"/>
      <c r="Z107" s="61">
        <f t="shared" si="41"/>
        <v>119450.75999999998</v>
      </c>
      <c r="AA107" s="5"/>
      <c r="AB107" s="5"/>
      <c r="AC107" s="5"/>
      <c r="AD107" s="5"/>
      <c r="AE107" s="5"/>
    </row>
    <row r="108" spans="1:31" x14ac:dyDescent="0.2">
      <c r="A108" s="60" t="s">
        <v>106</v>
      </c>
      <c r="B108" s="61">
        <v>25000</v>
      </c>
      <c r="C108" s="5"/>
      <c r="D108" s="61">
        <v>25000</v>
      </c>
      <c r="E108" s="5"/>
      <c r="F108" s="61">
        <v>25000</v>
      </c>
      <c r="G108" s="5"/>
      <c r="H108" s="61">
        <v>25000</v>
      </c>
      <c r="I108" s="5"/>
      <c r="J108" s="61">
        <v>25000</v>
      </c>
      <c r="K108" s="5"/>
      <c r="L108" s="61">
        <v>25000</v>
      </c>
      <c r="M108" s="5"/>
      <c r="N108" s="61">
        <v>25000</v>
      </c>
      <c r="O108" s="5"/>
      <c r="P108" s="61">
        <v>25000</v>
      </c>
      <c r="Q108" s="5"/>
      <c r="R108" s="61">
        <v>25000</v>
      </c>
      <c r="S108" s="5"/>
      <c r="T108" s="61">
        <v>25000</v>
      </c>
      <c r="U108" s="5"/>
      <c r="V108" s="61">
        <v>25000</v>
      </c>
      <c r="W108" s="5"/>
      <c r="X108" s="61">
        <v>25000</v>
      </c>
      <c r="Y108" s="5"/>
      <c r="Z108" s="61">
        <f t="shared" si="41"/>
        <v>300000</v>
      </c>
      <c r="AA108" s="5"/>
      <c r="AB108" s="5"/>
      <c r="AC108" s="5"/>
      <c r="AD108" s="5"/>
      <c r="AE108" s="5"/>
    </row>
    <row r="109" spans="1:31" x14ac:dyDescent="0.2">
      <c r="A109" s="60" t="s">
        <v>107</v>
      </c>
      <c r="B109" s="61">
        <f>B85</f>
        <v>22500</v>
      </c>
      <c r="C109" s="5"/>
      <c r="D109" s="61">
        <v>91000</v>
      </c>
      <c r="E109" s="5"/>
      <c r="F109" s="61">
        <v>35000</v>
      </c>
      <c r="G109" s="5"/>
      <c r="H109" s="61">
        <f>H85</f>
        <v>111420.93</v>
      </c>
      <c r="I109" s="5"/>
      <c r="J109" s="61">
        <f>J85</f>
        <v>20000</v>
      </c>
      <c r="K109" s="5"/>
      <c r="L109" s="61">
        <f>L85</f>
        <v>37169.47</v>
      </c>
      <c r="M109" s="5"/>
      <c r="N109" s="61">
        <f>N85</f>
        <v>45000</v>
      </c>
      <c r="O109" s="5"/>
      <c r="P109" s="61">
        <f>P85</f>
        <v>70000</v>
      </c>
      <c r="Q109" s="5"/>
      <c r="R109" s="61">
        <f>R85</f>
        <v>55000</v>
      </c>
      <c r="S109" s="5"/>
      <c r="T109" s="61">
        <f>T85</f>
        <v>200000</v>
      </c>
      <c r="U109" s="5"/>
      <c r="V109" s="61">
        <f>V85</f>
        <v>120000</v>
      </c>
      <c r="W109" s="5"/>
      <c r="X109" s="61">
        <f>X85</f>
        <v>281000</v>
      </c>
      <c r="Y109" s="5"/>
      <c r="Z109" s="61">
        <f t="shared" si="41"/>
        <v>1088090.3999999999</v>
      </c>
      <c r="AA109" s="5"/>
      <c r="AB109" s="5"/>
      <c r="AC109" s="5"/>
      <c r="AD109" s="5"/>
      <c r="AE109" s="5"/>
    </row>
    <row r="110" spans="1:31" x14ac:dyDescent="0.2">
      <c r="A110" s="60" t="s">
        <v>108</v>
      </c>
      <c r="B110" s="61">
        <v>-14000</v>
      </c>
      <c r="C110" s="5"/>
      <c r="D110" s="61">
        <v>-10000</v>
      </c>
      <c r="E110" s="5"/>
      <c r="F110" s="61"/>
      <c r="G110" s="5"/>
      <c r="H110" s="61"/>
      <c r="I110" s="5"/>
      <c r="J110" s="61"/>
      <c r="K110" s="5"/>
      <c r="L110" s="61">
        <f>L84</f>
        <v>0</v>
      </c>
      <c r="M110" s="5"/>
      <c r="N110" s="61"/>
      <c r="O110" s="5"/>
      <c r="P110" s="61">
        <f>P84</f>
        <v>0</v>
      </c>
      <c r="Q110" s="5"/>
      <c r="R110" s="61"/>
      <c r="S110" s="5"/>
      <c r="T110" s="61"/>
      <c r="U110" s="5"/>
      <c r="V110" s="61"/>
      <c r="W110" s="5"/>
      <c r="X110" s="61">
        <v>-130000</v>
      </c>
      <c r="Y110" s="5"/>
      <c r="Z110" s="61">
        <f t="shared" si="41"/>
        <v>-154000</v>
      </c>
      <c r="AA110" s="5"/>
      <c r="AB110" s="5"/>
      <c r="AC110" s="5"/>
      <c r="AD110" s="5"/>
      <c r="AE110" s="5"/>
    </row>
    <row r="111" spans="1:31" x14ac:dyDescent="0.2">
      <c r="A111" s="66" t="s">
        <v>109</v>
      </c>
      <c r="B111" s="65">
        <f>B104+B105-B106-B107-B108-B110-B109</f>
        <v>124995.20999999999</v>
      </c>
      <c r="C111" s="5"/>
      <c r="D111" s="65">
        <f>D104+D105-D106-D107-D108-D109-D110</f>
        <v>124329.73999999996</v>
      </c>
      <c r="E111" s="5"/>
      <c r="F111" s="65">
        <f>F104+F105-F106-F107-F108-F109-F110</f>
        <v>168672.60999999996</v>
      </c>
      <c r="G111" s="5"/>
      <c r="H111" s="65">
        <f>H104+H105-H106-H107-H108-H109-H110</f>
        <v>125107.50999999992</v>
      </c>
      <c r="I111" s="5"/>
      <c r="J111" s="65">
        <f>J104+J105-J106-J107-J108-J109-J110</f>
        <v>180200.18999999997</v>
      </c>
      <c r="K111" s="5"/>
      <c r="L111" s="65">
        <f>L104+L105-L106-L107-L108-L109-L110</f>
        <v>214256.51999999993</v>
      </c>
      <c r="M111" s="5"/>
      <c r="N111" s="65">
        <f>N104+N105-N106-N107-N108-N109-N110</f>
        <v>253408.3899999999</v>
      </c>
      <c r="O111" s="5"/>
      <c r="P111" s="65">
        <f>P104+P105-P106-P107-P108-P109-P110</f>
        <v>216340.2199999998</v>
      </c>
      <c r="Q111" s="5"/>
      <c r="R111" s="65">
        <f>R104+R105-R106-R107-R108-R109-R110</f>
        <v>298658.42999999976</v>
      </c>
      <c r="S111" s="5"/>
      <c r="T111" s="65">
        <f>T104+T105-T106-T107-T108-T109-T110</f>
        <v>162864.34999999974</v>
      </c>
      <c r="U111" s="5"/>
      <c r="V111" s="65">
        <f>V104+V105-V106-V107-V108-V109-V110</f>
        <v>102720.11999999973</v>
      </c>
      <c r="W111" s="5"/>
      <c r="X111" s="65">
        <f>X104+X105-X106-X107-X108-X109-X110</f>
        <v>29249.969999999739</v>
      </c>
      <c r="Y111" s="5"/>
      <c r="Z111" s="65">
        <f>Z104+Z105-Z106-Z107-Z108-Z109-Z110</f>
        <v>-41043.280000000028</v>
      </c>
      <c r="AA111" s="5"/>
      <c r="AB111" s="5"/>
      <c r="AC111" s="5"/>
      <c r="AD111" s="5"/>
      <c r="AE111" s="5"/>
    </row>
    <row r="112" spans="1:3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 t="s">
        <v>134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8:22" x14ac:dyDescent="0.2">
      <c r="V113" s="63">
        <f>V111-V93</f>
        <v>-1.0000000314903446E-2</v>
      </c>
    </row>
    <row r="119" spans="18:22" x14ac:dyDescent="0.2">
      <c r="R119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94:C96"/>
  </mergeCells>
  <conditionalFormatting sqref="F86:X87 B86:B91 D86:D91 E88:X88 F89:X91">
    <cfRule type="cellIs" dxfId="5" priority="2" operator="lessThan">
      <formula>0</formula>
    </cfRule>
  </conditionalFormatting>
  <conditionalFormatting sqref="Z80:AC81 B80:Y83 AB82:AC83">
    <cfRule type="cellIs" dxfId="4" priority="3" operator="lessThan">
      <formula>0</formula>
    </cfRule>
  </conditionalFormatting>
  <conditionalFormatting sqref="AA80:AA81">
    <cfRule type="cellIs" dxfId="3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F4D3-4F80-40D4-9307-DABC3A43110B}">
  <dimension ref="A1:DZ111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6.33203125" bestFit="1" customWidth="1"/>
    <col min="6" max="6" width="11.5" bestFit="1" customWidth="1"/>
    <col min="7" max="7" width="8" bestFit="1" customWidth="1"/>
    <col min="8" max="8" width="10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0.664062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0.664062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6.33203125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83"/>
      <c r="B1" s="84" t="s">
        <v>0</v>
      </c>
      <c r="C1" s="1" t="s">
        <v>1</v>
      </c>
      <c r="D1" s="84" t="s">
        <v>2</v>
      </c>
      <c r="E1" s="1" t="s">
        <v>1</v>
      </c>
      <c r="F1" s="84" t="s">
        <v>3</v>
      </c>
      <c r="G1" s="1" t="s">
        <v>1</v>
      </c>
      <c r="H1" s="84" t="s">
        <v>4</v>
      </c>
      <c r="I1" s="1" t="s">
        <v>1</v>
      </c>
      <c r="J1" s="84" t="s">
        <v>5</v>
      </c>
      <c r="K1" s="2" t="s">
        <v>1</v>
      </c>
      <c r="L1" s="84" t="s">
        <v>6</v>
      </c>
      <c r="M1" s="2" t="s">
        <v>1</v>
      </c>
      <c r="N1" s="84" t="s">
        <v>7</v>
      </c>
      <c r="O1" s="2" t="s">
        <v>1</v>
      </c>
      <c r="P1" s="84" t="s">
        <v>8</v>
      </c>
      <c r="Q1" s="2" t="s">
        <v>1</v>
      </c>
      <c r="R1" s="84" t="s">
        <v>9</v>
      </c>
      <c r="S1" s="2" t="s">
        <v>1</v>
      </c>
      <c r="T1" s="84" t="s">
        <v>10</v>
      </c>
      <c r="U1" s="2" t="s">
        <v>1</v>
      </c>
      <c r="V1" s="84" t="s">
        <v>11</v>
      </c>
      <c r="W1" s="2" t="s">
        <v>1</v>
      </c>
      <c r="X1" s="84" t="s">
        <v>12</v>
      </c>
      <c r="Y1" s="2" t="s">
        <v>1</v>
      </c>
      <c r="Z1" s="85" t="s">
        <v>13</v>
      </c>
      <c r="AA1" s="3" t="s">
        <v>1</v>
      </c>
      <c r="AB1" s="86" t="s">
        <v>14</v>
      </c>
      <c r="AC1" s="4"/>
      <c r="AD1" s="5"/>
      <c r="AE1" s="87" t="s">
        <v>15</v>
      </c>
    </row>
    <row r="2" spans="1:130" x14ac:dyDescent="0.2">
      <c r="A2" s="88" t="s">
        <v>16</v>
      </c>
      <c r="B2" s="89">
        <f>SUM(B3:B5)</f>
        <v>207034.36</v>
      </c>
      <c r="C2" s="6">
        <v>1</v>
      </c>
      <c r="D2" s="89">
        <f>SUM(D3:D4)</f>
        <v>186411.73</v>
      </c>
      <c r="E2" s="6">
        <v>1</v>
      </c>
      <c r="F2" s="89">
        <f>SUM(F3:F5)</f>
        <v>247357.76</v>
      </c>
      <c r="G2" s="6">
        <v>1</v>
      </c>
      <c r="H2" s="89">
        <f>SUM(H3:H5)</f>
        <v>248313.43</v>
      </c>
      <c r="I2" s="6">
        <v>1</v>
      </c>
      <c r="J2" s="89">
        <f>SUM(J3:J5)</f>
        <v>245884.59</v>
      </c>
      <c r="K2" s="6">
        <v>1</v>
      </c>
      <c r="L2" s="89">
        <f>SUM(L3:L5)</f>
        <v>268238.2</v>
      </c>
      <c r="M2" s="6">
        <v>1</v>
      </c>
      <c r="N2" s="89">
        <f>SUM(N3:N5)</f>
        <v>255276.61</v>
      </c>
      <c r="O2" s="6">
        <v>1</v>
      </c>
      <c r="P2" s="89">
        <f>SUM(P3:P5)</f>
        <v>280651.34000000003</v>
      </c>
      <c r="Q2" s="6">
        <v>1</v>
      </c>
      <c r="R2" s="89">
        <f>SUM(R3:R5)</f>
        <v>255282.4</v>
      </c>
      <c r="S2" s="6">
        <v>1</v>
      </c>
      <c r="T2" s="89">
        <f>SUM(T3:T5)</f>
        <v>254755.92</v>
      </c>
      <c r="U2" s="6">
        <v>1</v>
      </c>
      <c r="V2" s="89">
        <f>SUM(V3:V5)</f>
        <v>298085.05</v>
      </c>
      <c r="W2" s="6">
        <v>1</v>
      </c>
      <c r="X2" s="89">
        <f>SUM(X3:X5)</f>
        <v>274937.09999999998</v>
      </c>
      <c r="Y2" s="6">
        <v>1</v>
      </c>
      <c r="Z2" s="125">
        <f t="shared" ref="Z2:Z19" si="0">(B2+D2+F2+H2+J2+L2+N2+P2+R2+T2+V2+X2)/AE$2</f>
        <v>251852.37416666668</v>
      </c>
      <c r="AA2" s="7">
        <v>1</v>
      </c>
      <c r="AB2" s="89">
        <f>SUM(AB3:AB5)</f>
        <v>3022228.49</v>
      </c>
      <c r="AC2" s="126">
        <v>1</v>
      </c>
      <c r="AD2" s="8"/>
      <c r="AE2" s="82">
        <f>COUNTIF(B2:Y2,"&gt;1")</f>
        <v>12</v>
      </c>
    </row>
    <row r="3" spans="1:130" x14ac:dyDescent="0.2">
      <c r="A3" s="9" t="s">
        <v>17</v>
      </c>
      <c r="B3" s="9">
        <v>207034.36</v>
      </c>
      <c r="C3" s="10">
        <f t="shared" ref="C3:C66" si="1">B3/B$2</f>
        <v>1</v>
      </c>
      <c r="D3" s="9">
        <v>186411.73</v>
      </c>
      <c r="E3" s="10">
        <f t="shared" ref="E3:E13" si="2">D3/D$2</f>
        <v>1</v>
      </c>
      <c r="F3" s="9">
        <v>247357.76</v>
      </c>
      <c r="G3" s="10">
        <f t="shared" ref="G3:G66" si="3">F3/F$2</f>
        <v>1</v>
      </c>
      <c r="H3" s="9">
        <v>248313.43</v>
      </c>
      <c r="I3" s="10">
        <f t="shared" ref="I3:I66" si="4">H3/H$2</f>
        <v>1</v>
      </c>
      <c r="J3" s="9">
        <v>245884.59</v>
      </c>
      <c r="K3" s="10">
        <f t="shared" ref="K3:K23" si="5">J3/J$2</f>
        <v>1</v>
      </c>
      <c r="L3" s="9">
        <v>268238.2</v>
      </c>
      <c r="M3" s="10">
        <f t="shared" ref="M3:M13" si="6">L3/L$2</f>
        <v>1</v>
      </c>
      <c r="N3" s="9">
        <v>255276.61</v>
      </c>
      <c r="O3" s="10">
        <f t="shared" ref="O3:O66" si="7">N3/N$2</f>
        <v>1</v>
      </c>
      <c r="P3" s="9">
        <v>280651.34000000003</v>
      </c>
      <c r="Q3" s="10">
        <f t="shared" ref="Q3:Q66" si="8">P3/P$2</f>
        <v>1</v>
      </c>
      <c r="R3" s="9">
        <v>255282.4</v>
      </c>
      <c r="S3" s="10">
        <f t="shared" ref="S3:S66" si="9">R3/R$2</f>
        <v>1</v>
      </c>
      <c r="T3" s="9">
        <v>254755.92</v>
      </c>
      <c r="U3" s="10">
        <f t="shared" ref="U3:U66" si="10">T3/T$2</f>
        <v>1</v>
      </c>
      <c r="V3" s="9">
        <v>298085.05</v>
      </c>
      <c r="W3" s="10">
        <f t="shared" ref="W3:W66" si="11">V3/V$2</f>
        <v>1</v>
      </c>
      <c r="X3" s="9">
        <v>274937.09999999998</v>
      </c>
      <c r="Y3" s="10">
        <f t="shared" ref="Y3:Y66" si="12">X3/X$2</f>
        <v>1</v>
      </c>
      <c r="Z3" s="11">
        <f t="shared" si="0"/>
        <v>251852.37416666668</v>
      </c>
      <c r="AA3" s="10">
        <f t="shared" ref="AA3:AA74" si="13">Z3/Z$2</f>
        <v>1</v>
      </c>
      <c r="AB3" s="12">
        <f>L3+N3+P3+R3+T3+V3+X3+J3+H3+F3+D3+B3</f>
        <v>3022228.49</v>
      </c>
      <c r="AC3" s="13">
        <f t="shared" ref="AC3:AC13" si="14">AB3/AB$3</f>
        <v>1</v>
      </c>
      <c r="AD3" s="5"/>
      <c r="AE3" s="14"/>
    </row>
    <row r="4" spans="1:130" x14ac:dyDescent="0.2">
      <c r="A4" s="9" t="s">
        <v>18</v>
      </c>
      <c r="B4" s="9"/>
      <c r="C4" s="10">
        <f t="shared" si="1"/>
        <v>0</v>
      </c>
      <c r="D4" s="9"/>
      <c r="E4" s="10">
        <f t="shared" si="2"/>
        <v>0</v>
      </c>
      <c r="F4" s="9"/>
      <c r="G4" s="10">
        <f t="shared" si="3"/>
        <v>0</v>
      </c>
      <c r="H4" s="9"/>
      <c r="I4" s="10">
        <f t="shared" si="4"/>
        <v>0</v>
      </c>
      <c r="J4" s="9"/>
      <c r="K4" s="10">
        <f t="shared" si="5"/>
        <v>0</v>
      </c>
      <c r="L4" s="9"/>
      <c r="M4" s="10">
        <f t="shared" si="6"/>
        <v>0</v>
      </c>
      <c r="N4" s="9"/>
      <c r="O4" s="10">
        <f t="shared" si="7"/>
        <v>0</v>
      </c>
      <c r="P4" s="9"/>
      <c r="Q4" s="10">
        <f t="shared" si="8"/>
        <v>0</v>
      </c>
      <c r="R4" s="9"/>
      <c r="S4" s="10">
        <f t="shared" si="9"/>
        <v>0</v>
      </c>
      <c r="T4" s="9"/>
      <c r="U4" s="10">
        <f t="shared" si="10"/>
        <v>0</v>
      </c>
      <c r="V4" s="9"/>
      <c r="W4" s="10">
        <f t="shared" si="11"/>
        <v>0</v>
      </c>
      <c r="X4" s="9"/>
      <c r="Y4" s="10">
        <f t="shared" si="12"/>
        <v>0</v>
      </c>
      <c r="Z4" s="11">
        <f t="shared" si="0"/>
        <v>0</v>
      </c>
      <c r="AA4" s="10">
        <f t="shared" si="13"/>
        <v>0</v>
      </c>
      <c r="AB4" s="12">
        <f>L4+N4+P4+R4+T4+V4+X4+J4+H4+F4+D4+B4</f>
        <v>0</v>
      </c>
      <c r="AC4" s="13">
        <f t="shared" si="14"/>
        <v>0</v>
      </c>
      <c r="AD4" s="5"/>
      <c r="AE4" s="14"/>
    </row>
    <row r="5" spans="1:130" x14ac:dyDescent="0.2">
      <c r="A5" s="9" t="s">
        <v>19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3">
        <f t="shared" si="14"/>
        <v>0</v>
      </c>
      <c r="AD5" s="5"/>
      <c r="AE5" s="14"/>
    </row>
    <row r="6" spans="1:130" x14ac:dyDescent="0.2">
      <c r="A6" s="88" t="s">
        <v>20</v>
      </c>
      <c r="B6" s="89">
        <f>SUBTOTAL(9,B7:B13)</f>
        <v>39200</v>
      </c>
      <c r="C6" s="6">
        <f t="shared" si="1"/>
        <v>0.18934055197407812</v>
      </c>
      <c r="D6" s="89">
        <f>SUBTOTAL(9,D7:D13)</f>
        <v>38895.841200000003</v>
      </c>
      <c r="E6" s="6">
        <f t="shared" si="2"/>
        <v>0.20865554544233886</v>
      </c>
      <c r="F6" s="89">
        <f>SUBTOTAL(9,F7:F13)</f>
        <v>36389.994100000004</v>
      </c>
      <c r="G6" s="6">
        <f t="shared" si="3"/>
        <v>0.14711482712327278</v>
      </c>
      <c r="H6" s="89">
        <f>SUBTOTAL(9,H7:H13)</f>
        <v>46750.819200000005</v>
      </c>
      <c r="I6" s="6">
        <f t="shared" si="4"/>
        <v>0.18827342202151534</v>
      </c>
      <c r="J6" s="89">
        <f>SUBTOTAL(9,J7:J13)</f>
        <v>47413.283100000001</v>
      </c>
      <c r="K6" s="6">
        <f t="shared" si="5"/>
        <v>0.19282738743408037</v>
      </c>
      <c r="L6" s="89">
        <f>SUBTOTAL(9,L7:L13)</f>
        <v>46500.380300000004</v>
      </c>
      <c r="M6" s="6">
        <f t="shared" si="6"/>
        <v>0.17335480293261737</v>
      </c>
      <c r="N6" s="89">
        <f>SUBTOTAL(9,N7:N13)</f>
        <v>50300.494000000006</v>
      </c>
      <c r="O6" s="6">
        <f t="shared" si="7"/>
        <v>0.19704309768137399</v>
      </c>
      <c r="P6" s="89">
        <f>SUBTOTAL(9,P7:P13)</f>
        <v>48097.023699999998</v>
      </c>
      <c r="Q6" s="6">
        <f t="shared" si="8"/>
        <v>0.17137642635164327</v>
      </c>
      <c r="R6" s="89">
        <f>SUBTOTAL(9,R7:R13)</f>
        <v>52910.727800000008</v>
      </c>
      <c r="S6" s="6">
        <f t="shared" si="9"/>
        <v>0.20726351601207138</v>
      </c>
      <c r="T6" s="89">
        <f>SUBTOTAL(9,T7:T13)</f>
        <v>48598.008000000002</v>
      </c>
      <c r="U6" s="6">
        <f t="shared" si="10"/>
        <v>0.19076301740112653</v>
      </c>
      <c r="V6" s="89">
        <f>SUBTOTAL(9,V7:V13)</f>
        <v>48508.506400000006</v>
      </c>
      <c r="W6" s="6">
        <f t="shared" si="11"/>
        <v>0.16273377816163545</v>
      </c>
      <c r="X6" s="89">
        <f>SUBTOTAL(9,X7:X13)</f>
        <v>55874.458500000001</v>
      </c>
      <c r="Y6" s="6">
        <f t="shared" si="12"/>
        <v>0.20322633249568722</v>
      </c>
      <c r="Z6" s="125">
        <f t="shared" si="0"/>
        <v>46619.961358333334</v>
      </c>
      <c r="AA6" s="6">
        <f>Z6/Z$2</f>
        <v>0.18510828620373437</v>
      </c>
      <c r="AB6" s="89">
        <f>SUBTOTAL(9,AB7:AB13)</f>
        <v>559439.53630000004</v>
      </c>
      <c r="AC6" s="114">
        <f>AB6/AB$2</f>
        <v>0.18510828620373437</v>
      </c>
      <c r="AD6" s="81"/>
      <c r="AE6" s="15"/>
    </row>
    <row r="7" spans="1:130" x14ac:dyDescent="0.2">
      <c r="A7" s="16" t="s">
        <v>21</v>
      </c>
      <c r="B7" s="16">
        <v>36000</v>
      </c>
      <c r="C7" s="10">
        <f t="shared" si="1"/>
        <v>0.17388418038435746</v>
      </c>
      <c r="D7" s="16">
        <f>B3*17%</f>
        <v>35195.841200000003</v>
      </c>
      <c r="E7" s="10">
        <f t="shared" si="2"/>
        <v>0.18880700908682088</v>
      </c>
      <c r="F7" s="16">
        <f>D3*17%</f>
        <v>31689.994100000004</v>
      </c>
      <c r="G7" s="10">
        <f t="shared" si="3"/>
        <v>0.12811400822840571</v>
      </c>
      <c r="H7" s="16">
        <f>F3*17%</f>
        <v>42050.819200000005</v>
      </c>
      <c r="I7" s="10">
        <f t="shared" si="4"/>
        <v>0.1693457305148578</v>
      </c>
      <c r="J7" s="16">
        <f>H3*17%</f>
        <v>42213.283100000001</v>
      </c>
      <c r="K7" s="10">
        <f t="shared" si="5"/>
        <v>0.17167925448276364</v>
      </c>
      <c r="L7" s="16">
        <f>J3*17%</f>
        <v>41800.380300000004</v>
      </c>
      <c r="M7" s="10">
        <f t="shared" si="6"/>
        <v>0.15583306292690602</v>
      </c>
      <c r="N7" s="16">
        <f>L3*17%</f>
        <v>45600.494000000006</v>
      </c>
      <c r="O7" s="10">
        <f t="shared" si="7"/>
        <v>0.17863169680919849</v>
      </c>
      <c r="P7" s="16">
        <f>N3*17%</f>
        <v>43397.023699999998</v>
      </c>
      <c r="Q7" s="10">
        <f t="shared" si="8"/>
        <v>0.15462966861301997</v>
      </c>
      <c r="R7" s="9">
        <f>P3*17%</f>
        <v>47710.727800000008</v>
      </c>
      <c r="S7" s="10">
        <f t="shared" si="9"/>
        <v>0.1868939174811895</v>
      </c>
      <c r="T7" s="16">
        <f>R3*17%</f>
        <v>43398.008000000002</v>
      </c>
      <c r="U7" s="10">
        <f t="shared" si="10"/>
        <v>0.17035132294472294</v>
      </c>
      <c r="V7" s="16">
        <f>T3*17%</f>
        <v>43308.506400000006</v>
      </c>
      <c r="W7" s="10">
        <f t="shared" si="11"/>
        <v>0.14528909249222666</v>
      </c>
      <c r="X7" s="16">
        <f>V3*17%</f>
        <v>50674.458500000001</v>
      </c>
      <c r="Y7" s="10">
        <f t="shared" si="12"/>
        <v>0.18431291557232546</v>
      </c>
      <c r="Z7" s="11">
        <f t="shared" si="0"/>
        <v>41919.961358333334</v>
      </c>
      <c r="AA7" s="10">
        <f>Z7/Z$2</f>
        <v>0.1664465602003507</v>
      </c>
      <c r="AB7" s="12">
        <f>L7+N7+P7+R7+T7+V7+X7+J7+H7+F7+D7+B7</f>
        <v>503039.53630000009</v>
      </c>
      <c r="AC7" s="13">
        <f t="shared" si="14"/>
        <v>0.16644656020035073</v>
      </c>
      <c r="AD7" s="5"/>
      <c r="AE7" s="5"/>
    </row>
    <row r="8" spans="1:130" x14ac:dyDescent="0.2">
      <c r="A8" s="16" t="s">
        <v>22</v>
      </c>
      <c r="B8" s="16">
        <f>SUBTOTAL(9,B9:B13)</f>
        <v>3200</v>
      </c>
      <c r="C8" s="10">
        <f t="shared" si="1"/>
        <v>1.5456371589720665E-2</v>
      </c>
      <c r="D8" s="16">
        <f>SUBTOTAL(9,D9:D13)</f>
        <v>3700</v>
      </c>
      <c r="E8" s="10">
        <f t="shared" si="2"/>
        <v>1.9848536355517969E-2</v>
      </c>
      <c r="F8" s="16">
        <f>SUBTOTAL(9,F9:F13)</f>
        <v>4700</v>
      </c>
      <c r="G8" s="10">
        <f t="shared" si="3"/>
        <v>1.9000818894867093E-2</v>
      </c>
      <c r="H8" s="16">
        <f>SUBTOTAL(9,H9:H13)</f>
        <v>4700</v>
      </c>
      <c r="I8" s="10">
        <f t="shared" si="4"/>
        <v>1.8927691506657535E-2</v>
      </c>
      <c r="J8" s="16">
        <f>SUBTOTAL(9,J9:J13)</f>
        <v>5200</v>
      </c>
      <c r="K8" s="10">
        <f t="shared" si="5"/>
        <v>2.1148132951316713E-2</v>
      </c>
      <c r="L8" s="16">
        <f>SUBTOTAL(9,L9:L13)</f>
        <v>4700</v>
      </c>
      <c r="M8" s="10">
        <f t="shared" si="6"/>
        <v>1.7521740005711342E-2</v>
      </c>
      <c r="N8" s="16">
        <f>SUBTOTAL(9,N9:N13)</f>
        <v>4700</v>
      </c>
      <c r="O8" s="10">
        <f t="shared" si="7"/>
        <v>1.8411400872175483E-2</v>
      </c>
      <c r="P8" s="16">
        <f>SUBTOTAL(9,P9:P13)</f>
        <v>4700</v>
      </c>
      <c r="Q8" s="10">
        <f t="shared" si="8"/>
        <v>1.6746757738623302E-2</v>
      </c>
      <c r="R8" s="9">
        <f>SUBTOTAL(9,R9:R13)</f>
        <v>5200</v>
      </c>
      <c r="S8" s="10">
        <f t="shared" si="9"/>
        <v>2.0369598530881879E-2</v>
      </c>
      <c r="T8" s="16">
        <f>SUBTOTAL(9,T9:T13)</f>
        <v>5200</v>
      </c>
      <c r="U8" s="10">
        <f t="shared" si="10"/>
        <v>2.0411694456403603E-2</v>
      </c>
      <c r="V8" s="16">
        <f>SUBTOTAL(9,V9:V13)</f>
        <v>5200</v>
      </c>
      <c r="W8" s="10">
        <f t="shared" si="11"/>
        <v>1.7444685669408783E-2</v>
      </c>
      <c r="X8" s="16">
        <f>SUBTOTAL(9,X9:X13)</f>
        <v>5200</v>
      </c>
      <c r="Y8" s="10">
        <f t="shared" si="12"/>
        <v>1.8913416923361744E-2</v>
      </c>
      <c r="Z8" s="11">
        <f t="shared" si="0"/>
        <v>4700</v>
      </c>
      <c r="AA8" s="10">
        <f t="shared" si="13"/>
        <v>1.8661726003383682E-2</v>
      </c>
      <c r="AB8" s="12">
        <f>SUBTOTAL(9,AB9:AB13)</f>
        <v>56400</v>
      </c>
      <c r="AC8" s="13">
        <f t="shared" si="14"/>
        <v>1.8661726003383682E-2</v>
      </c>
      <c r="AD8" s="81"/>
      <c r="AE8" s="5"/>
    </row>
    <row r="9" spans="1:130" s="74" customFormat="1" x14ac:dyDescent="0.2">
      <c r="A9" s="9" t="s">
        <v>24</v>
      </c>
      <c r="B9" s="9">
        <v>1000</v>
      </c>
      <c r="C9" s="10">
        <f t="shared" si="1"/>
        <v>4.8301161217877073E-3</v>
      </c>
      <c r="D9" s="9">
        <v>1000</v>
      </c>
      <c r="E9" s="10">
        <f t="shared" si="2"/>
        <v>5.3644692852751266E-3</v>
      </c>
      <c r="F9" s="9">
        <v>2000</v>
      </c>
      <c r="G9" s="10">
        <f t="shared" si="3"/>
        <v>8.0854548488796148E-3</v>
      </c>
      <c r="H9" s="9">
        <v>2000</v>
      </c>
      <c r="I9" s="10">
        <f t="shared" si="4"/>
        <v>8.0543368113436316E-3</v>
      </c>
      <c r="J9" s="9">
        <v>2000</v>
      </c>
      <c r="K9" s="10">
        <f t="shared" si="5"/>
        <v>8.1338972889679669E-3</v>
      </c>
      <c r="L9" s="9">
        <v>1500</v>
      </c>
      <c r="M9" s="10">
        <f t="shared" si="6"/>
        <v>5.5920446826738324E-3</v>
      </c>
      <c r="N9" s="9">
        <v>1500</v>
      </c>
      <c r="O9" s="10">
        <f t="shared" si="7"/>
        <v>5.8759790017581326E-3</v>
      </c>
      <c r="P9" s="9">
        <v>1500</v>
      </c>
      <c r="Q9" s="10">
        <f t="shared" si="8"/>
        <v>5.3447099165819054E-3</v>
      </c>
      <c r="R9" s="9">
        <v>1500</v>
      </c>
      <c r="S9" s="10">
        <f t="shared" si="9"/>
        <v>5.8758457300620804E-3</v>
      </c>
      <c r="T9" s="9">
        <v>1500</v>
      </c>
      <c r="U9" s="10">
        <f t="shared" si="10"/>
        <v>5.8879887855010395E-3</v>
      </c>
      <c r="V9" s="9">
        <v>1500</v>
      </c>
      <c r="W9" s="10">
        <f t="shared" si="11"/>
        <v>5.0321208661756106E-3</v>
      </c>
      <c r="X9" s="9">
        <v>1500</v>
      </c>
      <c r="Y9" s="10">
        <f t="shared" si="12"/>
        <v>5.455793343277426E-3</v>
      </c>
      <c r="Z9" s="11">
        <f t="shared" si="0"/>
        <v>1541.6666666666667</v>
      </c>
      <c r="AA9" s="10">
        <f t="shared" si="13"/>
        <v>6.1213108344432294E-3</v>
      </c>
      <c r="AB9" s="12">
        <f t="shared" ref="AB9:AB13" si="15">L9+N9+P9+R9+T9+V9+X9+J9+H9+F9+D9+B9</f>
        <v>18500</v>
      </c>
      <c r="AC9" s="13">
        <f t="shared" si="14"/>
        <v>6.1213108344432285E-3</v>
      </c>
      <c r="AD9" s="5"/>
      <c r="AE9" s="5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x14ac:dyDescent="0.2">
      <c r="A10" s="16" t="s">
        <v>135</v>
      </c>
      <c r="B10" s="16"/>
      <c r="C10" s="10">
        <f t="shared" si="1"/>
        <v>0</v>
      </c>
      <c r="D10" s="16">
        <v>500</v>
      </c>
      <c r="E10" s="10">
        <f t="shared" si="2"/>
        <v>2.6822346426375633E-3</v>
      </c>
      <c r="F10" s="16">
        <v>500</v>
      </c>
      <c r="G10" s="10">
        <f t="shared" si="3"/>
        <v>2.0213637122199037E-3</v>
      </c>
      <c r="H10" s="16">
        <v>500</v>
      </c>
      <c r="I10" s="10">
        <f t="shared" si="4"/>
        <v>2.0135842028359079E-3</v>
      </c>
      <c r="J10" s="16">
        <v>1000</v>
      </c>
      <c r="K10" s="10">
        <f t="shared" si="5"/>
        <v>4.0669486444839835E-3</v>
      </c>
      <c r="L10" s="16">
        <v>1000</v>
      </c>
      <c r="M10" s="10">
        <f t="shared" si="6"/>
        <v>3.7280297884492216E-3</v>
      </c>
      <c r="N10" s="16">
        <v>1000</v>
      </c>
      <c r="O10" s="10">
        <f t="shared" si="7"/>
        <v>3.9173193345054215E-3</v>
      </c>
      <c r="P10" s="16">
        <v>1000</v>
      </c>
      <c r="Q10" s="10">
        <f t="shared" si="8"/>
        <v>3.5631399443879367E-3</v>
      </c>
      <c r="R10" s="9">
        <v>1500</v>
      </c>
      <c r="S10" s="10">
        <f t="shared" si="9"/>
        <v>5.8758457300620804E-3</v>
      </c>
      <c r="T10" s="16">
        <v>1500</v>
      </c>
      <c r="U10" s="10">
        <f t="shared" si="10"/>
        <v>5.8879887855010395E-3</v>
      </c>
      <c r="V10" s="16">
        <v>1500</v>
      </c>
      <c r="W10" s="10">
        <f t="shared" si="11"/>
        <v>5.0321208661756106E-3</v>
      </c>
      <c r="X10" s="16">
        <v>1500</v>
      </c>
      <c r="Y10" s="10">
        <f t="shared" si="12"/>
        <v>5.455793343277426E-3</v>
      </c>
      <c r="Z10" s="11">
        <f t="shared" si="0"/>
        <v>958.33333333333337</v>
      </c>
      <c r="AA10" s="10">
        <f t="shared" si="13"/>
        <v>3.805139167356602E-3</v>
      </c>
      <c r="AB10" s="12">
        <f t="shared" si="15"/>
        <v>11500</v>
      </c>
      <c r="AC10" s="13">
        <f t="shared" si="14"/>
        <v>3.8051391673566016E-3</v>
      </c>
      <c r="AD10" s="5"/>
      <c r="AE10" s="5"/>
    </row>
    <row r="11" spans="1:130" x14ac:dyDescent="0.2">
      <c r="A11" s="16"/>
      <c r="B11" s="16"/>
      <c r="C11" s="10">
        <f t="shared" si="1"/>
        <v>0</v>
      </c>
      <c r="D11" s="16"/>
      <c r="E11" s="10">
        <f t="shared" si="2"/>
        <v>0</v>
      </c>
      <c r="F11" s="16"/>
      <c r="G11" s="10">
        <f t="shared" si="3"/>
        <v>0</v>
      </c>
      <c r="H11" s="16"/>
      <c r="I11" s="10">
        <f t="shared" si="4"/>
        <v>0</v>
      </c>
      <c r="J11" s="16"/>
      <c r="K11" s="10">
        <f t="shared" si="5"/>
        <v>0</v>
      </c>
      <c r="L11" s="16"/>
      <c r="M11" s="10">
        <f t="shared" si="6"/>
        <v>0</v>
      </c>
      <c r="N11" s="16"/>
      <c r="O11" s="10">
        <f t="shared" si="7"/>
        <v>0</v>
      </c>
      <c r="P11" s="16"/>
      <c r="Q11" s="10">
        <f t="shared" si="8"/>
        <v>0</v>
      </c>
      <c r="R11" s="9"/>
      <c r="S11" s="10">
        <f t="shared" si="9"/>
        <v>0</v>
      </c>
      <c r="T11" s="16"/>
      <c r="U11" s="10">
        <f t="shared" si="10"/>
        <v>0</v>
      </c>
      <c r="V11" s="16"/>
      <c r="W11" s="10">
        <f t="shared" si="11"/>
        <v>0</v>
      </c>
      <c r="X11" s="16"/>
      <c r="Y11" s="10">
        <f t="shared" si="12"/>
        <v>0</v>
      </c>
      <c r="Z11" s="11">
        <f t="shared" si="0"/>
        <v>0</v>
      </c>
      <c r="AA11" s="10">
        <f t="shared" si="13"/>
        <v>0</v>
      </c>
      <c r="AB11" s="12">
        <f t="shared" si="15"/>
        <v>0</v>
      </c>
      <c r="AC11" s="13">
        <f t="shared" si="14"/>
        <v>0</v>
      </c>
      <c r="AD11" s="5"/>
      <c r="AE11" s="5"/>
    </row>
    <row r="12" spans="1:130" x14ac:dyDescent="0.2">
      <c r="A12" s="16" t="s">
        <v>25</v>
      </c>
      <c r="B12" s="16">
        <v>2200</v>
      </c>
      <c r="C12" s="10">
        <f t="shared" si="1"/>
        <v>1.0626255467932956E-2</v>
      </c>
      <c r="D12" s="16">
        <v>2200</v>
      </c>
      <c r="E12" s="10">
        <f t="shared" si="2"/>
        <v>1.1801832427605279E-2</v>
      </c>
      <c r="F12" s="16">
        <v>2200</v>
      </c>
      <c r="G12" s="10">
        <f t="shared" si="3"/>
        <v>8.8940003337675752E-3</v>
      </c>
      <c r="H12" s="16">
        <v>2200</v>
      </c>
      <c r="I12" s="10">
        <f t="shared" si="4"/>
        <v>8.8597704924779953E-3</v>
      </c>
      <c r="J12" s="16">
        <v>2200</v>
      </c>
      <c r="K12" s="10">
        <f t="shared" si="5"/>
        <v>8.9472870178647634E-3</v>
      </c>
      <c r="L12" s="16">
        <v>2200</v>
      </c>
      <c r="M12" s="10">
        <f t="shared" si="6"/>
        <v>8.2016655345882872E-3</v>
      </c>
      <c r="N12" s="16">
        <v>2200</v>
      </c>
      <c r="O12" s="10">
        <f t="shared" si="7"/>
        <v>8.6181025359119267E-3</v>
      </c>
      <c r="P12" s="16">
        <v>2200</v>
      </c>
      <c r="Q12" s="10">
        <f t="shared" si="8"/>
        <v>7.8389078776534612E-3</v>
      </c>
      <c r="R12" s="9">
        <v>2200</v>
      </c>
      <c r="S12" s="10">
        <f t="shared" si="9"/>
        <v>8.6179070707577184E-3</v>
      </c>
      <c r="T12" s="16">
        <v>2200</v>
      </c>
      <c r="U12" s="10">
        <f t="shared" si="10"/>
        <v>8.6357168854015245E-3</v>
      </c>
      <c r="V12" s="16">
        <v>2200</v>
      </c>
      <c r="W12" s="10">
        <f t="shared" si="11"/>
        <v>7.3804439370575613E-3</v>
      </c>
      <c r="X12" s="16">
        <v>2200</v>
      </c>
      <c r="Y12" s="10">
        <f t="shared" si="12"/>
        <v>8.0018302368068915E-3</v>
      </c>
      <c r="Z12" s="11">
        <f t="shared" si="0"/>
        <v>2200</v>
      </c>
      <c r="AA12" s="10">
        <f t="shared" si="13"/>
        <v>8.7352760015838513E-3</v>
      </c>
      <c r="AB12" s="12">
        <f t="shared" si="15"/>
        <v>26400</v>
      </c>
      <c r="AC12" s="13">
        <f t="shared" si="14"/>
        <v>8.7352760015838513E-3</v>
      </c>
      <c r="AD12" s="5"/>
      <c r="AE12" s="5"/>
    </row>
    <row r="13" spans="1:130" x14ac:dyDescent="0.2">
      <c r="A13" s="17" t="s">
        <v>23</v>
      </c>
      <c r="B13" s="16"/>
      <c r="C13" s="10">
        <f t="shared" si="1"/>
        <v>0</v>
      </c>
      <c r="D13" s="16"/>
      <c r="E13" s="10">
        <f t="shared" si="2"/>
        <v>0</v>
      </c>
      <c r="F13" s="16"/>
      <c r="G13" s="10">
        <f t="shared" si="3"/>
        <v>0</v>
      </c>
      <c r="H13" s="16"/>
      <c r="I13" s="10">
        <f t="shared" si="4"/>
        <v>0</v>
      </c>
      <c r="J13" s="16"/>
      <c r="K13" s="10">
        <f t="shared" si="5"/>
        <v>0</v>
      </c>
      <c r="L13" s="16"/>
      <c r="M13" s="10">
        <f t="shared" si="6"/>
        <v>0</v>
      </c>
      <c r="N13" s="16"/>
      <c r="O13" s="10">
        <f t="shared" si="7"/>
        <v>0</v>
      </c>
      <c r="P13" s="16"/>
      <c r="Q13" s="10">
        <f t="shared" si="8"/>
        <v>0</v>
      </c>
      <c r="R13" s="16"/>
      <c r="S13" s="10">
        <f t="shared" si="9"/>
        <v>0</v>
      </c>
      <c r="T13" s="16"/>
      <c r="U13" s="10">
        <f t="shared" si="10"/>
        <v>0</v>
      </c>
      <c r="V13" s="16"/>
      <c r="W13" s="10">
        <f t="shared" si="11"/>
        <v>0</v>
      </c>
      <c r="X13" s="16"/>
      <c r="Y13" s="10">
        <f t="shared" si="12"/>
        <v>0</v>
      </c>
      <c r="Z13" s="11">
        <f t="shared" si="0"/>
        <v>0</v>
      </c>
      <c r="AA13" s="10">
        <f t="shared" si="13"/>
        <v>0</v>
      </c>
      <c r="AB13" s="12">
        <f t="shared" si="15"/>
        <v>0</v>
      </c>
      <c r="AC13" s="13">
        <f t="shared" si="14"/>
        <v>0</v>
      </c>
      <c r="AD13" s="5"/>
      <c r="AE13" s="5"/>
    </row>
    <row r="14" spans="1:130" x14ac:dyDescent="0.2">
      <c r="A14" s="88" t="s">
        <v>26</v>
      </c>
      <c r="B14" s="89">
        <f>B2-B6</f>
        <v>167834.36</v>
      </c>
      <c r="C14" s="6">
        <f t="shared" si="1"/>
        <v>0.81065944802592182</v>
      </c>
      <c r="D14" s="89">
        <f>D2-D6</f>
        <v>147515.88880000002</v>
      </c>
      <c r="E14" s="6">
        <f>D14/D$2</f>
        <v>0.79134445455766123</v>
      </c>
      <c r="F14" s="89">
        <f>F2-F6</f>
        <v>210967.7659</v>
      </c>
      <c r="G14" s="6">
        <f t="shared" si="3"/>
        <v>0.85288517287672716</v>
      </c>
      <c r="H14" s="89">
        <f>H2-H6</f>
        <v>201562.61079999999</v>
      </c>
      <c r="I14" s="6">
        <f t="shared" si="4"/>
        <v>0.81172657797848469</v>
      </c>
      <c r="J14" s="89">
        <f>J2-J6</f>
        <v>198471.3069</v>
      </c>
      <c r="K14" s="6">
        <f t="shared" si="5"/>
        <v>0.80717261256591966</v>
      </c>
      <c r="L14" s="89">
        <f>L2-L6</f>
        <v>221737.81969999999</v>
      </c>
      <c r="M14" s="6">
        <f>L14/L$2</f>
        <v>0.8266451970673826</v>
      </c>
      <c r="N14" s="89">
        <f>N2-N6</f>
        <v>204976.11599999998</v>
      </c>
      <c r="O14" s="6">
        <f t="shared" si="7"/>
        <v>0.80295690231862604</v>
      </c>
      <c r="P14" s="89">
        <f>P2-P6</f>
        <v>232554.31630000003</v>
      </c>
      <c r="Q14" s="6">
        <f t="shared" si="8"/>
        <v>0.82862357364835681</v>
      </c>
      <c r="R14" s="89">
        <f>R2-R6</f>
        <v>202371.67219999997</v>
      </c>
      <c r="S14" s="6">
        <f t="shared" si="9"/>
        <v>0.79273648398792862</v>
      </c>
      <c r="T14" s="89">
        <f>T2-T6</f>
        <v>206157.91200000001</v>
      </c>
      <c r="U14" s="6">
        <f t="shared" si="10"/>
        <v>0.80923698259887344</v>
      </c>
      <c r="V14" s="89">
        <f>V2-V6</f>
        <v>249576.54359999998</v>
      </c>
      <c r="W14" s="6">
        <f t="shared" si="11"/>
        <v>0.83726622183836452</v>
      </c>
      <c r="X14" s="89">
        <f>X2-X6</f>
        <v>219062.64149999997</v>
      </c>
      <c r="Y14" s="6">
        <f t="shared" si="12"/>
        <v>0.79677366750431278</v>
      </c>
      <c r="Z14" s="113">
        <f t="shared" si="0"/>
        <v>205232.41280833329</v>
      </c>
      <c r="AA14" s="6">
        <f t="shared" si="13"/>
        <v>0.81489171379626546</v>
      </c>
      <c r="AB14" s="89">
        <f>SUM(AB2-AB6)</f>
        <v>2462788.9537000004</v>
      </c>
      <c r="AC14" s="114">
        <f>AB14/AB$2</f>
        <v>0.81489171379626568</v>
      </c>
      <c r="AD14" s="5"/>
      <c r="AE14" s="5"/>
    </row>
    <row r="15" spans="1:130" x14ac:dyDescent="0.2">
      <c r="A15" s="88" t="s">
        <v>27</v>
      </c>
      <c r="B15" s="89">
        <f>SUBTOTAL(9,B16:B60)</f>
        <v>104684.73</v>
      </c>
      <c r="C15" s="6">
        <f t="shared" si="1"/>
        <v>0.50563940207799329</v>
      </c>
      <c r="D15" s="89">
        <f>SUBTOTAL(9,D16:D60)</f>
        <v>104334.73</v>
      </c>
      <c r="E15" s="6">
        <f t="shared" ref="E15:E71" si="16">D15/D$2</f>
        <v>0.5597004544724733</v>
      </c>
      <c r="F15" s="89">
        <f>SUBTOTAL(9,F16:F60)</f>
        <v>106134.73</v>
      </c>
      <c r="G15" s="6">
        <f t="shared" si="3"/>
        <v>0.42907378365651433</v>
      </c>
      <c r="H15" s="89">
        <f>SUBTOTAL(9,H16:H60)</f>
        <v>116644.73</v>
      </c>
      <c r="I15" s="6">
        <f t="shared" si="4"/>
        <v>0.46974797134411939</v>
      </c>
      <c r="J15" s="89">
        <f>SUBTOTAL(9,J16:J60)</f>
        <v>105984.73</v>
      </c>
      <c r="K15" s="6">
        <f t="shared" si="5"/>
        <v>0.43103445400950097</v>
      </c>
      <c r="L15" s="89">
        <f>SUBTOTAL(9,L16:L60)</f>
        <v>108244.73</v>
      </c>
      <c r="M15" s="6">
        <f t="shared" ref="M15:M71" si="17">L15/L$2</f>
        <v>0.40353957788264311</v>
      </c>
      <c r="N15" s="89">
        <f>SUBTOTAL(9,N16:N60)</f>
        <v>123424.73</v>
      </c>
      <c r="O15" s="6">
        <f t="shared" si="7"/>
        <v>0.48349408118511134</v>
      </c>
      <c r="P15" s="89">
        <f>SUBTOTAL(9,P16:P60)</f>
        <v>108224.73</v>
      </c>
      <c r="Q15" s="6">
        <f t="shared" si="8"/>
        <v>0.38561985843359947</v>
      </c>
      <c r="R15" s="89">
        <f>SUBTOTAL(9,R16:R60)</f>
        <v>108037.23</v>
      </c>
      <c r="S15" s="6">
        <f t="shared" si="9"/>
        <v>0.42320673105548989</v>
      </c>
      <c r="T15" s="89">
        <f>SUBTOTAL(9,T16:T60)</f>
        <v>111924.73</v>
      </c>
      <c r="U15" s="6">
        <f t="shared" si="10"/>
        <v>0.43934103670682112</v>
      </c>
      <c r="V15" s="89">
        <f>SUBTOTAL(9,V16:V60)</f>
        <v>118287.23</v>
      </c>
      <c r="W15" s="6">
        <f t="shared" si="11"/>
        <v>0.39682375885674243</v>
      </c>
      <c r="X15" s="89">
        <f>SUBTOTAL(9,X16:X60)</f>
        <v>133037.22999999998</v>
      </c>
      <c r="Y15" s="6">
        <f t="shared" si="12"/>
        <v>0.48388242256137853</v>
      </c>
      <c r="Z15" s="113">
        <f t="shared" si="0"/>
        <v>112413.68833333334</v>
      </c>
      <c r="AA15" s="6">
        <f t="shared" si="13"/>
        <v>0.44634754270349691</v>
      </c>
      <c r="AB15" s="96">
        <f>SUBTOTAL(9,AB16:AB60)</f>
        <v>1348964.26</v>
      </c>
      <c r="AC15" s="127">
        <f>AB15/AB$3</f>
        <v>0.44634754270349686</v>
      </c>
      <c r="AD15" s="81"/>
      <c r="AE15" s="5"/>
    </row>
    <row r="16" spans="1:130" x14ac:dyDescent="0.2">
      <c r="A16" s="9" t="s">
        <v>28</v>
      </c>
      <c r="B16" s="9">
        <v>1600</v>
      </c>
      <c r="C16" s="10">
        <f t="shared" si="1"/>
        <v>7.7281857948603323E-3</v>
      </c>
      <c r="D16" s="9">
        <v>1600</v>
      </c>
      <c r="E16" s="10">
        <f t="shared" si="16"/>
        <v>8.5831508564402029E-3</v>
      </c>
      <c r="F16" s="9">
        <v>1600</v>
      </c>
      <c r="G16" s="10">
        <f t="shared" si="3"/>
        <v>6.4683638791036913E-3</v>
      </c>
      <c r="H16" s="9">
        <v>1600</v>
      </c>
      <c r="I16" s="10">
        <f t="shared" si="4"/>
        <v>6.4434694490749051E-3</v>
      </c>
      <c r="J16" s="9">
        <v>1600</v>
      </c>
      <c r="K16" s="10">
        <f t="shared" si="5"/>
        <v>6.507117831174373E-3</v>
      </c>
      <c r="L16" s="9">
        <v>1600</v>
      </c>
      <c r="M16" s="10">
        <f t="shared" si="17"/>
        <v>5.9648476615187544E-3</v>
      </c>
      <c r="N16" s="9">
        <v>1600</v>
      </c>
      <c r="O16" s="10">
        <f t="shared" si="7"/>
        <v>6.2677109352086745E-3</v>
      </c>
      <c r="P16" s="9">
        <v>1600</v>
      </c>
      <c r="Q16" s="10">
        <f t="shared" si="8"/>
        <v>5.7010239110206985E-3</v>
      </c>
      <c r="R16" s="9">
        <v>1600</v>
      </c>
      <c r="S16" s="10">
        <f t="shared" si="9"/>
        <v>6.2675687787328857E-3</v>
      </c>
      <c r="T16" s="9">
        <v>1600</v>
      </c>
      <c r="U16" s="10">
        <f t="shared" si="10"/>
        <v>6.2805213712011088E-3</v>
      </c>
      <c r="V16" s="9">
        <v>1600</v>
      </c>
      <c r="W16" s="10">
        <f t="shared" si="11"/>
        <v>5.3675955905873171E-3</v>
      </c>
      <c r="X16" s="9">
        <v>1600</v>
      </c>
      <c r="Y16" s="10">
        <f t="shared" si="12"/>
        <v>5.819512899495922E-3</v>
      </c>
      <c r="Z16" s="11">
        <f t="shared" si="0"/>
        <v>1600</v>
      </c>
      <c r="AA16" s="10">
        <f t="shared" si="13"/>
        <v>6.3529280011518918E-3</v>
      </c>
      <c r="AB16" s="12">
        <f>L16+N16+P16+R16+T16+V16+X16+J16+H16+F16+D16+B16</f>
        <v>19200</v>
      </c>
      <c r="AC16" s="13">
        <f>AB16/AB$3</f>
        <v>6.352928001151891E-3</v>
      </c>
      <c r="AD16" s="5"/>
      <c r="AE16" s="5"/>
    </row>
    <row r="17" spans="1:31" x14ac:dyDescent="0.2">
      <c r="A17" s="9" t="s">
        <v>29</v>
      </c>
      <c r="B17" s="16">
        <v>650</v>
      </c>
      <c r="C17" s="10">
        <f t="shared" si="1"/>
        <v>3.1395754791620099E-3</v>
      </c>
      <c r="D17" s="16">
        <v>650</v>
      </c>
      <c r="E17" s="10">
        <f t="shared" si="16"/>
        <v>3.4869050354288324E-3</v>
      </c>
      <c r="F17" s="16">
        <v>650</v>
      </c>
      <c r="G17" s="18">
        <f t="shared" si="3"/>
        <v>2.6277728258858749E-3</v>
      </c>
      <c r="H17" s="16">
        <v>650</v>
      </c>
      <c r="I17" s="10">
        <f t="shared" si="4"/>
        <v>2.6176594636866802E-3</v>
      </c>
      <c r="J17" s="16">
        <v>650</v>
      </c>
      <c r="K17" s="10">
        <f t="shared" si="5"/>
        <v>2.6435166189145891E-3</v>
      </c>
      <c r="L17" s="16">
        <v>650</v>
      </c>
      <c r="M17" s="10">
        <f t="shared" si="17"/>
        <v>2.4232193624919938E-3</v>
      </c>
      <c r="N17" s="16">
        <v>650</v>
      </c>
      <c r="O17" s="10">
        <f t="shared" si="7"/>
        <v>2.546257567428524E-3</v>
      </c>
      <c r="P17" s="16">
        <v>650</v>
      </c>
      <c r="Q17" s="10">
        <f t="shared" si="8"/>
        <v>2.3160409638521588E-3</v>
      </c>
      <c r="R17" s="16">
        <v>650</v>
      </c>
      <c r="S17" s="10">
        <f t="shared" si="9"/>
        <v>2.5461998163602349E-3</v>
      </c>
      <c r="T17" s="16">
        <v>650</v>
      </c>
      <c r="U17" s="10">
        <f t="shared" si="10"/>
        <v>2.5514618070504504E-3</v>
      </c>
      <c r="V17" s="16">
        <v>650</v>
      </c>
      <c r="W17" s="10">
        <f t="shared" si="11"/>
        <v>2.1805857086760979E-3</v>
      </c>
      <c r="X17" s="16">
        <v>650</v>
      </c>
      <c r="Y17" s="10">
        <f t="shared" si="12"/>
        <v>2.3641771154202179E-3</v>
      </c>
      <c r="Z17" s="11">
        <f>(B17+D17+F17+H17+J17+L17+N17+P17+R17+T17+V17+X17)/AE$2</f>
        <v>650</v>
      </c>
      <c r="AA17" s="10">
        <f t="shared" si="13"/>
        <v>2.5808770004679561E-3</v>
      </c>
      <c r="AB17" s="12">
        <f>L17+N17+P17+R17+T17+V17+X17+J17+H17+F17+D17+B17</f>
        <v>7800</v>
      </c>
      <c r="AC17" s="13">
        <f t="shared" ref="AC17:AC75" si="18">AB17/AB$3</f>
        <v>2.5808770004679556E-3</v>
      </c>
      <c r="AD17" s="5"/>
      <c r="AE17" s="5"/>
    </row>
    <row r="18" spans="1:31" x14ac:dyDescent="0.2">
      <c r="A18" s="9" t="s">
        <v>133</v>
      </c>
      <c r="B18" s="16">
        <v>950</v>
      </c>
      <c r="C18" s="10">
        <f t="shared" si="1"/>
        <v>4.5886103156983224E-3</v>
      </c>
      <c r="D18" s="16">
        <v>950</v>
      </c>
      <c r="E18" s="10">
        <f t="shared" si="16"/>
        <v>5.096245821011371E-3</v>
      </c>
      <c r="F18" s="16">
        <v>950</v>
      </c>
      <c r="G18" s="18">
        <f t="shared" si="3"/>
        <v>3.8405910532178168E-3</v>
      </c>
      <c r="H18" s="16">
        <v>950</v>
      </c>
      <c r="I18" s="10">
        <f t="shared" si="4"/>
        <v>3.8258099853882249E-3</v>
      </c>
      <c r="J18" s="16">
        <v>950</v>
      </c>
      <c r="K18" s="10">
        <f t="shared" si="5"/>
        <v>3.8636012122597843E-3</v>
      </c>
      <c r="L18" s="16">
        <v>950</v>
      </c>
      <c r="M18" s="10">
        <f t="shared" si="17"/>
        <v>3.5416282990267602E-3</v>
      </c>
      <c r="N18" s="16">
        <v>950</v>
      </c>
      <c r="O18" s="10">
        <f t="shared" si="7"/>
        <v>3.7214533677801505E-3</v>
      </c>
      <c r="P18" s="16">
        <v>950</v>
      </c>
      <c r="Q18" s="10">
        <f t="shared" si="8"/>
        <v>3.3849829471685397E-3</v>
      </c>
      <c r="R18" s="16">
        <v>950</v>
      </c>
      <c r="S18" s="10">
        <f t="shared" si="9"/>
        <v>3.7213689623726508E-3</v>
      </c>
      <c r="T18" s="16">
        <v>950</v>
      </c>
      <c r="U18" s="10">
        <f t="shared" si="10"/>
        <v>3.7290595641506583E-3</v>
      </c>
      <c r="V18" s="16">
        <v>950</v>
      </c>
      <c r="W18" s="10">
        <f t="shared" si="11"/>
        <v>3.1870098819112196E-3</v>
      </c>
      <c r="X18" s="16">
        <v>950</v>
      </c>
      <c r="Y18" s="10">
        <f t="shared" si="12"/>
        <v>3.4553357840757036E-3</v>
      </c>
      <c r="Z18" s="11">
        <f>(B18+D18+F18+H18+J18+L18+N18+P18+R18+T18+V18+X18)/AE$2</f>
        <v>950</v>
      </c>
      <c r="AA18" s="10"/>
      <c r="AB18" s="12">
        <f>L18+N18+P18+R18+T18+V18+X18+J18+H18+F18+D18+B18</f>
        <v>11400</v>
      </c>
      <c r="AC18" s="13">
        <f t="shared" si="18"/>
        <v>3.7720510006839353E-3</v>
      </c>
      <c r="AD18" s="5"/>
      <c r="AE18" s="5"/>
    </row>
    <row r="19" spans="1:31" x14ac:dyDescent="0.2">
      <c r="A19" s="16" t="s">
        <v>30</v>
      </c>
      <c r="B19" s="9">
        <f>500</f>
        <v>500</v>
      </c>
      <c r="C19" s="10">
        <f t="shared" si="1"/>
        <v>2.4150580608938536E-3</v>
      </c>
      <c r="D19" s="9">
        <v>500</v>
      </c>
      <c r="E19" s="10">
        <f t="shared" si="16"/>
        <v>2.6822346426375633E-3</v>
      </c>
      <c r="F19" s="9">
        <v>500</v>
      </c>
      <c r="G19" s="18">
        <f t="shared" si="3"/>
        <v>2.0213637122199037E-3</v>
      </c>
      <c r="H19" s="9">
        <v>500</v>
      </c>
      <c r="I19" s="10">
        <f t="shared" si="4"/>
        <v>2.0135842028359079E-3</v>
      </c>
      <c r="J19" s="9">
        <v>500</v>
      </c>
      <c r="K19" s="10">
        <f t="shared" si="5"/>
        <v>2.0334743222419917E-3</v>
      </c>
      <c r="L19" s="9">
        <v>500</v>
      </c>
      <c r="M19" s="10">
        <f t="shared" si="17"/>
        <v>1.8640148942246108E-3</v>
      </c>
      <c r="N19" s="9">
        <v>500</v>
      </c>
      <c r="O19" s="10">
        <f t="shared" si="7"/>
        <v>1.9586596672527107E-3</v>
      </c>
      <c r="P19" s="9">
        <v>500</v>
      </c>
      <c r="Q19" s="10">
        <f t="shared" si="8"/>
        <v>1.7815699721939683E-3</v>
      </c>
      <c r="R19" s="9">
        <v>500</v>
      </c>
      <c r="S19" s="10">
        <f t="shared" si="9"/>
        <v>1.958615243354027E-3</v>
      </c>
      <c r="T19" s="9">
        <v>500</v>
      </c>
      <c r="U19" s="10">
        <f t="shared" si="10"/>
        <v>1.9626629285003465E-3</v>
      </c>
      <c r="V19" s="9">
        <v>500</v>
      </c>
      <c r="W19" s="10">
        <f t="shared" si="11"/>
        <v>1.6773736220585366E-3</v>
      </c>
      <c r="X19" s="9">
        <v>500</v>
      </c>
      <c r="Y19" s="10">
        <f t="shared" si="12"/>
        <v>1.8185977810924756E-3</v>
      </c>
      <c r="Z19" s="11">
        <f t="shared" si="0"/>
        <v>500</v>
      </c>
      <c r="AA19" s="10">
        <f t="shared" si="13"/>
        <v>1.9852900003599662E-3</v>
      </c>
      <c r="AB19" s="12">
        <f>L19+N19+P19+R19+T19+V19+X19+J19+H19+F19+D19+B19</f>
        <v>6000</v>
      </c>
      <c r="AC19" s="13">
        <f t="shared" si="18"/>
        <v>1.9852900003599662E-3</v>
      </c>
      <c r="AD19" s="5"/>
      <c r="AE19" s="5"/>
    </row>
    <row r="20" spans="1:31" x14ac:dyDescent="0.2">
      <c r="A20" s="9" t="s">
        <v>31</v>
      </c>
      <c r="B20" s="9">
        <f>SUBTOTAL(9,B21:B33)</f>
        <v>54687.5</v>
      </c>
      <c r="C20" s="10">
        <f t="shared" si="1"/>
        <v>0.26414697541026527</v>
      </c>
      <c r="D20" s="9">
        <f>SUBTOTAL(9,D21:D34)</f>
        <v>54687.5</v>
      </c>
      <c r="E20" s="10">
        <f t="shared" si="16"/>
        <v>0.29336941403848349</v>
      </c>
      <c r="F20" s="9">
        <f>SUBTOTAL(9,F21:F33)</f>
        <v>54687.5</v>
      </c>
      <c r="G20" s="18">
        <f t="shared" si="3"/>
        <v>0.22108665602405195</v>
      </c>
      <c r="H20" s="9">
        <f>SUBTOTAL(9,H21:H33)</f>
        <v>66687.5</v>
      </c>
      <c r="I20" s="10">
        <f t="shared" si="4"/>
        <v>0.26856179305323924</v>
      </c>
      <c r="J20" s="9">
        <f>SUBTOTAL(9,J21:J33)</f>
        <v>54687.5</v>
      </c>
      <c r="K20" s="18">
        <f t="shared" si="5"/>
        <v>0.22241125399521783</v>
      </c>
      <c r="L20" s="9">
        <f>SUBTOTAL(9,L21:L33)</f>
        <v>57687.5</v>
      </c>
      <c r="M20" s="10">
        <f t="shared" si="17"/>
        <v>0.21506071842116448</v>
      </c>
      <c r="N20" s="9">
        <f>SUBTOTAL(9,N21:N34)</f>
        <v>72687.5</v>
      </c>
      <c r="O20" s="10">
        <f t="shared" si="7"/>
        <v>0.28474014912686285</v>
      </c>
      <c r="P20" s="9">
        <f>SUBTOTAL(9,P21:P34)</f>
        <v>57687.5</v>
      </c>
      <c r="Q20" s="10">
        <f t="shared" si="8"/>
        <v>0.2055486355418791</v>
      </c>
      <c r="R20" s="9">
        <f>SUBTOTAL(9,R21:R33)</f>
        <v>57500</v>
      </c>
      <c r="S20" s="10">
        <f t="shared" si="9"/>
        <v>0.22524075298571308</v>
      </c>
      <c r="T20" s="9">
        <f>SUBTOTAL(9,T21:T33)</f>
        <v>61687.5</v>
      </c>
      <c r="U20" s="10">
        <f t="shared" si="10"/>
        <v>0.24214353880373024</v>
      </c>
      <c r="V20" s="9">
        <f>SUBTOTAL(9,V21:V33)</f>
        <v>67500</v>
      </c>
      <c r="W20" s="10">
        <f t="shared" si="11"/>
        <v>0.22644543897790245</v>
      </c>
      <c r="X20" s="9">
        <f>SUBTOTAL(9,X21:X33)</f>
        <v>82500</v>
      </c>
      <c r="Y20" s="10">
        <f t="shared" si="12"/>
        <v>0.30006863388025845</v>
      </c>
      <c r="Z20" s="11">
        <f>(B20+D20+F20+H20+J20+L20+N20+P20+R20+T20+V20+X20)/AE$2</f>
        <v>61890.625</v>
      </c>
      <c r="AA20" s="10">
        <f t="shared" si="13"/>
        <v>0.24574167785705706</v>
      </c>
      <c r="AB20" s="12">
        <f>SUBTOTAL(9,AB21:AB33)</f>
        <v>742687.5</v>
      </c>
      <c r="AC20" s="13">
        <f t="shared" si="18"/>
        <v>0.24574167785705706</v>
      </c>
      <c r="AD20" s="5"/>
      <c r="AE20" s="5"/>
    </row>
    <row r="21" spans="1:31" x14ac:dyDescent="0.2">
      <c r="A21" s="9" t="s">
        <v>32</v>
      </c>
      <c r="B21" s="9">
        <f>(27000*5%)+27000</f>
        <v>28350</v>
      </c>
      <c r="C21" s="10">
        <f t="shared" si="1"/>
        <v>0.1369337920526815</v>
      </c>
      <c r="D21" s="9">
        <v>28350</v>
      </c>
      <c r="E21" s="10">
        <f t="shared" si="16"/>
        <v>0.15208270423754985</v>
      </c>
      <c r="F21" s="9">
        <v>28350</v>
      </c>
      <c r="G21" s="18">
        <f t="shared" si="3"/>
        <v>0.11461132248286854</v>
      </c>
      <c r="H21" s="9">
        <v>28350</v>
      </c>
      <c r="I21" s="10">
        <f t="shared" si="4"/>
        <v>0.11417022430079597</v>
      </c>
      <c r="J21" s="9">
        <v>28350</v>
      </c>
      <c r="K21" s="18">
        <f t="shared" si="5"/>
        <v>0.11529799407112093</v>
      </c>
      <c r="L21" s="9">
        <v>28350</v>
      </c>
      <c r="M21" s="10">
        <f t="shared" si="17"/>
        <v>0.10568964450253543</v>
      </c>
      <c r="N21" s="9">
        <v>28350</v>
      </c>
      <c r="O21" s="10">
        <f t="shared" si="7"/>
        <v>0.11105600313322871</v>
      </c>
      <c r="P21" s="9">
        <v>28350</v>
      </c>
      <c r="Q21" s="10">
        <f t="shared" si="8"/>
        <v>0.10101501742339801</v>
      </c>
      <c r="R21" s="9">
        <v>28350</v>
      </c>
      <c r="S21" s="10">
        <f t="shared" si="9"/>
        <v>0.11105348429817331</v>
      </c>
      <c r="T21" s="9">
        <v>28350</v>
      </c>
      <c r="U21" s="10">
        <f t="shared" si="10"/>
        <v>0.11128298804596964</v>
      </c>
      <c r="V21" s="9">
        <v>28350</v>
      </c>
      <c r="W21" s="10">
        <f t="shared" si="11"/>
        <v>9.5107084370719033E-2</v>
      </c>
      <c r="X21" s="9">
        <v>28350</v>
      </c>
      <c r="Y21" s="10">
        <f t="shared" si="12"/>
        <v>0.10311449418794336</v>
      </c>
      <c r="Z21" s="11">
        <f t="shared" ref="Z21:Z67" si="19">(B21+D21+F21+H21+J21+L21+N21+P21+R21+T21+V21+X21)/AE$2</f>
        <v>28350</v>
      </c>
      <c r="AA21" s="10">
        <f t="shared" si="13"/>
        <v>0.11256594302041008</v>
      </c>
      <c r="AB21" s="12">
        <f>L21+N21+P21+R21+T21+V21+X21+J21+H21+F21+D21+B21</f>
        <v>340200</v>
      </c>
      <c r="AC21" s="13">
        <f t="shared" si="18"/>
        <v>0.11256594302041008</v>
      </c>
      <c r="AD21" s="5"/>
      <c r="AE21" s="5"/>
    </row>
    <row r="22" spans="1:31" x14ac:dyDescent="0.2">
      <c r="A22" s="9" t="s">
        <v>33</v>
      </c>
      <c r="B22" s="9">
        <f>(3750*5%)+3750</f>
        <v>3937.5</v>
      </c>
      <c r="C22" s="10">
        <f t="shared" si="1"/>
        <v>1.9018582229539099E-2</v>
      </c>
      <c r="D22" s="9">
        <f>B22</f>
        <v>3937.5</v>
      </c>
      <c r="E22" s="10">
        <f t="shared" si="16"/>
        <v>2.1122597810770811E-2</v>
      </c>
      <c r="F22" s="9">
        <f>D22</f>
        <v>3937.5</v>
      </c>
      <c r="G22" s="10">
        <f t="shared" si="3"/>
        <v>1.591823923373174E-2</v>
      </c>
      <c r="H22" s="9">
        <f>F22+7000</f>
        <v>10937.5</v>
      </c>
      <c r="I22" s="10">
        <f t="shared" si="4"/>
        <v>4.4047154437035482E-2</v>
      </c>
      <c r="J22" s="9">
        <v>3937.5</v>
      </c>
      <c r="K22" s="18">
        <f t="shared" si="5"/>
        <v>1.6013610287655685E-2</v>
      </c>
      <c r="L22" s="9">
        <v>3937.5</v>
      </c>
      <c r="M22" s="18">
        <f t="shared" si="17"/>
        <v>1.4679117292018809E-2</v>
      </c>
      <c r="N22" s="9">
        <v>10937.5</v>
      </c>
      <c r="O22" s="10">
        <f t="shared" si="7"/>
        <v>4.2845680221153051E-2</v>
      </c>
      <c r="P22" s="9">
        <v>3937.5</v>
      </c>
      <c r="Q22" s="10">
        <f t="shared" si="8"/>
        <v>1.40298635310275E-2</v>
      </c>
      <c r="R22" s="9">
        <v>3750</v>
      </c>
      <c r="S22" s="10">
        <f t="shared" si="9"/>
        <v>1.4689614325155202E-2</v>
      </c>
      <c r="T22" s="9">
        <v>10937.5</v>
      </c>
      <c r="U22" s="10">
        <f t="shared" si="10"/>
        <v>4.2933251560945081E-2</v>
      </c>
      <c r="V22" s="9">
        <v>3750</v>
      </c>
      <c r="W22" s="10">
        <f t="shared" si="11"/>
        <v>1.2580302165439025E-2</v>
      </c>
      <c r="X22" s="9">
        <v>3750</v>
      </c>
      <c r="Y22" s="10">
        <f t="shared" si="12"/>
        <v>1.3639483358193566E-2</v>
      </c>
      <c r="Z22" s="11">
        <f t="shared" si="19"/>
        <v>5640.625</v>
      </c>
      <c r="AA22" s="10">
        <f t="shared" si="13"/>
        <v>2.2396552816560868E-2</v>
      </c>
      <c r="AB22" s="12">
        <f t="shared" ref="AB22:AB34" si="20">L22+N22+P22+R22+T22+V22+X22+J22+H22+F22+D22+B22</f>
        <v>67687.5</v>
      </c>
      <c r="AC22" s="13">
        <f t="shared" si="18"/>
        <v>2.2396552816560868E-2</v>
      </c>
      <c r="AD22" s="5"/>
      <c r="AE22" s="5"/>
    </row>
    <row r="23" spans="1:31" x14ac:dyDescent="0.2">
      <c r="A23" s="9" t="s">
        <v>110</v>
      </c>
      <c r="B23" s="9"/>
      <c r="C23" s="10">
        <f t="shared" si="1"/>
        <v>0</v>
      </c>
      <c r="D23" s="9"/>
      <c r="E23" s="10">
        <f t="shared" si="16"/>
        <v>0</v>
      </c>
      <c r="F23" s="9"/>
      <c r="G23" s="10">
        <f t="shared" si="3"/>
        <v>0</v>
      </c>
      <c r="H23" s="9"/>
      <c r="I23" s="18">
        <f t="shared" si="4"/>
        <v>0</v>
      </c>
      <c r="J23" s="9"/>
      <c r="K23" s="18">
        <f t="shared" si="5"/>
        <v>0</v>
      </c>
      <c r="L23" s="9"/>
      <c r="M23" s="18">
        <f t="shared" si="17"/>
        <v>0</v>
      </c>
      <c r="N23" s="9">
        <v>8000</v>
      </c>
      <c r="O23" s="10">
        <f t="shared" si="7"/>
        <v>3.1338554676043372E-2</v>
      </c>
      <c r="P23" s="9"/>
      <c r="Q23" s="10">
        <f t="shared" si="8"/>
        <v>0</v>
      </c>
      <c r="R23" s="9"/>
      <c r="S23" s="10">
        <f t="shared" si="9"/>
        <v>0</v>
      </c>
      <c r="T23" s="9"/>
      <c r="U23" s="10">
        <f t="shared" si="10"/>
        <v>0</v>
      </c>
      <c r="V23" s="9"/>
      <c r="W23" s="10">
        <f t="shared" si="11"/>
        <v>0</v>
      </c>
      <c r="X23" s="9">
        <v>8000</v>
      </c>
      <c r="Y23" s="10">
        <f t="shared" si="12"/>
        <v>2.9097564497479609E-2</v>
      </c>
      <c r="Z23" s="11">
        <f t="shared" si="19"/>
        <v>1333.3333333333333</v>
      </c>
      <c r="AA23" s="10">
        <f t="shared" si="13"/>
        <v>5.2941066676265762E-3</v>
      </c>
      <c r="AB23" s="12">
        <f t="shared" si="20"/>
        <v>16000</v>
      </c>
      <c r="AC23" s="13">
        <f t="shared" si="18"/>
        <v>5.2941066676265762E-3</v>
      </c>
      <c r="AD23" s="5"/>
      <c r="AE23" s="5"/>
    </row>
    <row r="24" spans="1:31" x14ac:dyDescent="0.2">
      <c r="A24" s="9" t="s">
        <v>34</v>
      </c>
      <c r="B24" s="9"/>
      <c r="C24" s="10">
        <f t="shared" si="1"/>
        <v>0</v>
      </c>
      <c r="D24" s="9"/>
      <c r="E24" s="10">
        <f t="shared" si="16"/>
        <v>0</v>
      </c>
      <c r="F24" s="9"/>
      <c r="G24" s="10">
        <f t="shared" si="3"/>
        <v>0</v>
      </c>
      <c r="H24" s="9">
        <v>5000</v>
      </c>
      <c r="I24" s="10">
        <f t="shared" si="4"/>
        <v>2.013584202835908E-2</v>
      </c>
      <c r="J24" s="9"/>
      <c r="K24" s="10">
        <f>J24/J$2</f>
        <v>0</v>
      </c>
      <c r="L24" s="9">
        <v>3000</v>
      </c>
      <c r="M24" s="10">
        <f t="shared" si="17"/>
        <v>1.1184089365347665E-2</v>
      </c>
      <c r="N24" s="9">
        <v>3000</v>
      </c>
      <c r="O24" s="10">
        <f t="shared" si="7"/>
        <v>1.1751958003516265E-2</v>
      </c>
      <c r="P24" s="9">
        <v>3000</v>
      </c>
      <c r="Q24" s="10">
        <f t="shared" si="8"/>
        <v>1.0689419833163811E-2</v>
      </c>
      <c r="R24" s="9">
        <v>3000</v>
      </c>
      <c r="S24" s="10">
        <f t="shared" si="9"/>
        <v>1.1751691460124161E-2</v>
      </c>
      <c r="T24" s="9"/>
      <c r="U24" s="10">
        <f t="shared" si="10"/>
        <v>0</v>
      </c>
      <c r="V24" s="9"/>
      <c r="W24" s="10">
        <f t="shared" si="11"/>
        <v>0</v>
      </c>
      <c r="X24" s="9">
        <v>7000</v>
      </c>
      <c r="Y24" s="10">
        <f t="shared" si="12"/>
        <v>2.5460368935294658E-2</v>
      </c>
      <c r="Z24" s="11">
        <f t="shared" si="19"/>
        <v>2000</v>
      </c>
      <c r="AA24" s="10">
        <f t="shared" si="13"/>
        <v>7.9411600014398648E-3</v>
      </c>
      <c r="AB24" s="12">
        <f t="shared" si="20"/>
        <v>24000</v>
      </c>
      <c r="AC24" s="13">
        <f t="shared" si="18"/>
        <v>7.9411600014398648E-3</v>
      </c>
      <c r="AD24" s="5"/>
      <c r="AE24" s="5"/>
    </row>
    <row r="25" spans="1:31" x14ac:dyDescent="0.2">
      <c r="A25" s="9" t="s">
        <v>35</v>
      </c>
      <c r="B25" s="9"/>
      <c r="C25" s="10">
        <f t="shared" si="1"/>
        <v>0</v>
      </c>
      <c r="D25" s="9"/>
      <c r="E25" s="10">
        <f t="shared" si="16"/>
        <v>0</v>
      </c>
      <c r="F25" s="9"/>
      <c r="G25" s="10">
        <f t="shared" si="3"/>
        <v>0</v>
      </c>
      <c r="H25" s="9"/>
      <c r="I25" s="10">
        <f t="shared" si="4"/>
        <v>0</v>
      </c>
      <c r="J25" s="9"/>
      <c r="K25" s="10">
        <f>J25/J$2</f>
        <v>0</v>
      </c>
      <c r="L25" s="9"/>
      <c r="M25" s="10">
        <f t="shared" si="17"/>
        <v>0</v>
      </c>
      <c r="N25" s="9"/>
      <c r="O25" s="10">
        <f t="shared" si="7"/>
        <v>0</v>
      </c>
      <c r="P25" s="9"/>
      <c r="Q25" s="10">
        <f t="shared" si="8"/>
        <v>0</v>
      </c>
      <c r="R25" s="9"/>
      <c r="S25" s="10">
        <f t="shared" si="9"/>
        <v>0</v>
      </c>
      <c r="T25" s="9"/>
      <c r="U25" s="10">
        <f t="shared" si="10"/>
        <v>0</v>
      </c>
      <c r="V25" s="9">
        <v>13000</v>
      </c>
      <c r="W25" s="10">
        <f t="shared" si="11"/>
        <v>4.3611714173521957E-2</v>
      </c>
      <c r="X25" s="9">
        <v>13000</v>
      </c>
      <c r="Y25" s="10">
        <f t="shared" si="12"/>
        <v>4.7283542308404362E-2</v>
      </c>
      <c r="Z25" s="11">
        <f t="shared" si="19"/>
        <v>2166.6666666666665</v>
      </c>
      <c r="AA25" s="10">
        <f t="shared" si="13"/>
        <v>8.6029233348931863E-3</v>
      </c>
      <c r="AB25" s="12">
        <f t="shared" si="20"/>
        <v>26000</v>
      </c>
      <c r="AC25" s="13">
        <f t="shared" si="18"/>
        <v>8.6029233348931863E-3</v>
      </c>
      <c r="AD25" s="5"/>
      <c r="AE25" s="5"/>
    </row>
    <row r="26" spans="1:31" x14ac:dyDescent="0.2">
      <c r="A26" s="9" t="s">
        <v>36</v>
      </c>
      <c r="B26" s="9">
        <v>8400</v>
      </c>
      <c r="C26" s="10">
        <f t="shared" si="1"/>
        <v>4.0572975423016744E-2</v>
      </c>
      <c r="D26" s="9">
        <v>8400</v>
      </c>
      <c r="E26" s="10">
        <f t="shared" si="16"/>
        <v>4.5061541996311065E-2</v>
      </c>
      <c r="F26" s="9">
        <v>8400</v>
      </c>
      <c r="G26" s="18">
        <f t="shared" si="3"/>
        <v>3.395891036529438E-2</v>
      </c>
      <c r="H26" s="9">
        <v>8400</v>
      </c>
      <c r="I26" s="18">
        <f t="shared" si="4"/>
        <v>3.382821460764325E-2</v>
      </c>
      <c r="J26" s="9">
        <v>8400</v>
      </c>
      <c r="K26" s="18">
        <f>J26/J$2</f>
        <v>3.4162368613665457E-2</v>
      </c>
      <c r="L26" s="9">
        <v>8400</v>
      </c>
      <c r="M26" s="18">
        <f t="shared" si="17"/>
        <v>3.1315450222973461E-2</v>
      </c>
      <c r="N26" s="9">
        <v>8400</v>
      </c>
      <c r="O26" s="18">
        <f t="shared" si="7"/>
        <v>3.2905482409845539E-2</v>
      </c>
      <c r="P26" s="9">
        <v>8400</v>
      </c>
      <c r="Q26" s="10">
        <f t="shared" si="8"/>
        <v>2.9930375532858669E-2</v>
      </c>
      <c r="R26" s="9">
        <v>8400</v>
      </c>
      <c r="S26" s="10">
        <f t="shared" si="9"/>
        <v>3.2904736088347653E-2</v>
      </c>
      <c r="T26" s="9">
        <v>8400</v>
      </c>
      <c r="U26" s="10">
        <f t="shared" si="10"/>
        <v>3.2972737198805821E-2</v>
      </c>
      <c r="V26" s="9">
        <v>8400</v>
      </c>
      <c r="W26" s="10">
        <f t="shared" si="11"/>
        <v>2.8179876850583416E-2</v>
      </c>
      <c r="X26" s="9">
        <v>8400</v>
      </c>
      <c r="Y26" s="10">
        <f t="shared" si="12"/>
        <v>3.0552442722353589E-2</v>
      </c>
      <c r="Z26" s="11">
        <f t="shared" si="19"/>
        <v>8400</v>
      </c>
      <c r="AA26" s="10">
        <f t="shared" si="13"/>
        <v>3.3352872006047432E-2</v>
      </c>
      <c r="AB26" s="12">
        <f t="shared" si="20"/>
        <v>100800</v>
      </c>
      <c r="AC26" s="13">
        <f t="shared" si="18"/>
        <v>3.3352872006047432E-2</v>
      </c>
      <c r="AD26" s="5"/>
      <c r="AE26" s="5"/>
    </row>
    <row r="27" spans="1:31" x14ac:dyDescent="0.2">
      <c r="A27" s="9" t="s">
        <v>37</v>
      </c>
      <c r="B27" s="9">
        <v>3000</v>
      </c>
      <c r="C27" s="10">
        <f t="shared" si="1"/>
        <v>1.4490348365363122E-2</v>
      </c>
      <c r="D27" s="9">
        <v>3000</v>
      </c>
      <c r="E27" s="10">
        <f t="shared" si="16"/>
        <v>1.609340785582538E-2</v>
      </c>
      <c r="F27" s="9">
        <v>3000</v>
      </c>
      <c r="G27" s="18">
        <f t="shared" si="3"/>
        <v>1.2128182273319422E-2</v>
      </c>
      <c r="H27" s="9">
        <v>3000</v>
      </c>
      <c r="I27" s="18">
        <f t="shared" si="4"/>
        <v>1.2081505217015447E-2</v>
      </c>
      <c r="J27" s="9">
        <v>3000</v>
      </c>
      <c r="K27" s="18">
        <f>L27/J$2</f>
        <v>1.220084593345195E-2</v>
      </c>
      <c r="L27" s="9">
        <v>3000</v>
      </c>
      <c r="M27" s="18">
        <f t="shared" si="17"/>
        <v>1.1184089365347665E-2</v>
      </c>
      <c r="N27" s="9">
        <v>3000</v>
      </c>
      <c r="O27" s="18">
        <f t="shared" si="7"/>
        <v>1.1751958003516265E-2</v>
      </c>
      <c r="P27" s="9">
        <v>3000</v>
      </c>
      <c r="Q27" s="10">
        <f t="shared" si="8"/>
        <v>1.0689419833163811E-2</v>
      </c>
      <c r="R27" s="9">
        <v>3000</v>
      </c>
      <c r="S27" s="10">
        <f t="shared" si="9"/>
        <v>1.1751691460124161E-2</v>
      </c>
      <c r="T27" s="9">
        <v>3000</v>
      </c>
      <c r="U27" s="10">
        <f t="shared" si="10"/>
        <v>1.1775977571002079E-2</v>
      </c>
      <c r="V27" s="9">
        <v>3000</v>
      </c>
      <c r="W27" s="10">
        <f t="shared" si="11"/>
        <v>1.0064241732351221E-2</v>
      </c>
      <c r="X27" s="9">
        <v>3000</v>
      </c>
      <c r="Y27" s="10">
        <f t="shared" si="12"/>
        <v>1.0911586686554852E-2</v>
      </c>
      <c r="Z27" s="11">
        <f t="shared" si="19"/>
        <v>3000</v>
      </c>
      <c r="AA27" s="10">
        <f t="shared" si="13"/>
        <v>1.1911740002159797E-2</v>
      </c>
      <c r="AB27" s="12">
        <f t="shared" si="20"/>
        <v>36000</v>
      </c>
      <c r="AC27" s="13">
        <f t="shared" si="18"/>
        <v>1.1911740002159795E-2</v>
      </c>
      <c r="AD27" s="5"/>
      <c r="AE27" s="5"/>
    </row>
    <row r="28" spans="1:31" x14ac:dyDescent="0.2">
      <c r="A28" s="9" t="s">
        <v>38</v>
      </c>
      <c r="B28" s="9">
        <v>3000</v>
      </c>
      <c r="C28" s="10">
        <f t="shared" si="1"/>
        <v>1.4490348365363122E-2</v>
      </c>
      <c r="D28" s="9">
        <v>3000</v>
      </c>
      <c r="E28" s="10">
        <f t="shared" si="16"/>
        <v>1.609340785582538E-2</v>
      </c>
      <c r="F28" s="9">
        <v>3000</v>
      </c>
      <c r="G28" s="18">
        <f t="shared" si="3"/>
        <v>1.2128182273319422E-2</v>
      </c>
      <c r="H28" s="9">
        <v>3000</v>
      </c>
      <c r="I28" s="18">
        <f t="shared" si="4"/>
        <v>1.2081505217015447E-2</v>
      </c>
      <c r="J28" s="9">
        <v>3000</v>
      </c>
      <c r="K28" s="18">
        <f t="shared" ref="K28:K71" si="21">J28/J$2</f>
        <v>1.220084593345195E-2</v>
      </c>
      <c r="L28" s="9">
        <v>3000</v>
      </c>
      <c r="M28" s="18">
        <f t="shared" si="17"/>
        <v>1.1184089365347665E-2</v>
      </c>
      <c r="N28" s="9">
        <v>3000</v>
      </c>
      <c r="O28" s="18">
        <f t="shared" si="7"/>
        <v>1.1751958003516265E-2</v>
      </c>
      <c r="P28" s="9">
        <v>3000</v>
      </c>
      <c r="Q28" s="10">
        <f t="shared" si="8"/>
        <v>1.0689419833163811E-2</v>
      </c>
      <c r="R28" s="9">
        <v>3000</v>
      </c>
      <c r="S28" s="10">
        <f t="shared" si="9"/>
        <v>1.1751691460124161E-2</v>
      </c>
      <c r="T28" s="9">
        <v>3000</v>
      </c>
      <c r="U28" s="10">
        <f t="shared" si="10"/>
        <v>1.1775977571002079E-2</v>
      </c>
      <c r="V28" s="9">
        <v>3000</v>
      </c>
      <c r="W28" s="10">
        <f t="shared" si="11"/>
        <v>1.0064241732351221E-2</v>
      </c>
      <c r="X28" s="9">
        <v>3000</v>
      </c>
      <c r="Y28" s="10">
        <f t="shared" si="12"/>
        <v>1.0911586686554852E-2</v>
      </c>
      <c r="Z28" s="11">
        <f t="shared" si="19"/>
        <v>3000</v>
      </c>
      <c r="AA28" s="10">
        <f t="shared" si="13"/>
        <v>1.1911740002159797E-2</v>
      </c>
      <c r="AB28" s="12">
        <f t="shared" si="20"/>
        <v>36000</v>
      </c>
      <c r="AC28" s="13">
        <f t="shared" si="18"/>
        <v>1.1911740002159795E-2</v>
      </c>
      <c r="AD28" s="5"/>
      <c r="AE28" s="5"/>
    </row>
    <row r="29" spans="1:31" x14ac:dyDescent="0.2">
      <c r="A29" s="9" t="s">
        <v>39</v>
      </c>
      <c r="B29" s="9">
        <v>3000</v>
      </c>
      <c r="C29" s="10">
        <f t="shared" si="1"/>
        <v>1.4490348365363122E-2</v>
      </c>
      <c r="D29" s="9">
        <v>3000</v>
      </c>
      <c r="E29" s="10">
        <f t="shared" si="16"/>
        <v>1.609340785582538E-2</v>
      </c>
      <c r="F29" s="9">
        <v>3000</v>
      </c>
      <c r="G29" s="18">
        <f t="shared" si="3"/>
        <v>1.2128182273319422E-2</v>
      </c>
      <c r="H29" s="9">
        <v>3000</v>
      </c>
      <c r="I29" s="18">
        <f t="shared" si="4"/>
        <v>1.2081505217015447E-2</v>
      </c>
      <c r="J29" s="9">
        <v>3000</v>
      </c>
      <c r="K29" s="18">
        <f t="shared" si="21"/>
        <v>1.220084593345195E-2</v>
      </c>
      <c r="L29" s="9">
        <v>3000</v>
      </c>
      <c r="M29" s="18">
        <f t="shared" si="17"/>
        <v>1.1184089365347665E-2</v>
      </c>
      <c r="N29" s="9">
        <v>3000</v>
      </c>
      <c r="O29" s="18">
        <f t="shared" si="7"/>
        <v>1.1751958003516265E-2</v>
      </c>
      <c r="P29" s="9">
        <v>3000</v>
      </c>
      <c r="Q29" s="10">
        <f t="shared" si="8"/>
        <v>1.0689419833163811E-2</v>
      </c>
      <c r="R29" s="9">
        <v>3000</v>
      </c>
      <c r="S29" s="10">
        <f t="shared" si="9"/>
        <v>1.1751691460124161E-2</v>
      </c>
      <c r="T29" s="9">
        <v>3000</v>
      </c>
      <c r="U29" s="10">
        <f t="shared" si="10"/>
        <v>1.1775977571002079E-2</v>
      </c>
      <c r="V29" s="9">
        <v>3000</v>
      </c>
      <c r="W29" s="10">
        <f t="shared" si="11"/>
        <v>1.0064241732351221E-2</v>
      </c>
      <c r="X29" s="9">
        <v>3000</v>
      </c>
      <c r="Y29" s="10">
        <f t="shared" si="12"/>
        <v>1.0911586686554852E-2</v>
      </c>
      <c r="Z29" s="11">
        <f t="shared" si="19"/>
        <v>3000</v>
      </c>
      <c r="AA29" s="10">
        <f t="shared" si="13"/>
        <v>1.1911740002159797E-2</v>
      </c>
      <c r="AB29" s="12">
        <f t="shared" si="20"/>
        <v>36000</v>
      </c>
      <c r="AC29" s="13">
        <f t="shared" si="18"/>
        <v>1.1911740002159795E-2</v>
      </c>
      <c r="AD29" s="5"/>
      <c r="AE29" s="5"/>
    </row>
    <row r="30" spans="1:31" x14ac:dyDescent="0.2">
      <c r="A30" s="9" t="s">
        <v>40</v>
      </c>
      <c r="B30" s="9">
        <v>3300</v>
      </c>
      <c r="C30" s="10">
        <f t="shared" si="1"/>
        <v>1.5939383201899436E-2</v>
      </c>
      <c r="D30" s="9">
        <v>3300</v>
      </c>
      <c r="E30" s="10">
        <f t="shared" si="16"/>
        <v>1.7702748641407921E-2</v>
      </c>
      <c r="F30" s="9">
        <v>3300</v>
      </c>
      <c r="G30" s="10">
        <f t="shared" si="3"/>
        <v>1.3341000500651365E-2</v>
      </c>
      <c r="H30" s="9">
        <v>3300</v>
      </c>
      <c r="I30" s="10">
        <f t="shared" si="4"/>
        <v>1.3289655738716991E-2</v>
      </c>
      <c r="J30" s="9">
        <v>3300</v>
      </c>
      <c r="K30" s="10">
        <f t="shared" si="21"/>
        <v>1.3420930526797145E-2</v>
      </c>
      <c r="L30" s="9">
        <v>3300</v>
      </c>
      <c r="M30" s="10">
        <f t="shared" si="17"/>
        <v>1.2302498301882431E-2</v>
      </c>
      <c r="N30" s="9">
        <v>3300</v>
      </c>
      <c r="O30" s="10">
        <f t="shared" si="7"/>
        <v>1.2927153803867891E-2</v>
      </c>
      <c r="P30" s="9">
        <v>3300</v>
      </c>
      <c r="Q30" s="10">
        <f t="shared" si="8"/>
        <v>1.1758361816480191E-2</v>
      </c>
      <c r="R30" s="9">
        <v>3300</v>
      </c>
      <c r="S30" s="10">
        <f t="shared" si="9"/>
        <v>1.2926860606136577E-2</v>
      </c>
      <c r="T30" s="9">
        <v>3300</v>
      </c>
      <c r="U30" s="10">
        <f t="shared" si="10"/>
        <v>1.2953575328102287E-2</v>
      </c>
      <c r="V30" s="9">
        <v>3300</v>
      </c>
      <c r="W30" s="10">
        <f t="shared" si="11"/>
        <v>1.1070665905586342E-2</v>
      </c>
      <c r="X30" s="9">
        <v>3300</v>
      </c>
      <c r="Y30" s="10">
        <f t="shared" si="12"/>
        <v>1.2002745355210339E-2</v>
      </c>
      <c r="Z30" s="11">
        <f t="shared" si="19"/>
        <v>3300</v>
      </c>
      <c r="AA30" s="10">
        <f t="shared" si="13"/>
        <v>1.3102914002375777E-2</v>
      </c>
      <c r="AB30" s="12">
        <f t="shared" si="20"/>
        <v>39600</v>
      </c>
      <c r="AC30" s="13">
        <f t="shared" si="18"/>
        <v>1.3102914002375775E-2</v>
      </c>
      <c r="AD30" s="5"/>
      <c r="AE30" s="5"/>
    </row>
    <row r="31" spans="1:31" x14ac:dyDescent="0.2">
      <c r="A31" s="9" t="s">
        <v>41</v>
      </c>
      <c r="B31" s="9">
        <v>200</v>
      </c>
      <c r="C31" s="10">
        <f t="shared" si="1"/>
        <v>9.6602322435754154E-4</v>
      </c>
      <c r="D31" s="9">
        <v>200</v>
      </c>
      <c r="E31" s="10">
        <f t="shared" si="16"/>
        <v>1.0728938570550254E-3</v>
      </c>
      <c r="F31" s="9">
        <v>200</v>
      </c>
      <c r="G31" s="10">
        <f t="shared" si="3"/>
        <v>8.0854548488796141E-4</v>
      </c>
      <c r="H31" s="9">
        <v>200</v>
      </c>
      <c r="I31" s="10">
        <f t="shared" si="4"/>
        <v>8.0543368113436314E-4</v>
      </c>
      <c r="J31" s="9">
        <v>200</v>
      </c>
      <c r="K31" s="10">
        <f t="shared" si="21"/>
        <v>8.1338972889679663E-4</v>
      </c>
      <c r="L31" s="9">
        <v>200</v>
      </c>
      <c r="M31" s="10">
        <f t="shared" si="17"/>
        <v>7.456059576898443E-4</v>
      </c>
      <c r="N31" s="9">
        <v>200</v>
      </c>
      <c r="O31" s="10">
        <f t="shared" si="7"/>
        <v>7.8346386690108431E-4</v>
      </c>
      <c r="P31" s="9">
        <v>200</v>
      </c>
      <c r="Q31" s="10">
        <f t="shared" si="8"/>
        <v>7.1262798887758731E-4</v>
      </c>
      <c r="R31" s="9">
        <v>200</v>
      </c>
      <c r="S31" s="10">
        <f t="shared" si="9"/>
        <v>7.8344609734161072E-4</v>
      </c>
      <c r="T31" s="9">
        <v>200</v>
      </c>
      <c r="U31" s="10">
        <f t="shared" si="10"/>
        <v>7.850651714001386E-4</v>
      </c>
      <c r="V31" s="9">
        <v>200</v>
      </c>
      <c r="W31" s="10">
        <f t="shared" si="11"/>
        <v>6.7094944882341463E-4</v>
      </c>
      <c r="X31" s="9">
        <v>200</v>
      </c>
      <c r="Y31" s="10">
        <f t="shared" si="12"/>
        <v>7.2743911243699025E-4</v>
      </c>
      <c r="Z31" s="11">
        <f t="shared" si="19"/>
        <v>200</v>
      </c>
      <c r="AA31" s="10">
        <f t="shared" si="13"/>
        <v>7.9411600014398648E-4</v>
      </c>
      <c r="AB31" s="12">
        <f t="shared" si="20"/>
        <v>2400</v>
      </c>
      <c r="AC31" s="13">
        <f t="shared" si="18"/>
        <v>7.9411600014398637E-4</v>
      </c>
      <c r="AD31" s="5"/>
      <c r="AE31" s="5"/>
    </row>
    <row r="32" spans="1:31" x14ac:dyDescent="0.2">
      <c r="A32" s="9" t="s">
        <v>113</v>
      </c>
      <c r="B32" s="9">
        <v>1500</v>
      </c>
      <c r="C32" s="10">
        <f t="shared" si="1"/>
        <v>7.2451741826815609E-3</v>
      </c>
      <c r="D32" s="9">
        <v>1500</v>
      </c>
      <c r="E32" s="10">
        <f t="shared" si="16"/>
        <v>8.0467039279126899E-3</v>
      </c>
      <c r="F32" s="9">
        <v>1500</v>
      </c>
      <c r="G32" s="10">
        <f t="shared" si="3"/>
        <v>6.0640911366597111E-3</v>
      </c>
      <c r="H32" s="9">
        <v>1500</v>
      </c>
      <c r="I32" s="10">
        <f t="shared" si="4"/>
        <v>6.0407526085077233E-3</v>
      </c>
      <c r="J32" s="9">
        <v>1500</v>
      </c>
      <c r="K32" s="10">
        <f t="shared" si="21"/>
        <v>6.1004229667259748E-3</v>
      </c>
      <c r="L32" s="9">
        <v>1500</v>
      </c>
      <c r="M32" s="10">
        <f t="shared" si="17"/>
        <v>5.5920446826738324E-3</v>
      </c>
      <c r="N32" s="9">
        <v>1500</v>
      </c>
      <c r="O32" s="10">
        <f t="shared" si="7"/>
        <v>5.8759790017581326E-3</v>
      </c>
      <c r="P32" s="9">
        <v>1500</v>
      </c>
      <c r="Q32" s="10">
        <f t="shared" si="8"/>
        <v>5.3447099165819054E-3</v>
      </c>
      <c r="R32" s="9">
        <v>1500</v>
      </c>
      <c r="S32" s="10">
        <f t="shared" si="9"/>
        <v>5.8758457300620804E-3</v>
      </c>
      <c r="T32" s="9">
        <v>1500</v>
      </c>
      <c r="U32" s="10">
        <f t="shared" si="10"/>
        <v>5.8879887855010395E-3</v>
      </c>
      <c r="V32" s="9">
        <v>1500</v>
      </c>
      <c r="W32" s="10">
        <f t="shared" si="11"/>
        <v>5.0321208661756106E-3</v>
      </c>
      <c r="X32" s="9">
        <v>1500</v>
      </c>
      <c r="Y32" s="10">
        <f t="shared" si="12"/>
        <v>5.455793343277426E-3</v>
      </c>
      <c r="Z32" s="11">
        <f t="shared" si="19"/>
        <v>1500</v>
      </c>
      <c r="AA32" s="10">
        <f t="shared" si="13"/>
        <v>5.9558700010798986E-3</v>
      </c>
      <c r="AB32" s="12">
        <f t="shared" si="20"/>
        <v>18000</v>
      </c>
      <c r="AC32" s="13">
        <f t="shared" si="18"/>
        <v>5.9558700010798977E-3</v>
      </c>
      <c r="AD32" s="5"/>
      <c r="AE32" s="5"/>
    </row>
    <row r="33" spans="1:31" x14ac:dyDescent="0.2">
      <c r="A33" s="9" t="s">
        <v>42</v>
      </c>
      <c r="B33" s="9"/>
      <c r="C33" s="10">
        <f t="shared" si="1"/>
        <v>0</v>
      </c>
      <c r="D33" s="9"/>
      <c r="E33" s="10">
        <f t="shared" si="16"/>
        <v>0</v>
      </c>
      <c r="F33" s="9"/>
      <c r="G33" s="10">
        <f t="shared" si="3"/>
        <v>0</v>
      </c>
      <c r="H33" s="9"/>
      <c r="I33" s="10">
        <f t="shared" si="4"/>
        <v>0</v>
      </c>
      <c r="J33" s="9"/>
      <c r="K33" s="10">
        <f t="shared" si="21"/>
        <v>0</v>
      </c>
      <c r="L33" s="9"/>
      <c r="M33" s="10">
        <f t="shared" si="17"/>
        <v>0</v>
      </c>
      <c r="N33" s="9"/>
      <c r="O33" s="10">
        <f t="shared" si="7"/>
        <v>0</v>
      </c>
      <c r="P33" s="9"/>
      <c r="Q33" s="10">
        <f t="shared" si="8"/>
        <v>0</v>
      </c>
      <c r="R33" s="9"/>
      <c r="S33" s="10">
        <f t="shared" si="9"/>
        <v>0</v>
      </c>
      <c r="T33" s="9"/>
      <c r="U33" s="10">
        <f t="shared" si="10"/>
        <v>0</v>
      </c>
      <c r="V33" s="9"/>
      <c r="W33" s="10">
        <f t="shared" si="11"/>
        <v>0</v>
      </c>
      <c r="X33" s="9"/>
      <c r="Y33" s="10">
        <f t="shared" si="12"/>
        <v>0</v>
      </c>
      <c r="Z33" s="11">
        <f t="shared" si="19"/>
        <v>0</v>
      </c>
      <c r="AA33" s="10">
        <f t="shared" si="13"/>
        <v>0</v>
      </c>
      <c r="AB33" s="12">
        <f t="shared" si="20"/>
        <v>0</v>
      </c>
      <c r="AC33" s="13">
        <f t="shared" si="18"/>
        <v>0</v>
      </c>
      <c r="AD33" s="5"/>
      <c r="AE33" s="5"/>
    </row>
    <row r="34" spans="1:31" x14ac:dyDescent="0.2">
      <c r="A34" s="9" t="s">
        <v>132</v>
      </c>
      <c r="B34" s="9"/>
      <c r="C34" s="10">
        <f t="shared" si="1"/>
        <v>0</v>
      </c>
      <c r="D34" s="9"/>
      <c r="E34" s="10">
        <f t="shared" si="16"/>
        <v>0</v>
      </c>
      <c r="F34" s="9"/>
      <c r="G34" s="10">
        <f t="shared" si="3"/>
        <v>0</v>
      </c>
      <c r="H34" s="9"/>
      <c r="I34" s="10">
        <f t="shared" si="4"/>
        <v>0</v>
      </c>
      <c r="J34" s="9"/>
      <c r="K34" s="10">
        <f t="shared" si="21"/>
        <v>0</v>
      </c>
      <c r="L34" s="9"/>
      <c r="M34" s="10">
        <f t="shared" si="17"/>
        <v>0</v>
      </c>
      <c r="N34" s="9"/>
      <c r="O34" s="10">
        <f t="shared" si="7"/>
        <v>0</v>
      </c>
      <c r="P34" s="9"/>
      <c r="Q34" s="10">
        <f t="shared" si="8"/>
        <v>0</v>
      </c>
      <c r="R34" s="9"/>
      <c r="S34" s="10">
        <f t="shared" si="9"/>
        <v>0</v>
      </c>
      <c r="T34" s="9"/>
      <c r="U34" s="10">
        <f t="shared" si="10"/>
        <v>0</v>
      </c>
      <c r="V34" s="9"/>
      <c r="W34" s="10">
        <f t="shared" si="11"/>
        <v>0</v>
      </c>
      <c r="X34" s="9"/>
      <c r="Y34" s="10">
        <f t="shared" si="12"/>
        <v>0</v>
      </c>
      <c r="Z34" s="11">
        <f t="shared" si="19"/>
        <v>0</v>
      </c>
      <c r="AA34" s="10"/>
      <c r="AB34" s="12">
        <f t="shared" si="20"/>
        <v>0</v>
      </c>
      <c r="AC34" s="13">
        <f t="shared" si="18"/>
        <v>0</v>
      </c>
      <c r="AD34" s="5"/>
      <c r="AE34" s="5"/>
    </row>
    <row r="35" spans="1:31" x14ac:dyDescent="0.2">
      <c r="A35" s="9" t="s">
        <v>43</v>
      </c>
      <c r="B35" s="9">
        <f>SUBTOTAL(9,B36:B39)</f>
        <v>9816.23</v>
      </c>
      <c r="C35" s="10">
        <f t="shared" si="1"/>
        <v>4.7413530778176144E-2</v>
      </c>
      <c r="D35" s="9">
        <f>SUBTOTAL(9,D36:D39)</f>
        <v>9816.23</v>
      </c>
      <c r="E35" s="10">
        <f t="shared" si="16"/>
        <v>5.2658864332196256E-2</v>
      </c>
      <c r="F35" s="9">
        <f>SUBTOTAL(9,F36:F39)</f>
        <v>9816.23</v>
      </c>
      <c r="G35" s="10">
        <f t="shared" si="3"/>
        <v>3.9684342225608765E-2</v>
      </c>
      <c r="H35" s="9">
        <f>SUBTOTAL(9,H36:H39)</f>
        <v>9816.23</v>
      </c>
      <c r="I35" s="10">
        <f t="shared" si="4"/>
        <v>3.9531611318807849E-2</v>
      </c>
      <c r="J35" s="9">
        <f>SUBTOTAL(9,J36:J39)</f>
        <v>9816.23</v>
      </c>
      <c r="K35" s="10">
        <f t="shared" si="21"/>
        <v>3.9922103292443008E-2</v>
      </c>
      <c r="L35" s="9">
        <f>SUBTOTAL(9,L36:L39)</f>
        <v>9816.23</v>
      </c>
      <c r="M35" s="10">
        <f t="shared" si="17"/>
        <v>3.65951978502689E-2</v>
      </c>
      <c r="N35" s="9">
        <f>SUBTOTAL(9,N36:N39)</f>
        <v>9816.23</v>
      </c>
      <c r="O35" s="10">
        <f t="shared" si="7"/>
        <v>3.8453307570952153E-2</v>
      </c>
      <c r="P35" s="9">
        <f>SUBTOTAL(9,P36:P39)</f>
        <v>9816.23</v>
      </c>
      <c r="Q35" s="10">
        <f t="shared" si="8"/>
        <v>3.4976601216299197E-2</v>
      </c>
      <c r="R35" s="9">
        <f>SUBTOTAL(9,R36:R39)</f>
        <v>9816.23</v>
      </c>
      <c r="S35" s="10">
        <f t="shared" si="9"/>
        <v>3.8452435420538195E-2</v>
      </c>
      <c r="T35" s="9">
        <f>SUBTOTAL(9,T36:T39)</f>
        <v>9816.23</v>
      </c>
      <c r="U35" s="10">
        <f t="shared" si="10"/>
        <v>3.8531901437265911E-2</v>
      </c>
      <c r="V35" s="9">
        <f>SUBTOTAL(9,V36:V39)</f>
        <v>9816.23</v>
      </c>
      <c r="W35" s="10">
        <f t="shared" si="11"/>
        <v>3.2930970540119335E-2</v>
      </c>
      <c r="X35" s="9">
        <f>SUBTOTAL(9,X36:X39)</f>
        <v>9816.23</v>
      </c>
      <c r="Y35" s="10">
        <f t="shared" si="12"/>
        <v>3.570354819338678E-2</v>
      </c>
      <c r="Z35" s="11">
        <f t="shared" si="19"/>
        <v>9816.2299999999977</v>
      </c>
      <c r="AA35" s="10">
        <f t="shared" si="13"/>
        <v>3.897612652046701E-2</v>
      </c>
      <c r="AB35" s="12">
        <f>SUBTOTAL(9,AB36:AB39)</f>
        <v>117794.76</v>
      </c>
      <c r="AC35" s="13">
        <f t="shared" si="18"/>
        <v>3.8976126520467017E-2</v>
      </c>
      <c r="AD35" s="5"/>
      <c r="AE35" s="5"/>
    </row>
    <row r="36" spans="1:31" x14ac:dyDescent="0.2">
      <c r="A36" s="15" t="s">
        <v>32</v>
      </c>
      <c r="B36" s="9">
        <v>5993</v>
      </c>
      <c r="C36" s="10">
        <f t="shared" si="1"/>
        <v>2.894688591787373E-2</v>
      </c>
      <c r="D36" s="9">
        <v>5993</v>
      </c>
      <c r="E36" s="10">
        <f t="shared" si="16"/>
        <v>3.2149264426653834E-2</v>
      </c>
      <c r="F36" s="9">
        <v>5993</v>
      </c>
      <c r="G36" s="10">
        <f t="shared" si="3"/>
        <v>2.4228065454667765E-2</v>
      </c>
      <c r="H36" s="9">
        <v>5993</v>
      </c>
      <c r="I36" s="10">
        <f t="shared" si="4"/>
        <v>2.4134820255191192E-2</v>
      </c>
      <c r="J36" s="9">
        <v>5993</v>
      </c>
      <c r="K36" s="10">
        <f t="shared" si="21"/>
        <v>2.4373223226392512E-2</v>
      </c>
      <c r="L36" s="9">
        <v>5993</v>
      </c>
      <c r="M36" s="10">
        <f t="shared" si="17"/>
        <v>2.2342082522176183E-2</v>
      </c>
      <c r="N36" s="9">
        <v>5993</v>
      </c>
      <c r="O36" s="18">
        <f t="shared" si="7"/>
        <v>2.3476494771690993E-2</v>
      </c>
      <c r="P36" s="9">
        <v>5993</v>
      </c>
      <c r="Q36" s="10">
        <f t="shared" si="8"/>
        <v>2.1353897686716906E-2</v>
      </c>
      <c r="R36" s="9">
        <v>5993</v>
      </c>
      <c r="S36" s="10">
        <f t="shared" si="9"/>
        <v>2.3475962306841364E-2</v>
      </c>
      <c r="T36" s="9">
        <v>5993</v>
      </c>
      <c r="U36" s="10">
        <f t="shared" si="10"/>
        <v>2.3524477861005151E-2</v>
      </c>
      <c r="V36" s="9">
        <v>5993</v>
      </c>
      <c r="W36" s="10">
        <f t="shared" si="11"/>
        <v>2.0105000233993621E-2</v>
      </c>
      <c r="X36" s="9">
        <v>5993</v>
      </c>
      <c r="Y36" s="10">
        <f t="shared" si="12"/>
        <v>2.1797713004174411E-2</v>
      </c>
      <c r="Z36" s="11">
        <f t="shared" si="19"/>
        <v>5993</v>
      </c>
      <c r="AA36" s="10">
        <f t="shared" si="13"/>
        <v>2.3795685944314554E-2</v>
      </c>
      <c r="AB36" s="12">
        <f t="shared" ref="AB36:AB60" si="22">L36+N36+P36+R36+T36+V36+X36+J36+H36+F36+D36+B36</f>
        <v>71916</v>
      </c>
      <c r="AC36" s="13">
        <f t="shared" si="18"/>
        <v>2.3795685944314554E-2</v>
      </c>
      <c r="AD36" s="5"/>
      <c r="AE36" s="5"/>
    </row>
    <row r="37" spans="1:31" x14ac:dyDescent="0.2">
      <c r="A37" s="5" t="s">
        <v>44</v>
      </c>
      <c r="B37" s="9">
        <v>825</v>
      </c>
      <c r="C37" s="10">
        <f t="shared" si="1"/>
        <v>3.984845800474859E-3</v>
      </c>
      <c r="D37" s="9">
        <v>825</v>
      </c>
      <c r="E37" s="10">
        <f t="shared" si="16"/>
        <v>4.4256871603519802E-3</v>
      </c>
      <c r="F37" s="9">
        <v>825</v>
      </c>
      <c r="G37" s="18">
        <f t="shared" si="3"/>
        <v>3.3352501251628411E-3</v>
      </c>
      <c r="H37" s="9">
        <v>825</v>
      </c>
      <c r="I37" s="10">
        <f t="shared" si="4"/>
        <v>3.3224139346792478E-3</v>
      </c>
      <c r="J37" s="9">
        <v>825</v>
      </c>
      <c r="K37" s="10">
        <f t="shared" si="21"/>
        <v>3.3552326316992863E-3</v>
      </c>
      <c r="L37" s="9">
        <v>825</v>
      </c>
      <c r="M37" s="10">
        <f t="shared" si="17"/>
        <v>3.0756245754706077E-3</v>
      </c>
      <c r="N37" s="9">
        <v>825</v>
      </c>
      <c r="O37" s="18">
        <f t="shared" si="7"/>
        <v>3.2317884509669727E-3</v>
      </c>
      <c r="P37" s="9">
        <v>825</v>
      </c>
      <c r="Q37" s="10">
        <f t="shared" si="8"/>
        <v>2.9395904541200477E-3</v>
      </c>
      <c r="R37" s="9">
        <v>825</v>
      </c>
      <c r="S37" s="10">
        <f t="shared" si="9"/>
        <v>3.2317151515341442E-3</v>
      </c>
      <c r="T37" s="9">
        <v>825</v>
      </c>
      <c r="U37" s="10">
        <f t="shared" si="10"/>
        <v>3.2383938320255717E-3</v>
      </c>
      <c r="V37" s="9">
        <v>825</v>
      </c>
      <c r="W37" s="10">
        <f t="shared" si="11"/>
        <v>2.7676664763965856E-3</v>
      </c>
      <c r="X37" s="9">
        <v>825</v>
      </c>
      <c r="Y37" s="10">
        <f t="shared" si="12"/>
        <v>3.0006863388025848E-3</v>
      </c>
      <c r="Z37" s="11">
        <f t="shared" si="19"/>
        <v>825</v>
      </c>
      <c r="AA37" s="10">
        <f t="shared" si="13"/>
        <v>3.2757285005939442E-3</v>
      </c>
      <c r="AB37" s="12">
        <f t="shared" si="22"/>
        <v>9900</v>
      </c>
      <c r="AC37" s="13">
        <f t="shared" si="18"/>
        <v>3.2757285005939438E-3</v>
      </c>
      <c r="AD37" s="5"/>
      <c r="AE37" s="5"/>
    </row>
    <row r="38" spans="1:31" x14ac:dyDescent="0.2">
      <c r="A38" s="5" t="s">
        <v>45</v>
      </c>
      <c r="B38" s="9">
        <v>968</v>
      </c>
      <c r="C38" s="10">
        <f t="shared" si="1"/>
        <v>4.6755524058905004E-3</v>
      </c>
      <c r="D38" s="9">
        <v>968</v>
      </c>
      <c r="E38" s="10">
        <f t="shared" si="16"/>
        <v>5.1928062681463232E-3</v>
      </c>
      <c r="F38" s="9">
        <v>968</v>
      </c>
      <c r="G38" s="18">
        <f t="shared" si="3"/>
        <v>3.9133601468577337E-3</v>
      </c>
      <c r="H38" s="9">
        <v>968</v>
      </c>
      <c r="I38" s="10">
        <f t="shared" si="4"/>
        <v>3.8982990166903176E-3</v>
      </c>
      <c r="J38" s="9">
        <v>968</v>
      </c>
      <c r="K38" s="10">
        <f t="shared" si="21"/>
        <v>3.936806287860496E-3</v>
      </c>
      <c r="L38" s="9">
        <v>968</v>
      </c>
      <c r="M38" s="10">
        <f t="shared" si="17"/>
        <v>3.6087328352188463E-3</v>
      </c>
      <c r="N38" s="9">
        <v>968</v>
      </c>
      <c r="O38" s="18">
        <f t="shared" si="7"/>
        <v>3.7919651158012479E-3</v>
      </c>
      <c r="P38" s="9">
        <v>968</v>
      </c>
      <c r="Q38" s="18">
        <f t="shared" si="8"/>
        <v>3.4491194661675226E-3</v>
      </c>
      <c r="R38" s="9">
        <v>968</v>
      </c>
      <c r="S38" s="10">
        <f t="shared" si="9"/>
        <v>3.7918791111333961E-3</v>
      </c>
      <c r="T38" s="9">
        <v>968</v>
      </c>
      <c r="U38" s="10">
        <f t="shared" si="10"/>
        <v>3.7997154295766706E-3</v>
      </c>
      <c r="V38" s="9">
        <v>968</v>
      </c>
      <c r="W38" s="10">
        <f t="shared" si="11"/>
        <v>3.2473953323053271E-3</v>
      </c>
      <c r="X38" s="9">
        <v>968</v>
      </c>
      <c r="Y38" s="10">
        <f t="shared" si="12"/>
        <v>3.5208053041950326E-3</v>
      </c>
      <c r="Z38" s="11">
        <f t="shared" si="19"/>
        <v>968</v>
      </c>
      <c r="AA38" s="10">
        <f t="shared" si="13"/>
        <v>3.8435214406968943E-3</v>
      </c>
      <c r="AB38" s="12">
        <f t="shared" si="22"/>
        <v>11616</v>
      </c>
      <c r="AC38" s="13">
        <f t="shared" si="18"/>
        <v>3.8435214406968943E-3</v>
      </c>
      <c r="AD38" s="5"/>
      <c r="AE38" s="5"/>
    </row>
    <row r="39" spans="1:31" x14ac:dyDescent="0.2">
      <c r="A39" s="9" t="s">
        <v>46</v>
      </c>
      <c r="B39" s="16">
        <v>2030.23</v>
      </c>
      <c r="C39" s="10">
        <f t="shared" si="1"/>
        <v>9.8062466539370566E-3</v>
      </c>
      <c r="D39" s="16">
        <v>2030.23</v>
      </c>
      <c r="E39" s="10">
        <f t="shared" si="16"/>
        <v>1.0891106477044121E-2</v>
      </c>
      <c r="F39" s="16">
        <v>2030.23</v>
      </c>
      <c r="G39" s="18">
        <f t="shared" si="3"/>
        <v>8.2076664989204299E-3</v>
      </c>
      <c r="H39" s="16">
        <v>2030.23</v>
      </c>
      <c r="I39" s="10">
        <f t="shared" si="4"/>
        <v>8.1760781122470899E-3</v>
      </c>
      <c r="J39" s="16">
        <v>2030.23</v>
      </c>
      <c r="K39" s="10">
        <f t="shared" si="21"/>
        <v>8.256841146490718E-3</v>
      </c>
      <c r="L39" s="16">
        <v>2030.23</v>
      </c>
      <c r="M39" s="10">
        <f t="shared" si="17"/>
        <v>7.5687579174032633E-3</v>
      </c>
      <c r="N39" s="16">
        <v>2030.23</v>
      </c>
      <c r="O39" s="18">
        <f t="shared" si="7"/>
        <v>7.9530592324929417E-3</v>
      </c>
      <c r="P39" s="16">
        <v>2030.23</v>
      </c>
      <c r="Q39" s="18">
        <f t="shared" si="8"/>
        <v>7.2339936092947208E-3</v>
      </c>
      <c r="R39" s="16">
        <v>2030.23</v>
      </c>
      <c r="S39" s="10">
        <f t="shared" si="9"/>
        <v>7.9528788510292922E-3</v>
      </c>
      <c r="T39" s="16">
        <v>2030.23</v>
      </c>
      <c r="U39" s="10">
        <f t="shared" si="10"/>
        <v>7.9693143146585162E-3</v>
      </c>
      <c r="V39" s="16">
        <v>2030.23</v>
      </c>
      <c r="W39" s="10">
        <f t="shared" si="11"/>
        <v>6.8109084974238062E-3</v>
      </c>
      <c r="X39" s="16">
        <v>2030.23</v>
      </c>
      <c r="Y39" s="10">
        <f t="shared" si="12"/>
        <v>7.3843435462147529E-3</v>
      </c>
      <c r="Z39" s="11">
        <f t="shared" si="19"/>
        <v>2030.2299999999998</v>
      </c>
      <c r="AA39" s="10">
        <f t="shared" si="13"/>
        <v>8.0611906348616279E-3</v>
      </c>
      <c r="AB39" s="12">
        <f t="shared" si="22"/>
        <v>24362.76</v>
      </c>
      <c r="AC39" s="13">
        <f t="shared" si="18"/>
        <v>8.0611906348616279E-3</v>
      </c>
      <c r="AD39" s="5"/>
      <c r="AE39" s="5"/>
    </row>
    <row r="40" spans="1:31" x14ac:dyDescent="0.2">
      <c r="A40" s="9" t="s">
        <v>47</v>
      </c>
      <c r="B40" s="9"/>
      <c r="C40" s="10">
        <f t="shared" si="1"/>
        <v>0</v>
      </c>
      <c r="D40" s="9"/>
      <c r="E40" s="10">
        <f t="shared" si="16"/>
        <v>0</v>
      </c>
      <c r="F40" s="9"/>
      <c r="G40" s="10">
        <f t="shared" si="3"/>
        <v>0</v>
      </c>
      <c r="H40" s="9"/>
      <c r="I40" s="10">
        <f t="shared" si="4"/>
        <v>0</v>
      </c>
      <c r="J40" s="9"/>
      <c r="K40" s="10">
        <f t="shared" si="21"/>
        <v>0</v>
      </c>
      <c r="L40" s="9"/>
      <c r="M40" s="10">
        <f t="shared" si="17"/>
        <v>0</v>
      </c>
      <c r="N40" s="9"/>
      <c r="O40" s="18">
        <f t="shared" si="7"/>
        <v>0</v>
      </c>
      <c r="P40" s="9"/>
      <c r="Q40" s="18">
        <f t="shared" si="8"/>
        <v>0</v>
      </c>
      <c r="R40" s="9"/>
      <c r="S40" s="10">
        <f t="shared" si="9"/>
        <v>0</v>
      </c>
      <c r="T40" s="9"/>
      <c r="U40" s="10">
        <f t="shared" si="10"/>
        <v>0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19"/>
        <v>0</v>
      </c>
      <c r="AA40" s="10">
        <f t="shared" si="13"/>
        <v>0</v>
      </c>
      <c r="AB40" s="12">
        <f t="shared" si="22"/>
        <v>0</v>
      </c>
      <c r="AC40" s="13">
        <f t="shared" si="18"/>
        <v>0</v>
      </c>
      <c r="AD40" s="5"/>
      <c r="AE40" s="5"/>
    </row>
    <row r="41" spans="1:31" x14ac:dyDescent="0.2">
      <c r="A41" s="9" t="s">
        <v>48</v>
      </c>
      <c r="B41" s="9">
        <v>25000</v>
      </c>
      <c r="C41" s="10">
        <f t="shared" si="1"/>
        <v>0.12075290304469269</v>
      </c>
      <c r="D41" s="9">
        <v>25000</v>
      </c>
      <c r="E41" s="10">
        <f t="shared" si="16"/>
        <v>0.13411173213187819</v>
      </c>
      <c r="F41" s="9">
        <v>25000</v>
      </c>
      <c r="G41" s="10">
        <f t="shared" si="3"/>
        <v>0.10106818561099518</v>
      </c>
      <c r="H41" s="9">
        <v>25000</v>
      </c>
      <c r="I41" s="10">
        <f t="shared" si="4"/>
        <v>0.1006792101417954</v>
      </c>
      <c r="J41" s="9">
        <v>25000</v>
      </c>
      <c r="K41" s="10">
        <f t="shared" si="21"/>
        <v>0.10167371611209959</v>
      </c>
      <c r="L41" s="9">
        <v>25000</v>
      </c>
      <c r="M41" s="10">
        <f t="shared" si="17"/>
        <v>9.3200744711230535E-2</v>
      </c>
      <c r="N41" s="9">
        <v>25000</v>
      </c>
      <c r="O41" s="18">
        <f t="shared" si="7"/>
        <v>9.7932983362635534E-2</v>
      </c>
      <c r="P41" s="9">
        <v>25000</v>
      </c>
      <c r="Q41" s="18">
        <f t="shared" si="8"/>
        <v>8.9078498609698423E-2</v>
      </c>
      <c r="R41" s="9">
        <v>25000</v>
      </c>
      <c r="S41" s="10">
        <f t="shared" si="9"/>
        <v>9.7930762167701343E-2</v>
      </c>
      <c r="T41" s="9">
        <v>25000</v>
      </c>
      <c r="U41" s="10">
        <f t="shared" si="10"/>
        <v>9.8133146425017317E-2</v>
      </c>
      <c r="V41" s="9">
        <v>25000</v>
      </c>
      <c r="W41" s="10">
        <f t="shared" si="11"/>
        <v>8.3868681102926834E-2</v>
      </c>
      <c r="X41" s="9">
        <v>25000</v>
      </c>
      <c r="Y41" s="10">
        <f t="shared" si="12"/>
        <v>9.0929889054623778E-2</v>
      </c>
      <c r="Z41" s="11">
        <f t="shared" si="19"/>
        <v>25000</v>
      </c>
      <c r="AA41" s="10">
        <f t="shared" si="13"/>
        <v>9.9264500017998303E-2</v>
      </c>
      <c r="AB41" s="12">
        <f t="shared" si="22"/>
        <v>300000</v>
      </c>
      <c r="AC41" s="13">
        <f t="shared" si="18"/>
        <v>9.9264500017998303E-2</v>
      </c>
      <c r="AD41" s="5"/>
      <c r="AE41" s="5"/>
    </row>
    <row r="42" spans="1:31" x14ac:dyDescent="0.2">
      <c r="A42" s="9" t="s">
        <v>49</v>
      </c>
      <c r="B42" s="9">
        <v>805</v>
      </c>
      <c r="C42" s="10">
        <f t="shared" si="1"/>
        <v>3.8882434780391044E-3</v>
      </c>
      <c r="D42" s="9">
        <v>805</v>
      </c>
      <c r="E42" s="10">
        <f t="shared" si="16"/>
        <v>4.318397774646477E-3</v>
      </c>
      <c r="F42" s="9">
        <v>805</v>
      </c>
      <c r="G42" s="10">
        <f t="shared" si="3"/>
        <v>3.2543955766740447E-3</v>
      </c>
      <c r="H42" s="9">
        <v>805</v>
      </c>
      <c r="I42" s="10">
        <f t="shared" si="4"/>
        <v>3.2418705665658116E-3</v>
      </c>
      <c r="J42" s="9">
        <v>805</v>
      </c>
      <c r="K42" s="10">
        <f t="shared" si="21"/>
        <v>3.2738936588096066E-3</v>
      </c>
      <c r="L42" s="9">
        <v>805</v>
      </c>
      <c r="M42" s="10">
        <f t="shared" si="17"/>
        <v>3.0010639797016232E-3</v>
      </c>
      <c r="N42" s="9">
        <v>805</v>
      </c>
      <c r="O42" s="18">
        <f t="shared" si="7"/>
        <v>3.1534420642768644E-3</v>
      </c>
      <c r="P42" s="9">
        <v>805</v>
      </c>
      <c r="Q42" s="18">
        <f t="shared" si="8"/>
        <v>2.8683276552322889E-3</v>
      </c>
      <c r="R42" s="9">
        <v>805</v>
      </c>
      <c r="S42" s="10">
        <f t="shared" si="9"/>
        <v>3.1533705417999833E-3</v>
      </c>
      <c r="T42" s="9">
        <v>805</v>
      </c>
      <c r="U42" s="10">
        <f t="shared" si="10"/>
        <v>3.1598873148855578E-3</v>
      </c>
      <c r="V42" s="9">
        <v>805</v>
      </c>
      <c r="W42" s="10">
        <f t="shared" si="11"/>
        <v>2.7005715315142442E-3</v>
      </c>
      <c r="X42" s="9">
        <v>805</v>
      </c>
      <c r="Y42" s="10">
        <f t="shared" si="12"/>
        <v>2.9279424275588856E-3</v>
      </c>
      <c r="Z42" s="11">
        <f t="shared" si="19"/>
        <v>805</v>
      </c>
      <c r="AA42" s="10">
        <f t="shared" si="13"/>
        <v>3.1963169005795452E-3</v>
      </c>
      <c r="AB42" s="12">
        <f t="shared" si="22"/>
        <v>9660</v>
      </c>
      <c r="AC42" s="13">
        <f t="shared" si="18"/>
        <v>3.1963169005795452E-3</v>
      </c>
      <c r="AD42" s="5"/>
      <c r="AE42" s="5"/>
    </row>
    <row r="43" spans="1:31" x14ac:dyDescent="0.2">
      <c r="A43" s="9" t="s">
        <v>50</v>
      </c>
      <c r="B43" s="9">
        <v>300</v>
      </c>
      <c r="C43" s="10">
        <f t="shared" si="1"/>
        <v>1.4490348365363123E-3</v>
      </c>
      <c r="D43" s="9">
        <v>300</v>
      </c>
      <c r="E43" s="10">
        <f t="shared" si="16"/>
        <v>1.6093407855825382E-3</v>
      </c>
      <c r="F43" s="9">
        <v>300</v>
      </c>
      <c r="G43" s="10">
        <f t="shared" si="3"/>
        <v>1.2128182273319422E-3</v>
      </c>
      <c r="H43" s="9">
        <v>300</v>
      </c>
      <c r="I43" s="10">
        <f t="shared" si="4"/>
        <v>1.2081505217015447E-3</v>
      </c>
      <c r="J43" s="9">
        <v>300</v>
      </c>
      <c r="K43" s="10">
        <f t="shared" si="21"/>
        <v>1.220084593345195E-3</v>
      </c>
      <c r="L43" s="9">
        <v>300</v>
      </c>
      <c r="M43" s="10">
        <f t="shared" si="17"/>
        <v>1.1184089365347664E-3</v>
      </c>
      <c r="N43" s="9">
        <v>300</v>
      </c>
      <c r="O43" s="18">
        <f t="shared" si="7"/>
        <v>1.1751958003516265E-3</v>
      </c>
      <c r="P43" s="9">
        <v>300</v>
      </c>
      <c r="Q43" s="18">
        <f t="shared" si="8"/>
        <v>1.0689419833163809E-3</v>
      </c>
      <c r="R43" s="9">
        <v>300</v>
      </c>
      <c r="S43" s="10">
        <f t="shared" si="9"/>
        <v>1.1751691460124161E-3</v>
      </c>
      <c r="T43" s="9">
        <v>300</v>
      </c>
      <c r="U43" s="10">
        <f t="shared" si="10"/>
        <v>1.1775977571002079E-3</v>
      </c>
      <c r="V43" s="9">
        <v>300</v>
      </c>
      <c r="W43" s="10">
        <f t="shared" si="11"/>
        <v>1.0064241732351221E-3</v>
      </c>
      <c r="X43" s="9">
        <v>300</v>
      </c>
      <c r="Y43" s="10">
        <f t="shared" si="12"/>
        <v>1.0911586686554852E-3</v>
      </c>
      <c r="Z43" s="11">
        <f t="shared" si="19"/>
        <v>300</v>
      </c>
      <c r="AA43" s="10">
        <f t="shared" si="13"/>
        <v>1.1911740002159797E-3</v>
      </c>
      <c r="AB43" s="12">
        <f t="shared" si="22"/>
        <v>3600</v>
      </c>
      <c r="AC43" s="13">
        <f t="shared" si="18"/>
        <v>1.1911740002159797E-3</v>
      </c>
      <c r="AD43" s="5"/>
      <c r="AE43" s="5"/>
    </row>
    <row r="44" spans="1:31" x14ac:dyDescent="0.2">
      <c r="A44" s="9" t="s">
        <v>51</v>
      </c>
      <c r="B44" s="9">
        <v>1700</v>
      </c>
      <c r="C44" s="10">
        <f t="shared" si="1"/>
        <v>8.211197407039102E-3</v>
      </c>
      <c r="D44" s="9">
        <v>1700</v>
      </c>
      <c r="E44" s="10">
        <f t="shared" si="16"/>
        <v>9.1195977849677159E-3</v>
      </c>
      <c r="F44" s="9">
        <v>1700</v>
      </c>
      <c r="G44" s="10">
        <f t="shared" si="3"/>
        <v>6.8726366215476724E-3</v>
      </c>
      <c r="H44" s="9">
        <v>1700</v>
      </c>
      <c r="I44" s="10">
        <f t="shared" si="4"/>
        <v>6.846186289642087E-3</v>
      </c>
      <c r="J44" s="9">
        <v>1700</v>
      </c>
      <c r="K44" s="10">
        <f t="shared" si="21"/>
        <v>6.9138126956227721E-3</v>
      </c>
      <c r="L44" s="9">
        <v>1700</v>
      </c>
      <c r="M44" s="10">
        <f t="shared" si="17"/>
        <v>6.3376506403636764E-3</v>
      </c>
      <c r="N44" s="9">
        <v>1700</v>
      </c>
      <c r="O44" s="18">
        <f t="shared" si="7"/>
        <v>6.6594428686592164E-3</v>
      </c>
      <c r="P44" s="9">
        <v>1700</v>
      </c>
      <c r="Q44" s="18">
        <f t="shared" si="8"/>
        <v>6.0573379054594924E-3</v>
      </c>
      <c r="R44" s="9">
        <v>1700</v>
      </c>
      <c r="S44" s="10">
        <f t="shared" si="9"/>
        <v>6.659291827403691E-3</v>
      </c>
      <c r="T44" s="9">
        <v>1700</v>
      </c>
      <c r="U44" s="10">
        <f t="shared" si="10"/>
        <v>6.6730539569011781E-3</v>
      </c>
      <c r="V44" s="9">
        <v>1700</v>
      </c>
      <c r="W44" s="10">
        <f t="shared" si="11"/>
        <v>5.7030703149990244E-3</v>
      </c>
      <c r="X44" s="9">
        <v>1700</v>
      </c>
      <c r="Y44" s="10">
        <f t="shared" si="12"/>
        <v>6.183232455714417E-3</v>
      </c>
      <c r="Z44" s="11">
        <f t="shared" si="19"/>
        <v>1700</v>
      </c>
      <c r="AA44" s="10">
        <f t="shared" si="13"/>
        <v>6.7499860012238851E-3</v>
      </c>
      <c r="AB44" s="12">
        <f>L44+N44+P44+R44+T44+V44+X44+J44+H44+F44+D44+B44</f>
        <v>20400</v>
      </c>
      <c r="AC44" s="13">
        <f t="shared" si="18"/>
        <v>6.7499860012238842E-3</v>
      </c>
      <c r="AD44" s="5"/>
      <c r="AE44" s="5"/>
    </row>
    <row r="45" spans="1:31" x14ac:dyDescent="0.2">
      <c r="A45" s="9" t="s">
        <v>52</v>
      </c>
      <c r="B45" s="9">
        <v>410</v>
      </c>
      <c r="C45" s="10">
        <f t="shared" si="1"/>
        <v>1.98034760993296E-3</v>
      </c>
      <c r="D45" s="9">
        <v>410</v>
      </c>
      <c r="E45" s="10">
        <f t="shared" si="16"/>
        <v>2.1994324069628019E-3</v>
      </c>
      <c r="F45" s="9">
        <v>410</v>
      </c>
      <c r="G45" s="10">
        <f t="shared" si="3"/>
        <v>1.6575182440203208E-3</v>
      </c>
      <c r="H45" s="9">
        <v>410</v>
      </c>
      <c r="I45" s="10">
        <f t="shared" si="4"/>
        <v>1.6511390463254444E-3</v>
      </c>
      <c r="J45" s="9">
        <v>410</v>
      </c>
      <c r="K45" s="10">
        <f t="shared" si="21"/>
        <v>1.6674489442384331E-3</v>
      </c>
      <c r="L45" s="9">
        <v>410</v>
      </c>
      <c r="M45" s="10">
        <f t="shared" si="17"/>
        <v>1.5284922132641808E-3</v>
      </c>
      <c r="N45" s="9">
        <v>410</v>
      </c>
      <c r="O45" s="18">
        <f t="shared" si="7"/>
        <v>1.6061009271472228E-3</v>
      </c>
      <c r="P45" s="9">
        <v>410</v>
      </c>
      <c r="Q45" s="18">
        <f t="shared" si="8"/>
        <v>1.460887377199054E-3</v>
      </c>
      <c r="R45" s="9">
        <v>410</v>
      </c>
      <c r="S45" s="10">
        <f t="shared" si="9"/>
        <v>1.6060644995503019E-3</v>
      </c>
      <c r="T45" s="9">
        <v>410</v>
      </c>
      <c r="U45" s="10">
        <f t="shared" si="10"/>
        <v>1.6093836013702841E-3</v>
      </c>
      <c r="V45" s="9">
        <v>410</v>
      </c>
      <c r="W45" s="10">
        <f t="shared" si="11"/>
        <v>1.3754463700880002E-3</v>
      </c>
      <c r="X45" s="9">
        <v>410</v>
      </c>
      <c r="Y45" s="10">
        <f t="shared" si="12"/>
        <v>1.4912501804958298E-3</v>
      </c>
      <c r="Z45" s="11">
        <f t="shared" si="19"/>
        <v>410</v>
      </c>
      <c r="AA45" s="10">
        <f t="shared" si="13"/>
        <v>1.6279378002951722E-3</v>
      </c>
      <c r="AB45" s="12">
        <f t="shared" si="22"/>
        <v>4920</v>
      </c>
      <c r="AC45" s="13">
        <f t="shared" si="18"/>
        <v>1.6279378002951722E-3</v>
      </c>
      <c r="AD45" s="5"/>
      <c r="AE45" s="5"/>
    </row>
    <row r="46" spans="1:31" x14ac:dyDescent="0.2">
      <c r="A46" s="9" t="s">
        <v>53</v>
      </c>
      <c r="B46" s="9">
        <v>526</v>
      </c>
      <c r="C46" s="10">
        <f t="shared" si="1"/>
        <v>2.540641080060334E-3</v>
      </c>
      <c r="D46" s="9">
        <v>526</v>
      </c>
      <c r="E46" s="10">
        <f t="shared" si="16"/>
        <v>2.8217108440547166E-3</v>
      </c>
      <c r="F46" s="9">
        <v>526</v>
      </c>
      <c r="G46" s="10">
        <f t="shared" si="3"/>
        <v>2.1264746252553385E-3</v>
      </c>
      <c r="H46" s="9">
        <v>526</v>
      </c>
      <c r="I46" s="10">
        <f t="shared" si="4"/>
        <v>2.1182905813833751E-3</v>
      </c>
      <c r="J46" s="9">
        <v>526</v>
      </c>
      <c r="K46" s="10">
        <f t="shared" si="21"/>
        <v>2.1392149869985753E-3</v>
      </c>
      <c r="L46" s="9">
        <v>526</v>
      </c>
      <c r="M46" s="10">
        <f t="shared" si="17"/>
        <v>1.9609436687242905E-3</v>
      </c>
      <c r="N46" s="9">
        <v>526</v>
      </c>
      <c r="O46" s="18">
        <f t="shared" si="7"/>
        <v>2.0605099699498516E-3</v>
      </c>
      <c r="P46" s="9">
        <v>526</v>
      </c>
      <c r="Q46" s="18">
        <f t="shared" si="8"/>
        <v>1.8742116107480548E-3</v>
      </c>
      <c r="R46" s="9">
        <v>526</v>
      </c>
      <c r="S46" s="10">
        <f t="shared" si="9"/>
        <v>2.0604632360084361E-3</v>
      </c>
      <c r="T46" s="9">
        <v>526</v>
      </c>
      <c r="U46" s="10">
        <f t="shared" si="10"/>
        <v>2.0647214007823646E-3</v>
      </c>
      <c r="V46" s="9">
        <v>526</v>
      </c>
      <c r="W46" s="10">
        <f t="shared" si="11"/>
        <v>1.7645970504055807E-3</v>
      </c>
      <c r="X46" s="9">
        <v>526</v>
      </c>
      <c r="Y46" s="10">
        <f t="shared" si="12"/>
        <v>1.9131648657092842E-3</v>
      </c>
      <c r="Z46" s="11">
        <f t="shared" si="19"/>
        <v>526</v>
      </c>
      <c r="AA46" s="10">
        <f t="shared" si="13"/>
        <v>2.0885250803786845E-3</v>
      </c>
      <c r="AB46" s="12">
        <f t="shared" si="22"/>
        <v>6312</v>
      </c>
      <c r="AC46" s="13">
        <f t="shared" si="18"/>
        <v>2.0885250803786841E-3</v>
      </c>
      <c r="AD46" s="5"/>
      <c r="AE46" s="5"/>
    </row>
    <row r="47" spans="1:31" x14ac:dyDescent="0.2">
      <c r="A47" s="9" t="s">
        <v>54</v>
      </c>
      <c r="B47" s="9">
        <v>300</v>
      </c>
      <c r="C47" s="10">
        <f t="shared" si="1"/>
        <v>1.4490348365363123E-3</v>
      </c>
      <c r="D47" s="9">
        <v>300</v>
      </c>
      <c r="E47" s="10">
        <f t="shared" si="16"/>
        <v>1.6093407855825382E-3</v>
      </c>
      <c r="F47" s="9">
        <v>300</v>
      </c>
      <c r="G47" s="10">
        <f t="shared" si="3"/>
        <v>1.2128182273319422E-3</v>
      </c>
      <c r="H47" s="9">
        <v>300</v>
      </c>
      <c r="I47" s="10">
        <f t="shared" si="4"/>
        <v>1.2081505217015447E-3</v>
      </c>
      <c r="J47" s="9">
        <v>300</v>
      </c>
      <c r="K47" s="10">
        <f t="shared" si="21"/>
        <v>1.220084593345195E-3</v>
      </c>
      <c r="L47" s="9">
        <v>300</v>
      </c>
      <c r="M47" s="10">
        <f t="shared" si="17"/>
        <v>1.1184089365347664E-3</v>
      </c>
      <c r="N47" s="9">
        <v>300</v>
      </c>
      <c r="O47" s="18">
        <f t="shared" si="7"/>
        <v>1.1751958003516265E-3</v>
      </c>
      <c r="P47" s="9">
        <v>300</v>
      </c>
      <c r="Q47" s="10">
        <f t="shared" si="8"/>
        <v>1.0689419833163809E-3</v>
      </c>
      <c r="R47" s="9">
        <v>300</v>
      </c>
      <c r="S47" s="10">
        <f t="shared" si="9"/>
        <v>1.1751691460124161E-3</v>
      </c>
      <c r="T47" s="9">
        <v>300</v>
      </c>
      <c r="U47" s="10">
        <f t="shared" si="10"/>
        <v>1.1775977571002079E-3</v>
      </c>
      <c r="V47" s="9">
        <v>300</v>
      </c>
      <c r="W47" s="10">
        <f t="shared" si="11"/>
        <v>1.0064241732351221E-3</v>
      </c>
      <c r="X47" s="9">
        <v>300</v>
      </c>
      <c r="Y47" s="10">
        <f t="shared" si="12"/>
        <v>1.0911586686554852E-3</v>
      </c>
      <c r="Z47" s="11">
        <f t="shared" si="19"/>
        <v>300</v>
      </c>
      <c r="AA47" s="10">
        <f t="shared" si="13"/>
        <v>1.1911740002159797E-3</v>
      </c>
      <c r="AB47" s="12">
        <f t="shared" si="22"/>
        <v>3600</v>
      </c>
      <c r="AC47" s="13">
        <f t="shared" si="18"/>
        <v>1.1911740002159797E-3</v>
      </c>
      <c r="AD47" s="5"/>
      <c r="AE47" s="5"/>
    </row>
    <row r="48" spans="1:31" x14ac:dyDescent="0.2">
      <c r="A48" s="9" t="s">
        <v>55</v>
      </c>
      <c r="B48" s="9"/>
      <c r="C48" s="10">
        <f t="shared" si="1"/>
        <v>0</v>
      </c>
      <c r="D48" s="9"/>
      <c r="E48" s="10">
        <f t="shared" si="16"/>
        <v>0</v>
      </c>
      <c r="F48" s="9"/>
      <c r="G48" s="10">
        <f t="shared" si="3"/>
        <v>0</v>
      </c>
      <c r="H48" s="9"/>
      <c r="I48" s="10">
        <f t="shared" si="4"/>
        <v>0</v>
      </c>
      <c r="J48" s="9"/>
      <c r="K48" s="10">
        <f t="shared" si="21"/>
        <v>0</v>
      </c>
      <c r="L48" s="9"/>
      <c r="M48" s="10">
        <f t="shared" si="17"/>
        <v>0</v>
      </c>
      <c r="N48" s="9"/>
      <c r="O48" s="18">
        <f t="shared" si="7"/>
        <v>0</v>
      </c>
      <c r="P48" s="9"/>
      <c r="Q48" s="10">
        <f t="shared" si="8"/>
        <v>0</v>
      </c>
      <c r="R48" s="9"/>
      <c r="S48" s="10">
        <f t="shared" si="9"/>
        <v>0</v>
      </c>
      <c r="T48" s="9"/>
      <c r="U48" s="10">
        <f t="shared" si="10"/>
        <v>0</v>
      </c>
      <c r="V48" s="9"/>
      <c r="W48" s="10">
        <f t="shared" si="11"/>
        <v>0</v>
      </c>
      <c r="X48" s="9"/>
      <c r="Y48" s="10">
        <f t="shared" si="12"/>
        <v>0</v>
      </c>
      <c r="Z48" s="11">
        <f t="shared" si="19"/>
        <v>0</v>
      </c>
      <c r="AA48" s="10">
        <f t="shared" si="13"/>
        <v>0</v>
      </c>
      <c r="AB48" s="12">
        <f t="shared" si="22"/>
        <v>0</v>
      </c>
      <c r="AC48" s="13">
        <f t="shared" si="18"/>
        <v>0</v>
      </c>
      <c r="AD48" s="5"/>
      <c r="AE48" s="5"/>
    </row>
    <row r="49" spans="1:31" x14ac:dyDescent="0.2">
      <c r="A49" s="9" t="s">
        <v>111</v>
      </c>
      <c r="B49" s="9">
        <v>600</v>
      </c>
      <c r="C49" s="10">
        <f t="shared" si="1"/>
        <v>2.8980696730726246E-3</v>
      </c>
      <c r="D49" s="9">
        <v>600</v>
      </c>
      <c r="E49" s="10">
        <f t="shared" si="16"/>
        <v>3.2186815711650763E-3</v>
      </c>
      <c r="F49" s="9">
        <v>600</v>
      </c>
      <c r="G49" s="10">
        <f t="shared" si="3"/>
        <v>2.4256364546638843E-3</v>
      </c>
      <c r="H49" s="9">
        <v>600</v>
      </c>
      <c r="I49" s="10">
        <f t="shared" si="4"/>
        <v>2.4163010434030893E-3</v>
      </c>
      <c r="J49" s="9">
        <v>600</v>
      </c>
      <c r="K49" s="10">
        <f t="shared" si="21"/>
        <v>2.44016918669039E-3</v>
      </c>
      <c r="L49" s="9">
        <v>600</v>
      </c>
      <c r="M49" s="10">
        <f t="shared" si="17"/>
        <v>2.2368178730695328E-3</v>
      </c>
      <c r="N49" s="9">
        <v>600</v>
      </c>
      <c r="O49" s="10">
        <f t="shared" si="7"/>
        <v>2.3503916007032531E-3</v>
      </c>
      <c r="P49" s="9">
        <v>600</v>
      </c>
      <c r="Q49" s="10">
        <f t="shared" si="8"/>
        <v>2.1378839666327618E-3</v>
      </c>
      <c r="R49" s="9">
        <v>600</v>
      </c>
      <c r="S49" s="10">
        <f t="shared" si="9"/>
        <v>2.3503382920248323E-3</v>
      </c>
      <c r="T49" s="9">
        <v>600</v>
      </c>
      <c r="U49" s="10">
        <f t="shared" si="10"/>
        <v>2.3551955142004158E-3</v>
      </c>
      <c r="V49" s="9">
        <v>600</v>
      </c>
      <c r="W49" s="10">
        <f t="shared" si="11"/>
        <v>2.0128483464702442E-3</v>
      </c>
      <c r="X49" s="9">
        <v>600</v>
      </c>
      <c r="Y49" s="10">
        <f t="shared" si="12"/>
        <v>2.1823173373109704E-3</v>
      </c>
      <c r="Z49" s="11">
        <f t="shared" si="19"/>
        <v>600</v>
      </c>
      <c r="AA49" s="10">
        <f t="shared" si="13"/>
        <v>2.3823480004319594E-3</v>
      </c>
      <c r="AB49" s="12">
        <f t="shared" si="22"/>
        <v>7200</v>
      </c>
      <c r="AC49" s="13">
        <f t="shared" si="18"/>
        <v>2.3823480004319594E-3</v>
      </c>
      <c r="AD49" s="5"/>
      <c r="AE49" s="5"/>
    </row>
    <row r="50" spans="1:31" x14ac:dyDescent="0.2">
      <c r="A50" s="9" t="s">
        <v>56</v>
      </c>
      <c r="B50" s="9"/>
      <c r="C50" s="10">
        <f t="shared" si="1"/>
        <v>0</v>
      </c>
      <c r="D50" s="9"/>
      <c r="E50" s="10">
        <f t="shared" si="16"/>
        <v>0</v>
      </c>
      <c r="F50" s="9"/>
      <c r="G50" s="10">
        <f t="shared" si="3"/>
        <v>0</v>
      </c>
      <c r="H50" s="9"/>
      <c r="I50" s="10">
        <f t="shared" si="4"/>
        <v>0</v>
      </c>
      <c r="J50" s="9"/>
      <c r="K50" s="10">
        <f t="shared" si="21"/>
        <v>0</v>
      </c>
      <c r="L50" s="9"/>
      <c r="M50" s="10">
        <f t="shared" si="17"/>
        <v>0</v>
      </c>
      <c r="N50" s="9"/>
      <c r="O50" s="10">
        <f t="shared" si="7"/>
        <v>0</v>
      </c>
      <c r="P50" s="9"/>
      <c r="Q50" s="10">
        <f t="shared" si="8"/>
        <v>0</v>
      </c>
      <c r="R50" s="9"/>
      <c r="S50" s="10">
        <f t="shared" si="9"/>
        <v>0</v>
      </c>
      <c r="T50" s="9"/>
      <c r="U50" s="10">
        <f t="shared" si="10"/>
        <v>0</v>
      </c>
      <c r="V50" s="9"/>
      <c r="W50" s="10">
        <f t="shared" si="11"/>
        <v>0</v>
      </c>
      <c r="X50" s="9"/>
      <c r="Y50" s="10">
        <f t="shared" si="12"/>
        <v>0</v>
      </c>
      <c r="Z50" s="11">
        <f t="shared" si="19"/>
        <v>0</v>
      </c>
      <c r="AA50" s="10">
        <f t="shared" si="13"/>
        <v>0</v>
      </c>
      <c r="AB50" s="12">
        <f t="shared" si="22"/>
        <v>0</v>
      </c>
      <c r="AC50" s="13">
        <f t="shared" si="18"/>
        <v>0</v>
      </c>
      <c r="AD50" s="5"/>
      <c r="AE50" s="5"/>
    </row>
    <row r="51" spans="1:31" x14ac:dyDescent="0.2">
      <c r="A51" s="9" t="s">
        <v>57</v>
      </c>
      <c r="B51" s="9">
        <v>80</v>
      </c>
      <c r="C51" s="10">
        <f t="shared" si="1"/>
        <v>3.8640928974301657E-4</v>
      </c>
      <c r="D51" s="9">
        <v>80</v>
      </c>
      <c r="E51" s="10">
        <f t="shared" si="16"/>
        <v>4.2915754282201016E-4</v>
      </c>
      <c r="F51" s="9">
        <v>80</v>
      </c>
      <c r="G51" s="10">
        <f t="shared" si="3"/>
        <v>3.2341819395518455E-4</v>
      </c>
      <c r="H51" s="9">
        <v>80</v>
      </c>
      <c r="I51" s="10">
        <f t="shared" si="4"/>
        <v>3.2217347245374527E-4</v>
      </c>
      <c r="J51" s="9">
        <v>80</v>
      </c>
      <c r="K51" s="10">
        <f t="shared" si="21"/>
        <v>3.2535589155871866E-4</v>
      </c>
      <c r="L51" s="9">
        <v>80</v>
      </c>
      <c r="M51" s="10">
        <f t="shared" si="17"/>
        <v>2.9824238307593772E-4</v>
      </c>
      <c r="N51" s="9">
        <v>80</v>
      </c>
      <c r="O51" s="10">
        <f t="shared" si="7"/>
        <v>3.133855467604337E-4</v>
      </c>
      <c r="P51" s="9">
        <v>80</v>
      </c>
      <c r="Q51" s="10">
        <f t="shared" si="8"/>
        <v>2.8505119555103492E-4</v>
      </c>
      <c r="R51" s="9">
        <v>80</v>
      </c>
      <c r="S51" s="10">
        <f t="shared" si="9"/>
        <v>3.1337843893664431E-4</v>
      </c>
      <c r="T51" s="9">
        <v>80</v>
      </c>
      <c r="U51" s="10">
        <f t="shared" si="10"/>
        <v>3.1402606856005544E-4</v>
      </c>
      <c r="V51" s="9">
        <v>80</v>
      </c>
      <c r="W51" s="10">
        <f t="shared" si="11"/>
        <v>2.6837977952936588E-4</v>
      </c>
      <c r="X51" s="9">
        <v>80</v>
      </c>
      <c r="Y51" s="10">
        <f t="shared" si="12"/>
        <v>2.9097564497479608E-4</v>
      </c>
      <c r="Z51" s="11">
        <f t="shared" si="19"/>
        <v>80</v>
      </c>
      <c r="AA51" s="10">
        <f t="shared" si="13"/>
        <v>3.1764640005759457E-4</v>
      </c>
      <c r="AB51" s="12">
        <f t="shared" si="22"/>
        <v>960</v>
      </c>
      <c r="AC51" s="13">
        <f t="shared" si="18"/>
        <v>3.1764640005759457E-4</v>
      </c>
      <c r="AD51" s="5"/>
      <c r="AE51" s="5"/>
    </row>
    <row r="52" spans="1:31" x14ac:dyDescent="0.2">
      <c r="A52" s="9" t="s">
        <v>58</v>
      </c>
      <c r="B52" s="9">
        <v>300</v>
      </c>
      <c r="C52" s="10">
        <f t="shared" si="1"/>
        <v>1.4490348365363123E-3</v>
      </c>
      <c r="D52" s="9">
        <v>300</v>
      </c>
      <c r="E52" s="10">
        <f t="shared" si="16"/>
        <v>1.6093407855825382E-3</v>
      </c>
      <c r="F52" s="9">
        <v>300</v>
      </c>
      <c r="G52" s="10">
        <f t="shared" si="3"/>
        <v>1.2128182273319422E-3</v>
      </c>
      <c r="H52" s="9">
        <v>300</v>
      </c>
      <c r="I52" s="10">
        <f t="shared" si="4"/>
        <v>1.2081505217015447E-3</v>
      </c>
      <c r="J52" s="9">
        <v>300</v>
      </c>
      <c r="K52" s="10">
        <f t="shared" si="21"/>
        <v>1.220084593345195E-3</v>
      </c>
      <c r="L52" s="9">
        <v>300</v>
      </c>
      <c r="M52" s="10">
        <f t="shared" si="17"/>
        <v>1.1184089365347664E-3</v>
      </c>
      <c r="N52" s="9">
        <v>300</v>
      </c>
      <c r="O52" s="10">
        <f t="shared" si="7"/>
        <v>1.1751958003516265E-3</v>
      </c>
      <c r="P52" s="9">
        <v>300</v>
      </c>
      <c r="Q52" s="10">
        <f t="shared" si="8"/>
        <v>1.0689419833163809E-3</v>
      </c>
      <c r="R52" s="9">
        <v>300</v>
      </c>
      <c r="S52" s="10">
        <f t="shared" si="9"/>
        <v>1.1751691460124161E-3</v>
      </c>
      <c r="T52" s="9">
        <v>300</v>
      </c>
      <c r="U52" s="10">
        <f t="shared" si="10"/>
        <v>1.1775977571002079E-3</v>
      </c>
      <c r="V52" s="9">
        <v>300</v>
      </c>
      <c r="W52" s="10">
        <f t="shared" si="11"/>
        <v>1.0064241732351221E-3</v>
      </c>
      <c r="X52" s="9">
        <v>300</v>
      </c>
      <c r="Y52" s="10">
        <f t="shared" si="12"/>
        <v>1.0911586686554852E-3</v>
      </c>
      <c r="Z52" s="11">
        <f t="shared" si="19"/>
        <v>300</v>
      </c>
      <c r="AA52" s="10">
        <f t="shared" si="13"/>
        <v>1.1911740002159797E-3</v>
      </c>
      <c r="AB52" s="12">
        <f t="shared" si="22"/>
        <v>3600</v>
      </c>
      <c r="AC52" s="13">
        <f t="shared" si="18"/>
        <v>1.1911740002159797E-3</v>
      </c>
      <c r="AD52" s="5"/>
      <c r="AE52" s="5"/>
    </row>
    <row r="53" spans="1:31" x14ac:dyDescent="0.2">
      <c r="A53" s="9" t="s">
        <v>59</v>
      </c>
      <c r="B53" s="9"/>
      <c r="C53" s="10">
        <f t="shared" si="1"/>
        <v>0</v>
      </c>
      <c r="D53" s="9"/>
      <c r="E53" s="10">
        <f t="shared" si="16"/>
        <v>0</v>
      </c>
      <c r="F53" s="9"/>
      <c r="G53" s="10">
        <f t="shared" si="3"/>
        <v>0</v>
      </c>
      <c r="H53" s="9"/>
      <c r="I53" s="10">
        <f t="shared" si="4"/>
        <v>0</v>
      </c>
      <c r="J53" s="9"/>
      <c r="K53" s="10">
        <f t="shared" si="21"/>
        <v>0</v>
      </c>
      <c r="L53" s="9"/>
      <c r="M53" s="10">
        <f t="shared" si="17"/>
        <v>0</v>
      </c>
      <c r="N53" s="9"/>
      <c r="O53" s="10">
        <f t="shared" si="7"/>
        <v>0</v>
      </c>
      <c r="P53" s="9"/>
      <c r="Q53" s="10">
        <f t="shared" si="8"/>
        <v>0</v>
      </c>
      <c r="R53" s="9"/>
      <c r="S53" s="10">
        <f t="shared" si="9"/>
        <v>0</v>
      </c>
      <c r="T53" s="9"/>
      <c r="U53" s="10">
        <f t="shared" si="10"/>
        <v>0</v>
      </c>
      <c r="V53" s="9"/>
      <c r="W53" s="10">
        <f t="shared" si="11"/>
        <v>0</v>
      </c>
      <c r="X53" s="9"/>
      <c r="Y53" s="10">
        <f t="shared" si="12"/>
        <v>0</v>
      </c>
      <c r="Z53" s="11">
        <f t="shared" si="19"/>
        <v>0</v>
      </c>
      <c r="AA53" s="10">
        <f t="shared" si="13"/>
        <v>0</v>
      </c>
      <c r="AB53" s="12">
        <f t="shared" si="22"/>
        <v>0</v>
      </c>
      <c r="AC53" s="13">
        <f t="shared" si="18"/>
        <v>0</v>
      </c>
      <c r="AD53" s="5"/>
      <c r="AE53" s="5"/>
    </row>
    <row r="54" spans="1:31" x14ac:dyDescent="0.2">
      <c r="A54" s="9" t="s">
        <v>60</v>
      </c>
      <c r="B54" s="16"/>
      <c r="C54" s="10">
        <f t="shared" si="1"/>
        <v>0</v>
      </c>
      <c r="D54" s="16"/>
      <c r="E54" s="10">
        <f t="shared" si="16"/>
        <v>0</v>
      </c>
      <c r="F54" s="16"/>
      <c r="G54" s="10">
        <f t="shared" si="3"/>
        <v>0</v>
      </c>
      <c r="H54" s="16"/>
      <c r="I54" s="10">
        <f t="shared" si="4"/>
        <v>0</v>
      </c>
      <c r="J54" s="16"/>
      <c r="K54" s="10">
        <f t="shared" si="21"/>
        <v>0</v>
      </c>
      <c r="L54" s="16"/>
      <c r="M54" s="10">
        <f t="shared" si="17"/>
        <v>0</v>
      </c>
      <c r="N54" s="16"/>
      <c r="O54" s="10">
        <f t="shared" si="7"/>
        <v>0</v>
      </c>
      <c r="P54" s="16"/>
      <c r="Q54" s="10">
        <f t="shared" si="8"/>
        <v>0</v>
      </c>
      <c r="R54" s="16"/>
      <c r="S54" s="10">
        <f t="shared" si="9"/>
        <v>0</v>
      </c>
      <c r="T54" s="16"/>
      <c r="U54" s="10">
        <f t="shared" si="10"/>
        <v>0</v>
      </c>
      <c r="V54" s="16"/>
      <c r="W54" s="10">
        <f t="shared" si="11"/>
        <v>0</v>
      </c>
      <c r="X54" s="16"/>
      <c r="Y54" s="10">
        <f t="shared" si="12"/>
        <v>0</v>
      </c>
      <c r="Z54" s="11">
        <f t="shared" si="19"/>
        <v>0</v>
      </c>
      <c r="AA54" s="10">
        <f t="shared" si="13"/>
        <v>0</v>
      </c>
      <c r="AB54" s="12">
        <f t="shared" si="22"/>
        <v>0</v>
      </c>
      <c r="AC54" s="13">
        <f t="shared" si="18"/>
        <v>0</v>
      </c>
      <c r="AD54" s="5"/>
      <c r="AE54" s="5"/>
    </row>
    <row r="55" spans="1:31" x14ac:dyDescent="0.2">
      <c r="A55" s="5" t="s">
        <v>61</v>
      </c>
      <c r="B55" s="16"/>
      <c r="C55" s="10">
        <f t="shared" si="1"/>
        <v>0</v>
      </c>
      <c r="D55" s="16"/>
      <c r="E55" s="10">
        <f t="shared" si="16"/>
        <v>0</v>
      </c>
      <c r="F55" s="16"/>
      <c r="G55" s="10">
        <f t="shared" si="3"/>
        <v>0</v>
      </c>
      <c r="H55" s="16"/>
      <c r="I55" s="10">
        <f t="shared" si="4"/>
        <v>0</v>
      </c>
      <c r="J55" s="16"/>
      <c r="K55" s="10">
        <f t="shared" si="21"/>
        <v>0</v>
      </c>
      <c r="L55" s="16"/>
      <c r="M55" s="10">
        <f t="shared" si="17"/>
        <v>0</v>
      </c>
      <c r="N55" s="16"/>
      <c r="O55" s="10">
        <f t="shared" si="7"/>
        <v>0</v>
      </c>
      <c r="P55" s="16"/>
      <c r="Q55" s="10">
        <f t="shared" si="8"/>
        <v>0</v>
      </c>
      <c r="R55" s="16"/>
      <c r="S55" s="10">
        <f t="shared" si="9"/>
        <v>0</v>
      </c>
      <c r="T55" s="16"/>
      <c r="U55" s="10">
        <f t="shared" si="10"/>
        <v>0</v>
      </c>
      <c r="V55" s="16"/>
      <c r="W55" s="10">
        <f t="shared" si="11"/>
        <v>0</v>
      </c>
      <c r="X55" s="16"/>
      <c r="Y55" s="10">
        <f t="shared" si="12"/>
        <v>0</v>
      </c>
      <c r="Z55" s="11">
        <f t="shared" si="19"/>
        <v>0</v>
      </c>
      <c r="AA55" s="10">
        <f t="shared" si="13"/>
        <v>0</v>
      </c>
      <c r="AB55" s="12">
        <f t="shared" si="22"/>
        <v>0</v>
      </c>
      <c r="AC55" s="13">
        <f t="shared" si="18"/>
        <v>0</v>
      </c>
      <c r="AD55" s="5"/>
      <c r="AE55" s="5"/>
    </row>
    <row r="56" spans="1:31" x14ac:dyDescent="0.2">
      <c r="A56" s="16" t="s">
        <v>62</v>
      </c>
      <c r="B56" s="9"/>
      <c r="C56" s="10">
        <f t="shared" si="1"/>
        <v>0</v>
      </c>
      <c r="D56" s="9"/>
      <c r="E56" s="10">
        <f t="shared" si="16"/>
        <v>0</v>
      </c>
      <c r="F56" s="9"/>
      <c r="G56" s="10">
        <f t="shared" si="3"/>
        <v>0</v>
      </c>
      <c r="H56" s="9"/>
      <c r="I56" s="10">
        <f t="shared" si="4"/>
        <v>0</v>
      </c>
      <c r="J56" s="9">
        <v>1000</v>
      </c>
      <c r="K56" s="10">
        <f t="shared" si="21"/>
        <v>4.0669486444839835E-3</v>
      </c>
      <c r="L56" s="9"/>
      <c r="M56" s="10">
        <f t="shared" si="17"/>
        <v>0</v>
      </c>
      <c r="N56" s="9">
        <v>1000</v>
      </c>
      <c r="O56" s="10">
        <f t="shared" si="7"/>
        <v>3.9173193345054215E-3</v>
      </c>
      <c r="P56" s="9"/>
      <c r="Q56" s="10">
        <f t="shared" si="8"/>
        <v>0</v>
      </c>
      <c r="R56" s="9">
        <v>1000</v>
      </c>
      <c r="S56" s="10">
        <f t="shared" si="9"/>
        <v>3.9172304867080539E-3</v>
      </c>
      <c r="T56" s="9"/>
      <c r="U56" s="10">
        <f t="shared" si="10"/>
        <v>0</v>
      </c>
      <c r="V56" s="9">
        <v>1000</v>
      </c>
      <c r="W56" s="10">
        <f t="shared" si="11"/>
        <v>3.3547472441170733E-3</v>
      </c>
      <c r="X56" s="9"/>
      <c r="Y56" s="10">
        <f t="shared" si="12"/>
        <v>0</v>
      </c>
      <c r="Z56" s="11">
        <f t="shared" si="19"/>
        <v>333.33333333333331</v>
      </c>
      <c r="AA56" s="10">
        <f t="shared" si="13"/>
        <v>1.3235266669066441E-3</v>
      </c>
      <c r="AB56" s="12">
        <f t="shared" si="22"/>
        <v>4000</v>
      </c>
      <c r="AC56" s="13">
        <f t="shared" si="18"/>
        <v>1.3235266669066441E-3</v>
      </c>
      <c r="AD56" s="5"/>
      <c r="AE56" s="5"/>
    </row>
    <row r="57" spans="1:31" x14ac:dyDescent="0.2">
      <c r="A57" s="9" t="s">
        <v>63</v>
      </c>
      <c r="B57" s="9">
        <v>2500</v>
      </c>
      <c r="C57" s="10">
        <f t="shared" si="1"/>
        <v>1.2075290304469268E-2</v>
      </c>
      <c r="D57" s="9">
        <v>2500</v>
      </c>
      <c r="E57" s="10">
        <f t="shared" si="16"/>
        <v>1.3411173213187817E-2</v>
      </c>
      <c r="F57" s="9">
        <v>2500</v>
      </c>
      <c r="G57" s="10">
        <f t="shared" si="3"/>
        <v>1.0106818561099518E-2</v>
      </c>
      <c r="H57" s="9">
        <v>2500</v>
      </c>
      <c r="I57" s="10">
        <f t="shared" si="4"/>
        <v>1.006792101417954E-2</v>
      </c>
      <c r="J57" s="9">
        <v>2500</v>
      </c>
      <c r="K57" s="10">
        <f t="shared" si="21"/>
        <v>1.0167371611209959E-2</v>
      </c>
      <c r="L57" s="9">
        <v>2500</v>
      </c>
      <c r="M57" s="10">
        <f t="shared" si="17"/>
        <v>9.3200744711230531E-3</v>
      </c>
      <c r="N57" s="9">
        <v>2500</v>
      </c>
      <c r="O57" s="10">
        <f t="shared" si="7"/>
        <v>9.7932983362635541E-3</v>
      </c>
      <c r="P57" s="9">
        <v>2500</v>
      </c>
      <c r="Q57" s="10">
        <f t="shared" si="8"/>
        <v>8.9078498609698412E-3</v>
      </c>
      <c r="R57" s="9">
        <v>2500</v>
      </c>
      <c r="S57" s="10">
        <f t="shared" si="9"/>
        <v>9.7930762167701343E-3</v>
      </c>
      <c r="T57" s="9">
        <v>2500</v>
      </c>
      <c r="U57" s="10">
        <f t="shared" si="10"/>
        <v>9.8133146425017324E-3</v>
      </c>
      <c r="V57" s="9">
        <v>2500</v>
      </c>
      <c r="W57" s="10">
        <f t="shared" si="11"/>
        <v>8.3868681102926834E-3</v>
      </c>
      <c r="X57" s="9">
        <v>2500</v>
      </c>
      <c r="Y57" s="10">
        <f t="shared" si="12"/>
        <v>9.0929889054623767E-3</v>
      </c>
      <c r="Z57" s="11">
        <f t="shared" si="19"/>
        <v>2500</v>
      </c>
      <c r="AA57" s="10">
        <f t="shared" si="13"/>
        <v>9.926450001799831E-3</v>
      </c>
      <c r="AB57" s="12">
        <f t="shared" si="22"/>
        <v>30000</v>
      </c>
      <c r="AC57" s="13">
        <f t="shared" si="18"/>
        <v>9.9264500017998292E-3</v>
      </c>
      <c r="AD57" s="5"/>
      <c r="AE57" s="5"/>
    </row>
    <row r="58" spans="1:31" x14ac:dyDescent="0.2">
      <c r="A58" s="9" t="s">
        <v>136</v>
      </c>
      <c r="B58" s="9">
        <v>1200</v>
      </c>
      <c r="C58" s="10">
        <f t="shared" si="1"/>
        <v>5.7961393461452492E-3</v>
      </c>
      <c r="D58" s="9">
        <v>1200</v>
      </c>
      <c r="E58" s="10">
        <f t="shared" si="16"/>
        <v>6.4373631423301526E-3</v>
      </c>
      <c r="F58" s="9">
        <v>1200</v>
      </c>
      <c r="G58" s="10">
        <f t="shared" si="3"/>
        <v>4.8512729093277687E-3</v>
      </c>
      <c r="H58" s="9">
        <v>1200</v>
      </c>
      <c r="I58" s="10">
        <f t="shared" si="4"/>
        <v>4.8326020868061786E-3</v>
      </c>
      <c r="J58" s="9">
        <v>1200</v>
      </c>
      <c r="K58" s="10">
        <f t="shared" si="21"/>
        <v>4.88033837338078E-3</v>
      </c>
      <c r="L58" s="9">
        <v>1200</v>
      </c>
      <c r="M58" s="10">
        <f t="shared" si="17"/>
        <v>4.4736357461390656E-3</v>
      </c>
      <c r="N58" s="9">
        <v>1200</v>
      </c>
      <c r="O58" s="10">
        <f t="shared" si="7"/>
        <v>4.7007832014065061E-3</v>
      </c>
      <c r="P58" s="9">
        <v>1200</v>
      </c>
      <c r="Q58" s="10">
        <f t="shared" si="8"/>
        <v>4.2757679332655237E-3</v>
      </c>
      <c r="R58" s="9">
        <v>1200</v>
      </c>
      <c r="S58" s="10">
        <f t="shared" si="9"/>
        <v>4.7006765840496645E-3</v>
      </c>
      <c r="T58" s="9">
        <v>1200</v>
      </c>
      <c r="U58" s="10">
        <f t="shared" si="10"/>
        <v>4.7103910284008316E-3</v>
      </c>
      <c r="V58" s="9">
        <v>1200</v>
      </c>
      <c r="W58" s="10">
        <f t="shared" si="11"/>
        <v>4.0256966929404885E-3</v>
      </c>
      <c r="X58" s="9">
        <v>1200</v>
      </c>
      <c r="Y58" s="10">
        <f t="shared" si="12"/>
        <v>4.3646346746219408E-3</v>
      </c>
      <c r="Z58" s="11">
        <f t="shared" si="19"/>
        <v>1200</v>
      </c>
      <c r="AA58" s="10">
        <f t="shared" si="13"/>
        <v>4.7646960008639189E-3</v>
      </c>
      <c r="AB58" s="12">
        <f t="shared" si="22"/>
        <v>14400</v>
      </c>
      <c r="AC58" s="19">
        <f t="shared" si="18"/>
        <v>4.7646960008639189E-3</v>
      </c>
      <c r="AD58" s="5"/>
      <c r="AE58" s="5"/>
    </row>
    <row r="59" spans="1:31" x14ac:dyDescent="0.2">
      <c r="A59" s="9" t="s">
        <v>137</v>
      </c>
      <c r="B59" s="9">
        <v>550</v>
      </c>
      <c r="C59" s="10"/>
      <c r="D59" s="9">
        <v>200</v>
      </c>
      <c r="E59" s="10"/>
      <c r="F59" s="9">
        <v>2000</v>
      </c>
      <c r="G59" s="10"/>
      <c r="H59" s="9">
        <v>800</v>
      </c>
      <c r="I59" s="10"/>
      <c r="J59" s="9">
        <v>1140</v>
      </c>
      <c r="K59" s="10">
        <f t="shared" si="21"/>
        <v>4.636321454711741E-3</v>
      </c>
      <c r="L59" s="9">
        <v>1400</v>
      </c>
      <c r="M59" s="10"/>
      <c r="N59" s="9">
        <v>1000</v>
      </c>
      <c r="O59" s="10">
        <f t="shared" si="7"/>
        <v>3.9173193345054215E-3</v>
      </c>
      <c r="P59" s="9">
        <v>1800</v>
      </c>
      <c r="Q59" s="10">
        <f t="shared" si="8"/>
        <v>6.4136518998982863E-3</v>
      </c>
      <c r="R59" s="9">
        <v>800</v>
      </c>
      <c r="S59" s="10">
        <f t="shared" si="9"/>
        <v>3.1337843893664429E-3</v>
      </c>
      <c r="T59" s="9">
        <v>1500</v>
      </c>
      <c r="U59" s="10"/>
      <c r="V59" s="9">
        <v>1050</v>
      </c>
      <c r="W59" s="10">
        <f t="shared" si="11"/>
        <v>3.522484606322927E-3</v>
      </c>
      <c r="X59" s="9">
        <v>1800</v>
      </c>
      <c r="Y59" s="10"/>
      <c r="Z59" s="11">
        <f t="shared" si="19"/>
        <v>1170</v>
      </c>
      <c r="AA59" s="10"/>
      <c r="AB59" s="12">
        <f>L59+N59+P59+R59+T59+V59+X59+J59+H59+F59+D59+B59</f>
        <v>14040</v>
      </c>
      <c r="AC59" s="13"/>
      <c r="AD59" s="5"/>
      <c r="AE59" s="5"/>
    </row>
    <row r="60" spans="1:31" x14ac:dyDescent="0.2">
      <c r="A60" s="9" t="s">
        <v>64</v>
      </c>
      <c r="B60" s="9">
        <v>2210</v>
      </c>
      <c r="C60" s="10">
        <f t="shared" si="1"/>
        <v>1.0674556629150834E-2</v>
      </c>
      <c r="D60" s="9">
        <v>2210</v>
      </c>
      <c r="E60" s="10">
        <f t="shared" si="16"/>
        <v>1.185547712045803E-2</v>
      </c>
      <c r="F60" s="9">
        <v>2210</v>
      </c>
      <c r="G60" s="10">
        <f t="shared" si="3"/>
        <v>8.9344276080119741E-3</v>
      </c>
      <c r="H60" s="9">
        <v>1920</v>
      </c>
      <c r="I60" s="10">
        <f t="shared" si="4"/>
        <v>7.732163338889886E-3</v>
      </c>
      <c r="J60" s="9">
        <v>1920</v>
      </c>
      <c r="K60" s="10">
        <f t="shared" si="21"/>
        <v>7.8085413974092483E-3</v>
      </c>
      <c r="L60" s="9">
        <v>1920</v>
      </c>
      <c r="M60" s="10">
        <f t="shared" si="17"/>
        <v>7.1578171938225053E-3</v>
      </c>
      <c r="N60" s="9">
        <v>1500</v>
      </c>
      <c r="O60" s="10">
        <f t="shared" si="7"/>
        <v>5.8759790017581326E-3</v>
      </c>
      <c r="P60" s="9">
        <v>1500</v>
      </c>
      <c r="Q60" s="10">
        <f t="shared" si="8"/>
        <v>5.3447099165819054E-3</v>
      </c>
      <c r="R60" s="9">
        <v>1500</v>
      </c>
      <c r="S60" s="10">
        <f t="shared" si="9"/>
        <v>5.8758457300620804E-3</v>
      </c>
      <c r="T60" s="9">
        <v>1500</v>
      </c>
      <c r="U60" s="10">
        <f t="shared" si="10"/>
        <v>5.8879887855010395E-3</v>
      </c>
      <c r="V60" s="9">
        <v>1500</v>
      </c>
      <c r="W60" s="10">
        <f t="shared" si="11"/>
        <v>5.0321208661756106E-3</v>
      </c>
      <c r="X60" s="9">
        <v>1500</v>
      </c>
      <c r="Y60" s="10">
        <f t="shared" si="12"/>
        <v>5.455793343277426E-3</v>
      </c>
      <c r="Z60" s="11">
        <f t="shared" si="19"/>
        <v>1782.5</v>
      </c>
      <c r="AA60" s="10">
        <f t="shared" si="13"/>
        <v>7.0775588512832794E-3</v>
      </c>
      <c r="AB60" s="12">
        <f t="shared" si="22"/>
        <v>21390</v>
      </c>
      <c r="AC60" s="13">
        <f t="shared" si="18"/>
        <v>7.0775588512832785E-3</v>
      </c>
      <c r="AD60" s="5"/>
      <c r="AE60" s="5"/>
    </row>
    <row r="61" spans="1:31" x14ac:dyDescent="0.2">
      <c r="A61" s="88" t="s">
        <v>65</v>
      </c>
      <c r="B61" s="89">
        <f>SUM(B62:B71)</f>
        <v>4479.83</v>
      </c>
      <c r="C61" s="6">
        <f t="shared" si="1"/>
        <v>2.1638099105868225E-2</v>
      </c>
      <c r="D61" s="89">
        <f>SUM(D62:D71)</f>
        <v>4479.83</v>
      </c>
      <c r="E61" s="6">
        <f t="shared" si="16"/>
        <v>2.4031910438254072E-2</v>
      </c>
      <c r="F61" s="89">
        <f>SUM(F62:F71)</f>
        <v>4479.83</v>
      </c>
      <c r="G61" s="6">
        <f t="shared" si="3"/>
        <v>1.8110731597828181E-2</v>
      </c>
      <c r="H61" s="89">
        <f>SUM(H62:H71)</f>
        <v>4479.83</v>
      </c>
      <c r="I61" s="6">
        <f t="shared" si="4"/>
        <v>1.8041029838780771E-2</v>
      </c>
      <c r="J61" s="89">
        <f>SUM(J62:J71)</f>
        <v>7479.83</v>
      </c>
      <c r="K61" s="6">
        <f t="shared" si="21"/>
        <v>3.0420084479470633E-2</v>
      </c>
      <c r="L61" s="89">
        <f>SUM(L62:L71)</f>
        <v>4479.83</v>
      </c>
      <c r="M61" s="6">
        <f t="shared" si="17"/>
        <v>1.6700939687188474E-2</v>
      </c>
      <c r="N61" s="89">
        <f>SUM(N62:N71)</f>
        <v>4479.83</v>
      </c>
      <c r="O61" s="6">
        <f t="shared" si="7"/>
        <v>1.7548924674297424E-2</v>
      </c>
      <c r="P61" s="89">
        <f>SUM(P62:P71)</f>
        <v>4479.83</v>
      </c>
      <c r="Q61" s="6">
        <f t="shared" si="8"/>
        <v>1.5962261217067411E-2</v>
      </c>
      <c r="R61" s="89">
        <f>SUM(R62:R71)</f>
        <v>6479.83</v>
      </c>
      <c r="S61" s="6">
        <f t="shared" si="9"/>
        <v>2.5382987624685448E-2</v>
      </c>
      <c r="T61" s="89">
        <f>SUM(T62:T71)</f>
        <v>4479.83</v>
      </c>
      <c r="U61" s="6">
        <f t="shared" si="10"/>
        <v>1.7584792533967414E-2</v>
      </c>
      <c r="V61" s="89">
        <f>SUM(V62:V71)</f>
        <v>4479.83</v>
      </c>
      <c r="W61" s="6">
        <f t="shared" si="11"/>
        <v>1.5028697346612989E-2</v>
      </c>
      <c r="X61" s="89">
        <f>SUM(X62:X71)</f>
        <v>14479.83</v>
      </c>
      <c r="Y61" s="6">
        <f t="shared" si="12"/>
        <v>5.2665973417192521E-2</v>
      </c>
      <c r="Z61" s="113">
        <f t="shared" si="19"/>
        <v>5729.8300000000008</v>
      </c>
      <c r="AA61" s="64">
        <f t="shared" si="13"/>
        <v>2.2750748405525094E-2</v>
      </c>
      <c r="AB61" s="89">
        <f>SUM(AB62:AB71)</f>
        <v>68757.960000000021</v>
      </c>
      <c r="AC61" s="114">
        <f>AB61/AB$3</f>
        <v>2.2750748405525094E-2</v>
      </c>
      <c r="AD61" s="5"/>
      <c r="AE61" s="5"/>
    </row>
    <row r="62" spans="1:31" x14ac:dyDescent="0.2">
      <c r="A62" s="9" t="s">
        <v>66</v>
      </c>
      <c r="B62" s="9"/>
      <c r="C62" s="10">
        <f t="shared" si="1"/>
        <v>0</v>
      </c>
      <c r="D62" s="9"/>
      <c r="E62" s="10">
        <f t="shared" si="16"/>
        <v>0</v>
      </c>
      <c r="F62" s="9"/>
      <c r="G62" s="10">
        <f t="shared" si="3"/>
        <v>0</v>
      </c>
      <c r="H62" s="9"/>
      <c r="I62" s="10">
        <f t="shared" si="4"/>
        <v>0</v>
      </c>
      <c r="J62" s="9"/>
      <c r="K62" s="10">
        <f t="shared" si="21"/>
        <v>0</v>
      </c>
      <c r="L62" s="9"/>
      <c r="M62" s="10">
        <f t="shared" si="17"/>
        <v>0</v>
      </c>
      <c r="N62" s="9"/>
      <c r="O62" s="10">
        <f t="shared" si="7"/>
        <v>0</v>
      </c>
      <c r="P62" s="9"/>
      <c r="Q62" s="10">
        <f t="shared" si="8"/>
        <v>0</v>
      </c>
      <c r="R62" s="9"/>
      <c r="S62" s="10">
        <f t="shared" si="9"/>
        <v>0</v>
      </c>
      <c r="T62" s="9"/>
      <c r="U62" s="10">
        <f t="shared" si="10"/>
        <v>0</v>
      </c>
      <c r="V62" s="9"/>
      <c r="W62" s="10">
        <f t="shared" si="11"/>
        <v>0</v>
      </c>
      <c r="X62" s="9"/>
      <c r="Y62" s="10">
        <f t="shared" si="12"/>
        <v>0</v>
      </c>
      <c r="Z62" s="11">
        <f t="shared" si="19"/>
        <v>0</v>
      </c>
      <c r="AA62" s="10">
        <f t="shared" si="13"/>
        <v>0</v>
      </c>
      <c r="AB62" s="12">
        <f t="shared" ref="AB62:AB71" si="23">L62+N62+P62+R62+T62+V62+X62+J62+H62+F62+D62+B62</f>
        <v>0</v>
      </c>
      <c r="AC62" s="19">
        <f t="shared" si="18"/>
        <v>0</v>
      </c>
      <c r="AD62" s="5"/>
      <c r="AE62" s="20"/>
    </row>
    <row r="63" spans="1:31" x14ac:dyDescent="0.2">
      <c r="A63" s="9" t="s">
        <v>67</v>
      </c>
      <c r="B63" s="9">
        <v>20</v>
      </c>
      <c r="C63" s="10">
        <f t="shared" si="1"/>
        <v>9.6602322435754143E-5</v>
      </c>
      <c r="D63" s="9">
        <v>20</v>
      </c>
      <c r="E63" s="10">
        <f t="shared" si="16"/>
        <v>1.0728938570550254E-4</v>
      </c>
      <c r="F63" s="9">
        <v>20</v>
      </c>
      <c r="G63" s="10">
        <f t="shared" si="3"/>
        <v>8.0854548488796138E-5</v>
      </c>
      <c r="H63" s="9">
        <v>20</v>
      </c>
      <c r="I63" s="10">
        <f t="shared" si="4"/>
        <v>8.0543368113436317E-5</v>
      </c>
      <c r="J63" s="9">
        <v>20</v>
      </c>
      <c r="K63" s="10">
        <f t="shared" si="21"/>
        <v>8.1338972889679665E-5</v>
      </c>
      <c r="L63" s="9">
        <v>20</v>
      </c>
      <c r="M63" s="10">
        <f t="shared" si="17"/>
        <v>7.456059576898443E-5</v>
      </c>
      <c r="N63" s="9">
        <v>20</v>
      </c>
      <c r="O63" s="10">
        <f t="shared" si="7"/>
        <v>7.8346386690108426E-5</v>
      </c>
      <c r="P63" s="9">
        <v>20</v>
      </c>
      <c r="Q63" s="10">
        <f t="shared" si="8"/>
        <v>7.1262798887758731E-5</v>
      </c>
      <c r="R63" s="9">
        <v>20</v>
      </c>
      <c r="S63" s="10">
        <f t="shared" si="9"/>
        <v>7.8344609734161077E-5</v>
      </c>
      <c r="T63" s="9">
        <v>20</v>
      </c>
      <c r="U63" s="10">
        <f t="shared" si="10"/>
        <v>7.850651714001386E-5</v>
      </c>
      <c r="V63" s="9">
        <v>20</v>
      </c>
      <c r="W63" s="10">
        <f t="shared" si="11"/>
        <v>6.7094944882341469E-5</v>
      </c>
      <c r="X63" s="9">
        <v>20</v>
      </c>
      <c r="Y63" s="10">
        <f t="shared" si="12"/>
        <v>7.2743911243699019E-5</v>
      </c>
      <c r="Z63" s="11">
        <f t="shared" si="19"/>
        <v>20</v>
      </c>
      <c r="AA63" s="10">
        <f t="shared" si="13"/>
        <v>7.9411600014398642E-5</v>
      </c>
      <c r="AB63" s="12">
        <f t="shared" si="23"/>
        <v>240</v>
      </c>
      <c r="AC63" s="19">
        <f t="shared" si="18"/>
        <v>7.9411600014398642E-5</v>
      </c>
      <c r="AD63" s="5"/>
      <c r="AE63" s="20"/>
    </row>
    <row r="64" spans="1:31" x14ac:dyDescent="0.2">
      <c r="A64" s="9" t="s">
        <v>68</v>
      </c>
      <c r="B64" s="9"/>
      <c r="C64" s="10">
        <f t="shared" si="1"/>
        <v>0</v>
      </c>
      <c r="D64" s="9"/>
      <c r="E64" s="10">
        <f t="shared" si="16"/>
        <v>0</v>
      </c>
      <c r="F64" s="9"/>
      <c r="G64" s="10">
        <f t="shared" si="3"/>
        <v>0</v>
      </c>
      <c r="H64" s="9"/>
      <c r="I64" s="10">
        <f t="shared" si="4"/>
        <v>0</v>
      </c>
      <c r="J64" s="9"/>
      <c r="K64" s="10">
        <f t="shared" si="21"/>
        <v>0</v>
      </c>
      <c r="L64" s="9"/>
      <c r="M64" s="10">
        <f t="shared" si="17"/>
        <v>0</v>
      </c>
      <c r="N64" s="9"/>
      <c r="O64" s="10">
        <f t="shared" si="7"/>
        <v>0</v>
      </c>
      <c r="P64" s="9"/>
      <c r="Q64" s="10">
        <f t="shared" si="8"/>
        <v>0</v>
      </c>
      <c r="R64" s="9"/>
      <c r="S64" s="10">
        <f t="shared" si="9"/>
        <v>0</v>
      </c>
      <c r="T64" s="9"/>
      <c r="U64" s="10">
        <f t="shared" si="10"/>
        <v>0</v>
      </c>
      <c r="V64" s="9"/>
      <c r="W64" s="10">
        <f t="shared" si="11"/>
        <v>0</v>
      </c>
      <c r="X64" s="9"/>
      <c r="Y64" s="10">
        <f t="shared" si="12"/>
        <v>0</v>
      </c>
      <c r="Z64" s="11">
        <f t="shared" si="19"/>
        <v>0</v>
      </c>
      <c r="AA64" s="10">
        <f t="shared" si="13"/>
        <v>0</v>
      </c>
      <c r="AB64" s="12">
        <f t="shared" si="23"/>
        <v>0</v>
      </c>
      <c r="AC64" s="19">
        <f t="shared" si="18"/>
        <v>0</v>
      </c>
      <c r="AD64" s="5"/>
      <c r="AE64" s="5"/>
    </row>
    <row r="65" spans="1:31" x14ac:dyDescent="0.2">
      <c r="A65" s="9" t="s">
        <v>69</v>
      </c>
      <c r="B65" s="9"/>
      <c r="C65" s="10">
        <f t="shared" si="1"/>
        <v>0</v>
      </c>
      <c r="D65" s="9"/>
      <c r="E65" s="10">
        <f t="shared" si="16"/>
        <v>0</v>
      </c>
      <c r="F65" s="9"/>
      <c r="G65" s="10">
        <f t="shared" si="3"/>
        <v>0</v>
      </c>
      <c r="H65" s="9"/>
      <c r="I65" s="10">
        <f t="shared" si="4"/>
        <v>0</v>
      </c>
      <c r="J65" s="9">
        <v>3000</v>
      </c>
      <c r="K65" s="10">
        <f t="shared" si="21"/>
        <v>1.220084593345195E-2</v>
      </c>
      <c r="L65" s="9"/>
      <c r="M65" s="10">
        <f t="shared" si="17"/>
        <v>0</v>
      </c>
      <c r="N65" s="9"/>
      <c r="O65" s="10">
        <f t="shared" si="7"/>
        <v>0</v>
      </c>
      <c r="P65" s="9"/>
      <c r="Q65" s="10">
        <f t="shared" si="8"/>
        <v>0</v>
      </c>
      <c r="R65" s="9"/>
      <c r="S65" s="10">
        <f t="shared" si="9"/>
        <v>0</v>
      </c>
      <c r="T65" s="9"/>
      <c r="U65" s="10">
        <f t="shared" si="10"/>
        <v>0</v>
      </c>
      <c r="V65" s="9"/>
      <c r="W65" s="10">
        <f t="shared" si="11"/>
        <v>0</v>
      </c>
      <c r="X65" s="9">
        <v>10000</v>
      </c>
      <c r="Y65" s="10">
        <f t="shared" si="12"/>
        <v>3.6371955621849507E-2</v>
      </c>
      <c r="Z65" s="11">
        <f t="shared" si="19"/>
        <v>1083.3333333333333</v>
      </c>
      <c r="AA65" s="10">
        <f t="shared" si="13"/>
        <v>4.3014616674465931E-3</v>
      </c>
      <c r="AB65" s="12">
        <f t="shared" si="23"/>
        <v>13000</v>
      </c>
      <c r="AC65" s="19">
        <f t="shared" si="18"/>
        <v>4.3014616674465931E-3</v>
      </c>
      <c r="AD65" s="5"/>
      <c r="AE65" s="5"/>
    </row>
    <row r="66" spans="1:31" x14ac:dyDescent="0.2">
      <c r="A66" s="9" t="s">
        <v>70</v>
      </c>
      <c r="B66" s="9"/>
      <c r="C66" s="10">
        <f t="shared" si="1"/>
        <v>0</v>
      </c>
      <c r="D66" s="9"/>
      <c r="E66" s="10">
        <f t="shared" si="16"/>
        <v>0</v>
      </c>
      <c r="F66" s="9"/>
      <c r="G66" s="10">
        <f t="shared" si="3"/>
        <v>0</v>
      </c>
      <c r="H66" s="9"/>
      <c r="I66" s="10">
        <f t="shared" si="4"/>
        <v>0</v>
      </c>
      <c r="J66" s="9"/>
      <c r="K66" s="10">
        <f t="shared" si="21"/>
        <v>0</v>
      </c>
      <c r="L66" s="9"/>
      <c r="M66" s="10">
        <f t="shared" si="17"/>
        <v>0</v>
      </c>
      <c r="N66" s="9"/>
      <c r="O66" s="10">
        <f t="shared" si="7"/>
        <v>0</v>
      </c>
      <c r="P66" s="9"/>
      <c r="Q66" s="10">
        <f t="shared" si="8"/>
        <v>0</v>
      </c>
      <c r="R66" s="9">
        <v>2000</v>
      </c>
      <c r="S66" s="10">
        <f t="shared" si="9"/>
        <v>7.8344609734161078E-3</v>
      </c>
      <c r="T66" s="9"/>
      <c r="U66" s="10">
        <f t="shared" si="10"/>
        <v>0</v>
      </c>
      <c r="V66" s="9"/>
      <c r="W66" s="10">
        <f t="shared" si="11"/>
        <v>0</v>
      </c>
      <c r="X66" s="9"/>
      <c r="Y66" s="10">
        <f t="shared" si="12"/>
        <v>0</v>
      </c>
      <c r="Z66" s="11">
        <f t="shared" si="19"/>
        <v>166.66666666666666</v>
      </c>
      <c r="AA66" s="10">
        <f t="shared" si="13"/>
        <v>6.6176333345332203E-4</v>
      </c>
      <c r="AB66" s="12">
        <f t="shared" si="23"/>
        <v>2000</v>
      </c>
      <c r="AC66" s="19">
        <f t="shared" si="18"/>
        <v>6.6176333345332203E-4</v>
      </c>
      <c r="AD66" s="5"/>
      <c r="AE66" s="5"/>
    </row>
    <row r="67" spans="1:31" x14ac:dyDescent="0.2">
      <c r="A67" s="9" t="s">
        <v>71</v>
      </c>
      <c r="B67" s="9"/>
      <c r="C67" s="10">
        <f t="shared" ref="C67:C71" si="24">B67/B$2</f>
        <v>0</v>
      </c>
      <c r="D67" s="9"/>
      <c r="E67" s="10">
        <f t="shared" si="16"/>
        <v>0</v>
      </c>
      <c r="F67" s="9"/>
      <c r="G67" s="10">
        <f t="shared" ref="G67:G71" si="25">F67/F$2</f>
        <v>0</v>
      </c>
      <c r="H67" s="9"/>
      <c r="I67" s="10">
        <f t="shared" ref="I67:I72" si="26">H67/H$2</f>
        <v>0</v>
      </c>
      <c r="J67" s="9"/>
      <c r="K67" s="10">
        <f t="shared" si="21"/>
        <v>0</v>
      </c>
      <c r="L67" s="9"/>
      <c r="M67" s="10">
        <f t="shared" si="17"/>
        <v>0</v>
      </c>
      <c r="N67" s="9"/>
      <c r="O67" s="10">
        <f t="shared" ref="O67:O71" si="27">N67/N$2</f>
        <v>0</v>
      </c>
      <c r="P67" s="9"/>
      <c r="Q67" s="10">
        <f t="shared" ref="Q67:Q71" si="28">P67/P$2</f>
        <v>0</v>
      </c>
      <c r="R67" s="9"/>
      <c r="S67" s="10">
        <f t="shared" ref="S67:S71" si="29">R67/R$2</f>
        <v>0</v>
      </c>
      <c r="T67" s="9"/>
      <c r="U67" s="10">
        <f t="shared" ref="U67:U71" si="30">T67/T$2</f>
        <v>0</v>
      </c>
      <c r="V67" s="9"/>
      <c r="W67" s="10">
        <f t="shared" ref="W67:W71" si="31">V67/V$2</f>
        <v>0</v>
      </c>
      <c r="X67" s="9"/>
      <c r="Y67" s="10">
        <f t="shared" ref="Y67:Y71" si="32">X67/X$2</f>
        <v>0</v>
      </c>
      <c r="Z67" s="11">
        <f t="shared" si="19"/>
        <v>0</v>
      </c>
      <c r="AA67" s="10">
        <f t="shared" si="13"/>
        <v>0</v>
      </c>
      <c r="AB67" s="12">
        <f t="shared" si="23"/>
        <v>0</v>
      </c>
      <c r="AC67" s="19">
        <f t="shared" si="18"/>
        <v>0</v>
      </c>
      <c r="AD67" s="5"/>
      <c r="AE67" s="5"/>
    </row>
    <row r="68" spans="1:31" x14ac:dyDescent="0.2">
      <c r="A68" s="9" t="s">
        <v>72</v>
      </c>
      <c r="B68" s="9"/>
      <c r="C68" s="10">
        <f t="shared" si="24"/>
        <v>0</v>
      </c>
      <c r="D68" s="9"/>
      <c r="E68" s="10">
        <f t="shared" si="16"/>
        <v>0</v>
      </c>
      <c r="F68" s="9"/>
      <c r="G68" s="10">
        <f t="shared" si="25"/>
        <v>0</v>
      </c>
      <c r="H68" s="9"/>
      <c r="I68" s="10">
        <f t="shared" si="26"/>
        <v>0</v>
      </c>
      <c r="J68" s="9"/>
      <c r="K68" s="10">
        <f t="shared" si="21"/>
        <v>0</v>
      </c>
      <c r="L68" s="9"/>
      <c r="M68" s="10">
        <f t="shared" si="17"/>
        <v>0</v>
      </c>
      <c r="N68" s="9"/>
      <c r="O68" s="10">
        <f t="shared" si="27"/>
        <v>0</v>
      </c>
      <c r="P68" s="9"/>
      <c r="Q68" s="10">
        <f t="shared" si="28"/>
        <v>0</v>
      </c>
      <c r="R68" s="9"/>
      <c r="S68" s="10">
        <f t="shared" si="29"/>
        <v>0</v>
      </c>
      <c r="T68" s="9"/>
      <c r="U68" s="10">
        <f t="shared" si="30"/>
        <v>0</v>
      </c>
      <c r="V68" s="9"/>
      <c r="W68" s="10">
        <f t="shared" si="31"/>
        <v>0</v>
      </c>
      <c r="X68" s="9"/>
      <c r="Y68" s="10">
        <f t="shared" si="32"/>
        <v>0</v>
      </c>
      <c r="Z68" s="11">
        <f>(B68+D68+F68+H68+J68+L68+N68+P68+R68+T68+V68+X68)/AE$2</f>
        <v>0</v>
      </c>
      <c r="AA68" s="10">
        <f t="shared" si="13"/>
        <v>0</v>
      </c>
      <c r="AB68" s="12">
        <f>L68+N68+P68+R68+T68+V68+X68+J68+H68+F68+D68+B68</f>
        <v>0</v>
      </c>
      <c r="AC68" s="19">
        <f t="shared" si="18"/>
        <v>0</v>
      </c>
      <c r="AD68" s="5"/>
      <c r="AE68" s="20"/>
    </row>
    <row r="69" spans="1:31" x14ac:dyDescent="0.2">
      <c r="A69" s="9" t="s">
        <v>73</v>
      </c>
      <c r="B69" s="9">
        <v>4459.83</v>
      </c>
      <c r="C69" s="10">
        <f t="shared" si="24"/>
        <v>2.1541496783432472E-2</v>
      </c>
      <c r="D69" s="9">
        <v>4459.83</v>
      </c>
      <c r="E69" s="10">
        <f t="shared" si="16"/>
        <v>2.392462105254857E-2</v>
      </c>
      <c r="F69" s="9">
        <v>4459.83</v>
      </c>
      <c r="G69" s="10">
        <f t="shared" si="25"/>
        <v>1.8029877049339386E-2</v>
      </c>
      <c r="H69" s="9">
        <v>4459.83</v>
      </c>
      <c r="I69" s="10">
        <f t="shared" si="26"/>
        <v>1.7960486470667333E-2</v>
      </c>
      <c r="J69" s="9">
        <v>4459.83</v>
      </c>
      <c r="K69" s="10">
        <f t="shared" si="21"/>
        <v>1.8137899573129002E-2</v>
      </c>
      <c r="L69" s="9">
        <v>4459.83</v>
      </c>
      <c r="M69" s="10">
        <f t="shared" si="17"/>
        <v>1.662637909141949E-2</v>
      </c>
      <c r="N69" s="9">
        <v>4459.83</v>
      </c>
      <c r="O69" s="10">
        <f t="shared" si="27"/>
        <v>1.7470578287607313E-2</v>
      </c>
      <c r="P69" s="9">
        <v>4459.83</v>
      </c>
      <c r="Q69" s="10">
        <f t="shared" si="28"/>
        <v>1.5890998418179651E-2</v>
      </c>
      <c r="R69" s="9">
        <v>4459.83</v>
      </c>
      <c r="S69" s="10">
        <f t="shared" si="29"/>
        <v>1.7470182041535179E-2</v>
      </c>
      <c r="T69" s="9">
        <v>4459.83</v>
      </c>
      <c r="U69" s="10">
        <f t="shared" si="30"/>
        <v>1.75062860168274E-2</v>
      </c>
      <c r="V69" s="9">
        <v>4459.83</v>
      </c>
      <c r="W69" s="10">
        <f t="shared" si="31"/>
        <v>1.4961602401730648E-2</v>
      </c>
      <c r="X69" s="9">
        <v>4459.83</v>
      </c>
      <c r="Y69" s="10">
        <f t="shared" si="32"/>
        <v>1.6221273884099309E-2</v>
      </c>
      <c r="Z69" s="11">
        <f>(B69+D69+F69+H69+J69+L69+N69+P69+R69+T69+V69+X69)/AE$2</f>
        <v>4459.8300000000008</v>
      </c>
      <c r="AA69" s="10">
        <f t="shared" si="13"/>
        <v>1.7708111804610779E-2</v>
      </c>
      <c r="AB69" s="12">
        <f>L69+N69+P69+R69+T69+V69+X69+J69+H69+F69+D69+B69</f>
        <v>53517.960000000014</v>
      </c>
      <c r="AC69" s="19">
        <f t="shared" si="18"/>
        <v>1.7708111804610779E-2</v>
      </c>
      <c r="AD69" s="5"/>
      <c r="AE69" s="20"/>
    </row>
    <row r="70" spans="1:31" x14ac:dyDescent="0.2">
      <c r="A70" s="9"/>
      <c r="B70" s="9"/>
      <c r="C70" s="10">
        <f t="shared" si="24"/>
        <v>0</v>
      </c>
      <c r="D70" s="9"/>
      <c r="E70" s="10">
        <f t="shared" si="16"/>
        <v>0</v>
      </c>
      <c r="F70" s="9"/>
      <c r="G70" s="10">
        <f t="shared" si="25"/>
        <v>0</v>
      </c>
      <c r="H70" s="9"/>
      <c r="I70" s="10">
        <f t="shared" si="26"/>
        <v>0</v>
      </c>
      <c r="J70" s="9"/>
      <c r="K70" s="10">
        <f t="shared" si="21"/>
        <v>0</v>
      </c>
      <c r="L70" s="9"/>
      <c r="M70" s="10">
        <f t="shared" si="17"/>
        <v>0</v>
      </c>
      <c r="N70" s="9"/>
      <c r="O70" s="10">
        <f t="shared" si="27"/>
        <v>0</v>
      </c>
      <c r="P70" s="9"/>
      <c r="Q70" s="10">
        <f t="shared" si="28"/>
        <v>0</v>
      </c>
      <c r="R70" s="9"/>
      <c r="S70" s="10">
        <f t="shared" si="29"/>
        <v>0</v>
      </c>
      <c r="T70" s="9"/>
      <c r="U70" s="10">
        <f t="shared" si="30"/>
        <v>0</v>
      </c>
      <c r="V70" s="9"/>
      <c r="W70" s="10">
        <f t="shared" si="31"/>
        <v>0</v>
      </c>
      <c r="X70" s="9"/>
      <c r="Y70" s="10">
        <f t="shared" si="32"/>
        <v>0</v>
      </c>
      <c r="Z70" s="11">
        <f>(B70+D70+F70+H70+J70+L70+N70+P70+R70+T70+V70+X70)/AE$2</f>
        <v>0</v>
      </c>
      <c r="AA70" s="10">
        <f t="shared" si="13"/>
        <v>0</v>
      </c>
      <c r="AB70" s="12">
        <f>L70+N70+P70+R70+T70+V70+X70+J70+H70+F70+D70+B70</f>
        <v>0</v>
      </c>
      <c r="AC70" s="19">
        <f t="shared" si="18"/>
        <v>0</v>
      </c>
      <c r="AD70" s="5"/>
      <c r="AE70" s="20"/>
    </row>
    <row r="71" spans="1:31" x14ac:dyDescent="0.2">
      <c r="A71" s="9" t="s">
        <v>74</v>
      </c>
      <c r="B71" s="9"/>
      <c r="C71" s="10">
        <f t="shared" si="24"/>
        <v>0</v>
      </c>
      <c r="D71" s="9"/>
      <c r="E71" s="10">
        <f t="shared" si="16"/>
        <v>0</v>
      </c>
      <c r="F71" s="9"/>
      <c r="G71" s="10">
        <f t="shared" si="25"/>
        <v>0</v>
      </c>
      <c r="H71" s="9"/>
      <c r="I71" s="10">
        <f t="shared" si="26"/>
        <v>0</v>
      </c>
      <c r="J71" s="9"/>
      <c r="K71" s="10">
        <f t="shared" si="21"/>
        <v>0</v>
      </c>
      <c r="L71" s="9"/>
      <c r="M71" s="10">
        <f t="shared" si="17"/>
        <v>0</v>
      </c>
      <c r="N71" s="9"/>
      <c r="O71" s="10">
        <f t="shared" si="27"/>
        <v>0</v>
      </c>
      <c r="P71" s="9"/>
      <c r="Q71" s="10">
        <f t="shared" si="28"/>
        <v>0</v>
      </c>
      <c r="R71" s="9"/>
      <c r="S71" s="10">
        <f t="shared" si="29"/>
        <v>0</v>
      </c>
      <c r="T71" s="9"/>
      <c r="U71" s="10">
        <f t="shared" si="30"/>
        <v>0</v>
      </c>
      <c r="V71" s="9"/>
      <c r="W71" s="10">
        <f t="shared" si="31"/>
        <v>0</v>
      </c>
      <c r="X71" s="9"/>
      <c r="Y71" s="10">
        <f t="shared" si="32"/>
        <v>0</v>
      </c>
      <c r="Z71" s="11">
        <f>(B71+D71+F71+H71+J71+L71+N71+P71+R71+T71+V71+X71)/AE$2</f>
        <v>0</v>
      </c>
      <c r="AA71" s="10">
        <f t="shared" si="13"/>
        <v>0</v>
      </c>
      <c r="AB71" s="12">
        <f t="shared" si="23"/>
        <v>0</v>
      </c>
      <c r="AC71" s="19">
        <f t="shared" si="18"/>
        <v>0</v>
      </c>
      <c r="AD71" s="5"/>
      <c r="AE71" s="20"/>
    </row>
    <row r="72" spans="1:31" x14ac:dyDescent="0.2">
      <c r="A72" s="88" t="s">
        <v>75</v>
      </c>
      <c r="B72" s="96">
        <f>B2-B6-B15-B61</f>
        <v>58669.799999999988</v>
      </c>
      <c r="C72" s="6">
        <f>B72/B$2</f>
        <v>0.28338194684206036</v>
      </c>
      <c r="D72" s="96">
        <f>D2-D6-D15-D61</f>
        <v>38701.328800000018</v>
      </c>
      <c r="E72" s="6">
        <f>D72/D$2</f>
        <v>0.20761208964693378</v>
      </c>
      <c r="F72" s="96">
        <f>F2-F6-F15-F61</f>
        <v>100353.2059</v>
      </c>
      <c r="G72" s="6">
        <f>F72/F$2</f>
        <v>0.40570065762238466</v>
      </c>
      <c r="H72" s="96">
        <f>H2-H6-H15-H61</f>
        <v>80438.050799999997</v>
      </c>
      <c r="I72" s="6">
        <f t="shared" si="26"/>
        <v>0.32393757679558449</v>
      </c>
      <c r="J72" s="96">
        <f>J2-J6-J15-J61</f>
        <v>85006.746899999998</v>
      </c>
      <c r="K72" s="6">
        <f>J72/J$2</f>
        <v>0.34571807407694805</v>
      </c>
      <c r="L72" s="96">
        <f>L2-L6-L15-L61</f>
        <v>109013.2597</v>
      </c>
      <c r="M72" s="6">
        <f>L72/L$2</f>
        <v>0.40640467949755105</v>
      </c>
      <c r="N72" s="96">
        <f>N2-N6-N15-N61</f>
        <v>77071.555999999982</v>
      </c>
      <c r="O72" s="106">
        <f>N72/N$2</f>
        <v>0.30191389645921729</v>
      </c>
      <c r="P72" s="96">
        <f>P2-P6-P15-P61</f>
        <v>119849.75630000004</v>
      </c>
      <c r="Q72" s="6">
        <f>P72/P$2</f>
        <v>0.42704145399768989</v>
      </c>
      <c r="R72" s="96">
        <f>R2-R6-R15-R61</f>
        <v>87854.612199999974</v>
      </c>
      <c r="S72" s="6">
        <f>R72/R$2</f>
        <v>0.34414676530775318</v>
      </c>
      <c r="T72" s="96">
        <f>T2-T6-T15-T61</f>
        <v>89753.352000000014</v>
      </c>
      <c r="U72" s="6">
        <f>T72/T$2</f>
        <v>0.35231115335808488</v>
      </c>
      <c r="V72" s="96">
        <f>V2-V6-V15-V61</f>
        <v>126809.48359999999</v>
      </c>
      <c r="W72" s="6">
        <f>V72/V$2</f>
        <v>0.42541376563500921</v>
      </c>
      <c r="X72" s="96">
        <f>X2-X6-X15-X61</f>
        <v>71545.581499999986</v>
      </c>
      <c r="Y72" s="6">
        <f>X72/X$2</f>
        <v>0.26022527152574165</v>
      </c>
      <c r="Z72" s="96">
        <f>Z2-Z6-Z15-Z61</f>
        <v>87088.894475000008</v>
      </c>
      <c r="AA72" s="6">
        <f t="shared" si="13"/>
        <v>0.34579342268724361</v>
      </c>
      <c r="AB72" s="96">
        <f>AB2-AB6-AB15-AB61</f>
        <v>1045066.7337000004</v>
      </c>
      <c r="AC72" s="21">
        <f>AB72/AB$3</f>
        <v>0.34579342268724372</v>
      </c>
      <c r="AD72" s="5"/>
      <c r="AE72" s="5"/>
    </row>
    <row r="73" spans="1:31" x14ac:dyDescent="0.2">
      <c r="A73" s="88" t="s">
        <v>76</v>
      </c>
      <c r="B73" s="97">
        <f>B72/B2</f>
        <v>0.28338194684206036</v>
      </c>
      <c r="C73" s="6"/>
      <c r="D73" s="97">
        <f>D72/D2</f>
        <v>0.20761208964693378</v>
      </c>
      <c r="E73" s="6"/>
      <c r="F73" s="97">
        <f>F72/F2</f>
        <v>0.40570065762238466</v>
      </c>
      <c r="G73" s="6"/>
      <c r="H73" s="97">
        <f>H72/H2</f>
        <v>0.32393757679558449</v>
      </c>
      <c r="I73" s="6"/>
      <c r="J73" s="97">
        <f>J72/J2</f>
        <v>0.34571807407694805</v>
      </c>
      <c r="K73" s="6"/>
      <c r="L73" s="97">
        <f>L72/L2</f>
        <v>0.40640467949755105</v>
      </c>
      <c r="M73" s="6"/>
      <c r="N73" s="97">
        <f>N72/N2</f>
        <v>0.30191389645921729</v>
      </c>
      <c r="O73" s="106"/>
      <c r="P73" s="97">
        <f>P72/P2</f>
        <v>0.42704145399768989</v>
      </c>
      <c r="Q73" s="6"/>
      <c r="R73" s="97">
        <f>R72/R2</f>
        <v>0.34414676530775318</v>
      </c>
      <c r="S73" s="6"/>
      <c r="T73" s="97">
        <f>T72/T2</f>
        <v>0.35231115335808488</v>
      </c>
      <c r="U73" s="6"/>
      <c r="V73" s="97">
        <f>V72/V2</f>
        <v>0.42541376563500921</v>
      </c>
      <c r="W73" s="6"/>
      <c r="X73" s="97">
        <f>X72/X2</f>
        <v>0.26022527152574165</v>
      </c>
      <c r="Y73" s="6"/>
      <c r="Z73" s="97">
        <f>Z72/Z2</f>
        <v>0.34579342268724361</v>
      </c>
      <c r="AA73" s="6">
        <f t="shared" si="13"/>
        <v>1.3730004485024635E-6</v>
      </c>
      <c r="AB73" s="97">
        <f>AB72/AB2</f>
        <v>0.34579342268724372</v>
      </c>
      <c r="AC73" s="21">
        <f t="shared" si="18"/>
        <v>1.14416704041872E-7</v>
      </c>
      <c r="AD73" s="5"/>
      <c r="AE73" s="5"/>
    </row>
    <row r="74" spans="1:31" x14ac:dyDescent="0.2">
      <c r="A74" s="88" t="s">
        <v>77</v>
      </c>
      <c r="B74" s="98">
        <f>(B15+B61)/C14</f>
        <v>134661.42936572465</v>
      </c>
      <c r="C74" s="6">
        <f>B74/B$2</f>
        <v>0.65043034096236318</v>
      </c>
      <c r="D74" s="98">
        <f>(D15+D61)/E14</f>
        <v>137505.93609811066</v>
      </c>
      <c r="E74" s="6">
        <f>D74/D$2</f>
        <v>0.737646370741319</v>
      </c>
      <c r="F74" s="98">
        <f>(F15+F61)/G14</f>
        <v>129694.55152667758</v>
      </c>
      <c r="G74" s="6">
        <f>F74/F$2</f>
        <v>0.5243197202573211</v>
      </c>
      <c r="H74" s="98">
        <f>(H15+H61)/I14</f>
        <v>149218.42315628906</v>
      </c>
      <c r="I74" s="6">
        <f>H74/H$2</f>
        <v>0.60092771927917499</v>
      </c>
      <c r="J74" s="98">
        <f>(J15+J61)/K14</f>
        <v>140570.37891722776</v>
      </c>
      <c r="K74" s="6">
        <f>J74/J$2</f>
        <v>0.57169251199201931</v>
      </c>
      <c r="L74" s="98">
        <f>(L15+L61)/M14</f>
        <v>136363.89638493411</v>
      </c>
      <c r="M74" s="6">
        <f>L74/L$2</f>
        <v>0.50836866779203749</v>
      </c>
      <c r="N74" s="98">
        <f>(N15+N61)/O14</f>
        <v>159291.9366290539</v>
      </c>
      <c r="O74" s="106">
        <f>N74/N$2</f>
        <v>0.62399738318780518</v>
      </c>
      <c r="P74" s="98">
        <f>(P15+P61)/Q14</f>
        <v>136014.18494983399</v>
      </c>
      <c r="Q74" s="6">
        <f>P74/P$2</f>
        <v>0.48463757539812202</v>
      </c>
      <c r="R74" s="98">
        <f>(R15+R61)/S14</f>
        <v>144457.91547767821</v>
      </c>
      <c r="S74" s="6">
        <f>R74/R$2</f>
        <v>0.56587495055545622</v>
      </c>
      <c r="T74" s="98">
        <f>(T15+T61)/U14</f>
        <v>143844.83470610238</v>
      </c>
      <c r="U74" s="6">
        <f>T74/T$2</f>
        <v>0.5646378490678543</v>
      </c>
      <c r="V74" s="98">
        <f>(V15+V61)/W14</f>
        <v>146628.46391968784</v>
      </c>
      <c r="W74" s="6">
        <f>V74/V$2</f>
        <v>0.49190143524369251</v>
      </c>
      <c r="X74" s="98">
        <f>(X15+X61)/Y14</f>
        <v>185142.99106050903</v>
      </c>
      <c r="Y74" s="6">
        <f>X74/X$2</f>
        <v>0.67340126545493151</v>
      </c>
      <c r="Z74" s="115">
        <f>(B74+D74+F74+H74+J74+L74+N74+P74+R74+T74+V74+X74)/AE$2</f>
        <v>145282.91184931909</v>
      </c>
      <c r="AA74" s="6">
        <f t="shared" si="13"/>
        <v>0.57685742423526321</v>
      </c>
      <c r="AB74" s="98">
        <f>(AB15+AB61)/AC14</f>
        <v>1739767.6231058724</v>
      </c>
      <c r="AC74" s="21">
        <f t="shared" si="18"/>
        <v>0.57565721085035249</v>
      </c>
      <c r="AD74" s="5"/>
      <c r="AE74" s="5"/>
    </row>
    <row r="75" spans="1:31" x14ac:dyDescent="0.2">
      <c r="A75" s="90" t="s">
        <v>78</v>
      </c>
      <c r="B75" s="89">
        <f>B6+B15+B61</f>
        <v>148364.55999999997</v>
      </c>
      <c r="C75" s="6">
        <f>B75/B$2</f>
        <v>0.71661805315793947</v>
      </c>
      <c r="D75" s="89">
        <f>D6+D15+D61</f>
        <v>147710.40119999999</v>
      </c>
      <c r="E75" s="6">
        <f>D75/D$2</f>
        <v>0.79238791035306622</v>
      </c>
      <c r="F75" s="89">
        <f>F6+F15+F61</f>
        <v>147004.55409999998</v>
      </c>
      <c r="G75" s="6">
        <f>F75/F$2</f>
        <v>0.59429934237761517</v>
      </c>
      <c r="H75" s="89">
        <f>H61+H15+H6</f>
        <v>167875.3792</v>
      </c>
      <c r="I75" s="6">
        <f>H75/H$2</f>
        <v>0.67606242320441545</v>
      </c>
      <c r="J75" s="89">
        <f>J61+J15+J6</f>
        <v>160877.8431</v>
      </c>
      <c r="K75" s="6">
        <f>J75/J$2</f>
        <v>0.6542819259230519</v>
      </c>
      <c r="L75" s="89">
        <f>L61+L15+L6</f>
        <v>159224.94030000002</v>
      </c>
      <c r="M75" s="6">
        <f>L75/L$2</f>
        <v>0.59359532050244901</v>
      </c>
      <c r="N75" s="89">
        <f>N61+N15+N6</f>
        <v>178205.054</v>
      </c>
      <c r="O75" s="106">
        <f>N75/N$2</f>
        <v>0.69808610354078271</v>
      </c>
      <c r="P75" s="89">
        <f>P61+P15+P6</f>
        <v>160801.58369999999</v>
      </c>
      <c r="Q75" s="6">
        <f>P75/P$2</f>
        <v>0.57295854600231011</v>
      </c>
      <c r="R75" s="89">
        <f>R61+R15+R6</f>
        <v>167427.78779999999</v>
      </c>
      <c r="S75" s="6">
        <f>R75/R$2</f>
        <v>0.65585323469224666</v>
      </c>
      <c r="T75" s="89">
        <f>T61+T15+T6</f>
        <v>165002.568</v>
      </c>
      <c r="U75" s="6">
        <f>T75/T$2</f>
        <v>0.64768884664191506</v>
      </c>
      <c r="V75" s="89">
        <f>V61+V15+V6</f>
        <v>171275.56640000001</v>
      </c>
      <c r="W75" s="6">
        <f>V75/V$2</f>
        <v>0.5745862343649909</v>
      </c>
      <c r="X75" s="89">
        <f>X61+X15+X6</f>
        <v>203391.51849999998</v>
      </c>
      <c r="Y75" s="6">
        <f>X75/X$2</f>
        <v>0.73977472847425829</v>
      </c>
      <c r="Z75" s="116">
        <f>(B75+D75+F75+H75+J75+L75+N75+P75+R75+T75+V75+X75)/AE$2</f>
        <v>164763.4796916667</v>
      </c>
      <c r="AA75" s="6">
        <f>Z75/Z$2</f>
        <v>0.65420657731275644</v>
      </c>
      <c r="AB75" s="89">
        <f>B75+D75+F75+H75+J75+L75+N75+P75+R75+T75+V75+X75</f>
        <v>1977161.7563000002</v>
      </c>
      <c r="AC75" s="21">
        <f t="shared" si="18"/>
        <v>0.65420657731275644</v>
      </c>
      <c r="AD75" s="5"/>
      <c r="AE75" s="5"/>
    </row>
    <row r="76" spans="1:31" x14ac:dyDescent="0.2">
      <c r="A76" s="91" t="s">
        <v>79</v>
      </c>
      <c r="B76" s="98"/>
      <c r="C76" s="22"/>
      <c r="D76" s="98"/>
      <c r="E76" s="22"/>
      <c r="F76" s="98"/>
      <c r="G76" s="22"/>
      <c r="H76" s="98"/>
      <c r="I76" s="22"/>
      <c r="J76" s="98"/>
      <c r="K76" s="22"/>
      <c r="L76" s="98"/>
      <c r="M76" s="22"/>
      <c r="N76" s="98"/>
      <c r="O76" s="107"/>
      <c r="P76" s="98"/>
      <c r="Q76" s="22"/>
      <c r="R76" s="112"/>
      <c r="S76" s="22"/>
      <c r="T76" s="98"/>
      <c r="U76" s="22"/>
      <c r="V76" s="98"/>
      <c r="W76" s="22"/>
      <c r="X76" s="98"/>
      <c r="Y76" s="22"/>
      <c r="Z76" s="116">
        <f>(B76+D76+F76+H76+J76+L76+N76+P76+R76+T76+V76+X76)/AE$2</f>
        <v>0</v>
      </c>
      <c r="AA76" s="22"/>
      <c r="AB76" s="121"/>
      <c r="AC76" s="22"/>
      <c r="AD76" s="5"/>
      <c r="AE76" s="5"/>
    </row>
    <row r="77" spans="1:31" x14ac:dyDescent="0.2">
      <c r="A77" s="91" t="s">
        <v>80</v>
      </c>
      <c r="B77" s="99"/>
      <c r="C77" s="10"/>
      <c r="D77" s="104"/>
      <c r="E77" s="10"/>
      <c r="F77" s="99"/>
      <c r="G77" s="10"/>
      <c r="H77" s="99"/>
      <c r="I77" s="10"/>
      <c r="J77" s="99"/>
      <c r="K77" s="10"/>
      <c r="L77" s="99"/>
      <c r="M77" s="10"/>
      <c r="N77" s="99"/>
      <c r="O77" s="108"/>
      <c r="P77" s="99"/>
      <c r="Q77" s="10"/>
      <c r="R77" s="99"/>
      <c r="S77" s="10">
        <f>R77/R$2</f>
        <v>0</v>
      </c>
      <c r="T77" s="99"/>
      <c r="U77" s="10"/>
      <c r="V77" s="104"/>
      <c r="W77" s="10"/>
      <c r="X77" s="99"/>
      <c r="Y77" s="10"/>
      <c r="Z77" s="117">
        <f>(B77+D77+F77+H77+J77+L77+N77+P77+R77+T77+V77+X77)/AE$2</f>
        <v>0</v>
      </c>
      <c r="AA77" s="10">
        <f>Z77/Z$2</f>
        <v>0</v>
      </c>
      <c r="AB77" s="99">
        <f>L77+N77+P77+R77+T77+V77+X77+J77+H77+F77+D77+B77</f>
        <v>0</v>
      </c>
      <c r="AC77" s="13">
        <f>AB77/AB$3</f>
        <v>0</v>
      </c>
      <c r="AD77" s="5"/>
      <c r="AE77" s="5"/>
    </row>
    <row r="78" spans="1:31" ht="16" thickBot="1" x14ac:dyDescent="0.25">
      <c r="A78" s="92" t="s">
        <v>81</v>
      </c>
      <c r="B78" s="100">
        <f>B72-B76-B77</f>
        <v>58669.799999999988</v>
      </c>
      <c r="C78" s="23"/>
      <c r="D78" s="100">
        <f>D72-D76-D77</f>
        <v>38701.328800000018</v>
      </c>
      <c r="E78" s="23"/>
      <c r="F78" s="100">
        <f>F72-F76-F77</f>
        <v>100353.2059</v>
      </c>
      <c r="G78" s="24"/>
      <c r="H78" s="100">
        <f>H72-H76-H77</f>
        <v>80438.050799999997</v>
      </c>
      <c r="I78" s="24"/>
      <c r="J78" s="100">
        <f>J72-J76-J77</f>
        <v>85006.746899999998</v>
      </c>
      <c r="K78" s="24"/>
      <c r="L78" s="100">
        <f>L72-L76-L77</f>
        <v>109013.2597</v>
      </c>
      <c r="M78" s="24"/>
      <c r="N78" s="100">
        <f>N72-N76-N77</f>
        <v>77071.555999999982</v>
      </c>
      <c r="O78" s="109"/>
      <c r="P78" s="100">
        <f>P72-P76-P77</f>
        <v>119849.75630000004</v>
      </c>
      <c r="Q78" s="24"/>
      <c r="R78" s="100">
        <f>R72-R76-R77</f>
        <v>87854.612199999974</v>
      </c>
      <c r="S78" s="24"/>
      <c r="T78" s="100">
        <f>T72-T76-T77</f>
        <v>89753.352000000014</v>
      </c>
      <c r="U78" s="24"/>
      <c r="V78" s="100">
        <f>V72-V76-V77</f>
        <v>126809.48359999999</v>
      </c>
      <c r="W78" s="24"/>
      <c r="X78" s="100">
        <f>X72-X76-X77</f>
        <v>71545.581499999986</v>
      </c>
      <c r="Y78" s="23"/>
      <c r="Z78" s="116">
        <f>(B78+D78+F78+H78+J78+L78+N78+P78+R78+T78+V78+X78)/AE$2</f>
        <v>87088.894474999994</v>
      </c>
      <c r="AA78" s="23"/>
      <c r="AB78" s="100">
        <f>AB72-AB76-AB77</f>
        <v>1045066.7337000004</v>
      </c>
      <c r="AC78" s="23"/>
      <c r="AD78" s="5"/>
      <c r="AE78" s="5"/>
    </row>
    <row r="79" spans="1:31" x14ac:dyDescent="0.2">
      <c r="A79" s="93" t="s">
        <v>82</v>
      </c>
      <c r="B79" s="101">
        <f>B78/B2</f>
        <v>0.28338194684206036</v>
      </c>
      <c r="C79" s="25"/>
      <c r="D79" s="101">
        <f>D78/D2</f>
        <v>0.20761208964693378</v>
      </c>
      <c r="E79" s="25"/>
      <c r="F79" s="101">
        <f>F78/F2</f>
        <v>0.40570065762238466</v>
      </c>
      <c r="G79" s="26"/>
      <c r="H79" s="101">
        <f>H78/H2</f>
        <v>0.32393757679558449</v>
      </c>
      <c r="I79" s="26"/>
      <c r="J79" s="101">
        <f>J78/J2</f>
        <v>0.34571807407694805</v>
      </c>
      <c r="K79" s="26"/>
      <c r="L79" s="101">
        <f>L78/L2</f>
        <v>0.40640467949755105</v>
      </c>
      <c r="M79" s="26"/>
      <c r="N79" s="105">
        <f>N78/N2</f>
        <v>0.30191389645921729</v>
      </c>
      <c r="O79" s="110"/>
      <c r="P79" s="105">
        <f>P78/P2</f>
        <v>0.42704145399768989</v>
      </c>
      <c r="Q79" s="26"/>
      <c r="R79" s="105">
        <f>R78/R2</f>
        <v>0.34414676530775318</v>
      </c>
      <c r="S79" s="26"/>
      <c r="T79" s="105">
        <f>T78/T2</f>
        <v>0.35231115335808488</v>
      </c>
      <c r="U79" s="26"/>
      <c r="V79" s="105">
        <f>V78/V2</f>
        <v>0.42541376563500921</v>
      </c>
      <c r="W79" s="26"/>
      <c r="X79" s="105">
        <f>X78/X2</f>
        <v>0.26022527152574165</v>
      </c>
      <c r="Y79" s="25"/>
      <c r="Z79" s="118">
        <f>Z78/Z2</f>
        <v>0.34579342268724356</v>
      </c>
      <c r="AA79" s="25"/>
      <c r="AB79" s="122">
        <f>AB78/AB2</f>
        <v>0.34579342268724372</v>
      </c>
      <c r="AC79" s="27"/>
      <c r="AD79" s="5"/>
      <c r="AE79" s="5"/>
    </row>
    <row r="80" spans="1:31" x14ac:dyDescent="0.2">
      <c r="A80" s="94" t="s">
        <v>83</v>
      </c>
      <c r="B80" s="102">
        <f>(B15+B61+B77)/C14</f>
        <v>134661.42936572465</v>
      </c>
      <c r="C80" s="28"/>
      <c r="D80" s="102">
        <f>(D15+D61+D77)/E14</f>
        <v>137505.93609811066</v>
      </c>
      <c r="E80" s="29"/>
      <c r="F80" s="102">
        <f>(F15+F61+F77)/G14</f>
        <v>129694.55152667758</v>
      </c>
      <c r="G80" s="29"/>
      <c r="H80" s="102">
        <f>(H15+H61-H77)/I14</f>
        <v>149218.42315628906</v>
      </c>
      <c r="I80" s="29"/>
      <c r="J80" s="102">
        <f>(J15+J61-J77)/K14</f>
        <v>140570.37891722776</v>
      </c>
      <c r="K80" s="29"/>
      <c r="L80" s="102">
        <f>(L15+L61-L77)/M14</f>
        <v>136363.89638493411</v>
      </c>
      <c r="M80" s="29"/>
      <c r="N80" s="102">
        <f>(N15+N61-N77)/O14</f>
        <v>159291.9366290539</v>
      </c>
      <c r="O80" s="102"/>
      <c r="P80" s="102">
        <f>(P15+P61-P77)/Q14</f>
        <v>136014.18494983399</v>
      </c>
      <c r="Q80" s="29"/>
      <c r="R80" s="102">
        <f>(R15+R61-R77)/S14</f>
        <v>144457.91547767821</v>
      </c>
      <c r="S80" s="29"/>
      <c r="T80" s="102">
        <f>(T15+T61-T77)/U14</f>
        <v>143844.83470610238</v>
      </c>
      <c r="U80" s="29"/>
      <c r="V80" s="102">
        <f>(V15+V61-V77)/W14</f>
        <v>146628.46391968784</v>
      </c>
      <c r="W80" s="29"/>
      <c r="X80" s="102">
        <f>(X15+X61-X77)/Y14</f>
        <v>185142.99106050903</v>
      </c>
      <c r="Y80" s="28"/>
      <c r="Z80" s="119">
        <f>(B80+D80+F80+H80+J80+L80+N80+P80+R80+T80+V80+X80)/12</f>
        <v>145282.91184931909</v>
      </c>
      <c r="AA80" s="28"/>
      <c r="AB80" s="123">
        <f>(AB15+AB61+AB77)/AC14</f>
        <v>1739767.6231058724</v>
      </c>
      <c r="AC80" s="30"/>
      <c r="AD80" s="5"/>
      <c r="AE80" s="5"/>
    </row>
    <row r="81" spans="1:31" ht="16" thickBot="1" x14ac:dyDescent="0.25">
      <c r="A81" s="95" t="s">
        <v>84</v>
      </c>
      <c r="B81" s="103">
        <f>B75+B77</f>
        <v>148364.55999999997</v>
      </c>
      <c r="C81" s="31"/>
      <c r="D81" s="103">
        <f>D75+D77</f>
        <v>147710.40119999999</v>
      </c>
      <c r="E81" s="31"/>
      <c r="F81" s="103">
        <f>F75+F77</f>
        <v>147004.55409999998</v>
      </c>
      <c r="G81" s="32"/>
      <c r="H81" s="103">
        <f>H75+H77</f>
        <v>167875.3792</v>
      </c>
      <c r="I81" s="32"/>
      <c r="J81" s="103">
        <f>J75+J77</f>
        <v>160877.8431</v>
      </c>
      <c r="K81" s="32"/>
      <c r="L81" s="103">
        <f>L75+L77</f>
        <v>159224.94030000002</v>
      </c>
      <c r="M81" s="32"/>
      <c r="N81" s="103">
        <f>N75+N77</f>
        <v>178205.054</v>
      </c>
      <c r="O81" s="111"/>
      <c r="P81" s="103">
        <f>P75+P77</f>
        <v>160801.58369999999</v>
      </c>
      <c r="Q81" s="32"/>
      <c r="R81" s="103">
        <f>R75+R77</f>
        <v>167427.78779999999</v>
      </c>
      <c r="S81" s="32"/>
      <c r="T81" s="103">
        <f>T75+T77</f>
        <v>165002.568</v>
      </c>
      <c r="U81" s="32"/>
      <c r="V81" s="103">
        <f>V75+V77</f>
        <v>171275.56640000001</v>
      </c>
      <c r="W81" s="32"/>
      <c r="X81" s="103">
        <f>X75+X77</f>
        <v>203391.51849999998</v>
      </c>
      <c r="Y81" s="31"/>
      <c r="Z81" s="120">
        <f>Z75+Z77</f>
        <v>164763.4796916667</v>
      </c>
      <c r="AA81" s="31"/>
      <c r="AB81" s="124">
        <f>AB75+AB77</f>
        <v>1977161.7563000002</v>
      </c>
      <c r="AC81" s="33"/>
      <c r="AD81" s="5"/>
      <c r="AE81" s="5"/>
    </row>
    <row r="82" spans="1:31" x14ac:dyDescent="0.2">
      <c r="A82" s="34"/>
      <c r="B82" s="35"/>
      <c r="C82" s="36"/>
      <c r="D82" s="35"/>
      <c r="E82" s="36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6"/>
      <c r="Z82" s="37"/>
      <c r="AA82" s="36"/>
      <c r="AB82" s="38"/>
      <c r="AC82" s="5"/>
      <c r="AD82" s="5"/>
      <c r="AE82" s="5"/>
    </row>
    <row r="83" spans="1:31" x14ac:dyDescent="0.2">
      <c r="A83" s="39"/>
      <c r="B83" s="15"/>
      <c r="C83" s="5"/>
      <c r="D83" s="15"/>
      <c r="E83" s="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5"/>
      <c r="Z83" s="40"/>
      <c r="AA83" s="5"/>
      <c r="AB83" s="41"/>
      <c r="AC83" s="5"/>
      <c r="AD83" s="5"/>
      <c r="AE83" s="5"/>
    </row>
    <row r="84" spans="1:3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x14ac:dyDescent="0.2">
      <c r="A85" s="69" t="s">
        <v>85</v>
      </c>
      <c r="B85" s="68">
        <f>SUM(B86:B88)</f>
        <v>153071.66999999998</v>
      </c>
      <c r="C85" s="42"/>
      <c r="D85" s="68">
        <f>SUM(D86:D88)</f>
        <v>102375.83999999997</v>
      </c>
      <c r="E85" s="42"/>
      <c r="F85" s="68">
        <f>SUM(F86:F88)</f>
        <v>110476.84999999998</v>
      </c>
      <c r="G85" s="42"/>
      <c r="H85" s="68">
        <f>SUM(H86:H88)</f>
        <v>87137.249999999956</v>
      </c>
      <c r="I85" s="42"/>
      <c r="J85" s="68">
        <f>SUM(J86:J88)</f>
        <v>148684.95999999993</v>
      </c>
      <c r="K85" s="42"/>
      <c r="L85" s="68">
        <f>SUM(L86:L88)</f>
        <v>107452.43999999992</v>
      </c>
      <c r="M85" s="42"/>
      <c r="N85" s="70">
        <f>SUM(N86:N88)</f>
        <v>63251.469999999936</v>
      </c>
      <c r="O85" s="42"/>
      <c r="P85" s="68">
        <f>SUM(P86:P88)</f>
        <v>93438.089999999924</v>
      </c>
      <c r="Q85" s="42"/>
      <c r="R85" s="68">
        <f>SUM(R86:R88)</f>
        <v>60710.879999999925</v>
      </c>
      <c r="S85" s="42"/>
      <c r="T85" s="68">
        <f>SUM(T86:T88)</f>
        <v>8935.4399999999423</v>
      </c>
      <c r="U85" s="42"/>
      <c r="V85" s="71">
        <f>SUM(V86:V88)</f>
        <v>68579.849999999948</v>
      </c>
      <c r="W85" s="42"/>
      <c r="X85" s="67">
        <f>SUM(X86:X88)</f>
        <v>0</v>
      </c>
      <c r="Y85" s="39"/>
      <c r="Z85" s="39"/>
      <c r="AA85" s="39"/>
      <c r="AB85" s="39"/>
      <c r="AC85" s="39"/>
      <c r="AD85" s="5"/>
      <c r="AE85" s="5"/>
    </row>
    <row r="86" spans="1:31" ht="16" x14ac:dyDescent="0.2">
      <c r="A86" s="43" t="s">
        <v>86</v>
      </c>
      <c r="B86" s="75">
        <v>25000</v>
      </c>
      <c r="C86" s="137"/>
      <c r="D86" s="44">
        <v>25000</v>
      </c>
      <c r="E86" s="5"/>
      <c r="F86" s="44">
        <v>18118.23</v>
      </c>
      <c r="G86" s="5"/>
      <c r="H86" s="45">
        <v>22678.45</v>
      </c>
      <c r="I86" s="5"/>
      <c r="J86" s="45">
        <v>6637.05</v>
      </c>
      <c r="K86" s="5"/>
      <c r="L86" s="44">
        <v>8387.67</v>
      </c>
      <c r="M86" s="5"/>
      <c r="N86" s="45">
        <v>17070.32</v>
      </c>
      <c r="O86" s="5"/>
      <c r="P86" s="45">
        <v>25000</v>
      </c>
      <c r="Q86" s="5"/>
      <c r="R86" s="45">
        <v>1416.5</v>
      </c>
      <c r="S86" s="5"/>
      <c r="T86" s="44">
        <v>5590.17</v>
      </c>
      <c r="U86" s="5"/>
      <c r="V86" s="46">
        <v>0</v>
      </c>
      <c r="W86" s="5"/>
      <c r="X86" s="31"/>
      <c r="Y86" s="5"/>
      <c r="Z86" s="5"/>
      <c r="AA86" s="5"/>
      <c r="AB86" s="5"/>
      <c r="AC86" s="5"/>
      <c r="AD86" s="5"/>
      <c r="AE86" s="5"/>
    </row>
    <row r="87" spans="1:31" ht="16" x14ac:dyDescent="0.2">
      <c r="A87" s="47" t="s">
        <v>87</v>
      </c>
      <c r="B87" s="76">
        <v>3.99</v>
      </c>
      <c r="C87" s="137"/>
      <c r="D87" s="48">
        <v>704.03</v>
      </c>
      <c r="E87" s="5"/>
      <c r="F87" s="48">
        <v>892.1</v>
      </c>
      <c r="G87" s="5"/>
      <c r="H87" s="49">
        <v>558.79</v>
      </c>
      <c r="I87" s="5"/>
      <c r="J87" s="49">
        <v>470.29</v>
      </c>
      <c r="K87" s="5"/>
      <c r="L87" s="48">
        <v>1289.29</v>
      </c>
      <c r="M87" s="5"/>
      <c r="N87" s="49">
        <v>0.11</v>
      </c>
      <c r="O87" s="5"/>
      <c r="P87" s="49">
        <v>812.23</v>
      </c>
      <c r="Q87" s="5"/>
      <c r="R87" s="49">
        <v>183.88</v>
      </c>
      <c r="S87" s="5"/>
      <c r="T87" s="48">
        <v>275.27</v>
      </c>
      <c r="U87" s="5"/>
      <c r="V87" s="50">
        <v>604.72</v>
      </c>
      <c r="W87" s="5"/>
      <c r="X87" s="51"/>
      <c r="Y87" s="5"/>
      <c r="Z87" s="5"/>
      <c r="AA87" s="5"/>
      <c r="AB87" s="5"/>
      <c r="AC87" s="5"/>
      <c r="AD87" s="5"/>
      <c r="AE87" s="5"/>
    </row>
    <row r="88" spans="1:31" ht="16" x14ac:dyDescent="0.2">
      <c r="A88" s="52" t="s">
        <v>88</v>
      </c>
      <c r="B88" s="77">
        <f>93812.93+137487.82-103233.07</f>
        <v>128067.68</v>
      </c>
      <c r="C88" s="138"/>
      <c r="D88" s="53">
        <f>B88+87337.23-138733.1</f>
        <v>76671.809999999969</v>
      </c>
      <c r="E88" s="54"/>
      <c r="F88" s="53">
        <f>D88+141573.7-126778.99</f>
        <v>91466.519999999975</v>
      </c>
      <c r="G88" s="54"/>
      <c r="H88" s="55">
        <f>F88+68363.12-95929.63</f>
        <v>63900.009999999951</v>
      </c>
      <c r="I88" s="54"/>
      <c r="J88" s="55">
        <f>H88+145944.69-68267.08</f>
        <v>141577.61999999994</v>
      </c>
      <c r="K88" s="54"/>
      <c r="L88" s="56">
        <f>J88+119484.8-163286.94</f>
        <v>97775.479999999923</v>
      </c>
      <c r="M88" s="54"/>
      <c r="N88" s="56">
        <f>L88+63910.35-115504.79</f>
        <v>46181.039999999935</v>
      </c>
      <c r="O88" s="54"/>
      <c r="P88" s="55">
        <f>N88+56940.45-35495.63</f>
        <v>67625.859999999928</v>
      </c>
      <c r="Q88" s="54"/>
      <c r="R88" s="55">
        <f>P88+81073.18-89588.54</f>
        <v>59110.499999999927</v>
      </c>
      <c r="S88" s="54"/>
      <c r="T88" s="53">
        <f>R88+112326.74-168367.24</f>
        <v>3069.9999999999418</v>
      </c>
      <c r="U88" s="54"/>
      <c r="V88" s="57">
        <f>T88+126019.32-61114.19</f>
        <v>67975.129999999946</v>
      </c>
      <c r="W88" s="54"/>
      <c r="X88" s="25"/>
      <c r="Y88" s="5"/>
      <c r="Z88" s="5"/>
      <c r="AA88" s="5"/>
      <c r="AB88" s="5"/>
      <c r="AC88" s="5"/>
      <c r="AD88" s="5"/>
      <c r="AE88" s="5"/>
    </row>
    <row r="89" spans="1:31" x14ac:dyDescent="0.2">
      <c r="A89" s="58"/>
      <c r="B89" s="58"/>
      <c r="C89" s="5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 thickBot="1" x14ac:dyDescent="0.25">
      <c r="A91" s="39" t="s">
        <v>89</v>
      </c>
      <c r="B91" s="41">
        <f>SUM(B2)</f>
        <v>207034.36</v>
      </c>
      <c r="C91" s="39"/>
      <c r="D91" s="41">
        <f>SUM(D2)</f>
        <v>186411.73</v>
      </c>
      <c r="E91" s="39"/>
      <c r="F91" s="41">
        <f>SUM(F2)</f>
        <v>247357.76</v>
      </c>
      <c r="G91" s="39"/>
      <c r="H91" s="41">
        <f>SUM(H2)</f>
        <v>248313.43</v>
      </c>
      <c r="I91" s="39"/>
      <c r="J91" s="41">
        <f>SUM(J2)</f>
        <v>245884.59</v>
      </c>
      <c r="K91" s="39"/>
      <c r="L91" s="41">
        <f>SUM(L2)</f>
        <v>268238.2</v>
      </c>
      <c r="M91" s="39"/>
      <c r="N91" s="41">
        <f>SUM(N2)</f>
        <v>255276.61</v>
      </c>
      <c r="O91" s="39"/>
      <c r="P91" s="41">
        <f>SUM(P2)</f>
        <v>280651.34000000003</v>
      </c>
      <c r="Q91" s="39"/>
      <c r="R91" s="41">
        <f>SUM(R2)</f>
        <v>255282.4</v>
      </c>
      <c r="S91" s="39"/>
      <c r="T91" s="41">
        <f>SUM(T2)</f>
        <v>254755.92</v>
      </c>
      <c r="U91" s="39"/>
      <c r="V91" s="41">
        <f>SUM(V2)</f>
        <v>298085.05</v>
      </c>
      <c r="W91" s="39"/>
      <c r="X91" s="41">
        <f>SUM(X2)</f>
        <v>274937.09999999998</v>
      </c>
      <c r="Y91" s="39"/>
      <c r="Z91" s="41">
        <f>SUM(Z2)</f>
        <v>251852.37416666668</v>
      </c>
      <c r="AA91" s="39"/>
      <c r="AB91" s="41">
        <f>SUM(AB2)</f>
        <v>3022228.49</v>
      </c>
      <c r="AC91" s="39"/>
      <c r="AD91" s="39"/>
      <c r="AE91" s="39"/>
    </row>
    <row r="92" spans="1:31" x14ac:dyDescent="0.2">
      <c r="A92" s="59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5"/>
      <c r="AD92" s="5"/>
      <c r="AE92" s="5"/>
    </row>
    <row r="93" spans="1:3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x14ac:dyDescent="0.2">
      <c r="A95" s="72" t="s">
        <v>112</v>
      </c>
      <c r="B95" s="73" t="s">
        <v>90</v>
      </c>
      <c r="C95" s="5"/>
      <c r="D95" s="73" t="s">
        <v>91</v>
      </c>
      <c r="E95" s="5"/>
      <c r="F95" s="73" t="s">
        <v>92</v>
      </c>
      <c r="G95" s="5"/>
      <c r="H95" s="73" t="s">
        <v>93</v>
      </c>
      <c r="I95" s="5"/>
      <c r="J95" s="73" t="s">
        <v>94</v>
      </c>
      <c r="K95" s="5"/>
      <c r="L95" s="73" t="s">
        <v>95</v>
      </c>
      <c r="M95" s="5"/>
      <c r="N95" s="73" t="s">
        <v>96</v>
      </c>
      <c r="O95" s="5"/>
      <c r="P95" s="73" t="s">
        <v>97</v>
      </c>
      <c r="Q95" s="5"/>
      <c r="R95" s="73" t="s">
        <v>98</v>
      </c>
      <c r="S95" s="5"/>
      <c r="T95" s="73" t="s">
        <v>99</v>
      </c>
      <c r="U95" s="5"/>
      <c r="V95" s="73" t="s">
        <v>100</v>
      </c>
      <c r="W95" s="5"/>
      <c r="X95" s="73" t="s">
        <v>101</v>
      </c>
      <c r="Y95" s="5"/>
      <c r="Z95" s="73" t="s">
        <v>14</v>
      </c>
      <c r="AA95" s="5"/>
      <c r="AB95" s="5"/>
      <c r="AC95" s="5"/>
      <c r="AD95" s="5"/>
      <c r="AE95" s="5"/>
    </row>
    <row r="96" spans="1:31" x14ac:dyDescent="0.2">
      <c r="A96" s="60" t="s">
        <v>102</v>
      </c>
      <c r="B96" s="61">
        <f>118159.74</f>
        <v>118159.74</v>
      </c>
      <c r="C96" s="5"/>
      <c r="D96" s="61">
        <f>B103</f>
        <v>131829.54</v>
      </c>
      <c r="E96" s="5"/>
      <c r="F96" s="61">
        <f>D103</f>
        <v>85530.868800000026</v>
      </c>
      <c r="G96" s="5"/>
      <c r="H96" s="61">
        <f>F103</f>
        <v>65884.074700000085</v>
      </c>
      <c r="I96" s="5"/>
      <c r="J96" s="61">
        <f>H103</f>
        <v>111322.12550000005</v>
      </c>
      <c r="K96" s="5"/>
      <c r="L96" s="61">
        <f>J103</f>
        <v>160848.87240000005</v>
      </c>
      <c r="M96" s="5"/>
      <c r="N96" s="61">
        <f>L103</f>
        <v>195342.13210000005</v>
      </c>
      <c r="O96" s="5"/>
      <c r="P96" s="61">
        <f>N103</f>
        <v>196413.68810000003</v>
      </c>
      <c r="Q96" s="5"/>
      <c r="R96" s="61">
        <f>P103</f>
        <v>316263.44440000004</v>
      </c>
      <c r="S96" s="5"/>
      <c r="T96" s="61">
        <f>R103</f>
        <v>209118.05660000007</v>
      </c>
      <c r="U96" s="5"/>
      <c r="V96" s="61">
        <f>T103</f>
        <v>408871.39860000007</v>
      </c>
      <c r="W96" s="5"/>
      <c r="X96" s="61">
        <f>V103</f>
        <v>535680.88219999999</v>
      </c>
      <c r="Y96" s="5"/>
      <c r="Z96" s="61"/>
      <c r="AA96" s="5"/>
      <c r="AB96" s="5"/>
      <c r="AC96" s="5"/>
      <c r="AD96" s="5"/>
      <c r="AE96" s="5"/>
    </row>
    <row r="97" spans="1:31" x14ac:dyDescent="0.2">
      <c r="A97" s="60" t="s">
        <v>103</v>
      </c>
      <c r="B97" s="61">
        <f>B2</f>
        <v>207034.36</v>
      </c>
      <c r="C97" s="5"/>
      <c r="D97" s="61">
        <f>D2</f>
        <v>186411.73</v>
      </c>
      <c r="E97" s="5"/>
      <c r="F97" s="61">
        <f>F3</f>
        <v>247357.76</v>
      </c>
      <c r="G97" s="5"/>
      <c r="H97" s="62">
        <f>H3</f>
        <v>248313.43</v>
      </c>
      <c r="I97" s="5"/>
      <c r="J97" s="62">
        <f>J3</f>
        <v>245884.59</v>
      </c>
      <c r="K97" s="5"/>
      <c r="L97" s="62">
        <f>L2</f>
        <v>268238.2</v>
      </c>
      <c r="M97" s="5"/>
      <c r="N97" s="62">
        <f>N2</f>
        <v>255276.61</v>
      </c>
      <c r="O97" s="5"/>
      <c r="P97" s="62">
        <f>P2</f>
        <v>280651.34000000003</v>
      </c>
      <c r="Q97" s="5"/>
      <c r="R97" s="62">
        <f>R2</f>
        <v>255282.4</v>
      </c>
      <c r="S97" s="5"/>
      <c r="T97" s="62">
        <f>T3</f>
        <v>254755.92</v>
      </c>
      <c r="U97" s="5"/>
      <c r="V97" s="62">
        <f>V3+V4</f>
        <v>298085.05</v>
      </c>
      <c r="W97" s="5"/>
      <c r="X97" s="62">
        <f>X3</f>
        <v>274937.09999999998</v>
      </c>
      <c r="Y97" s="5"/>
      <c r="Z97" s="61">
        <f t="shared" ref="Z97:Z102" si="33">B97+D97+F97+H97+J97+L97+N97+P97+R97+T97+V97+X97</f>
        <v>3022228.49</v>
      </c>
      <c r="AA97" s="5"/>
      <c r="AB97" s="5"/>
      <c r="AC97" s="5"/>
      <c r="AD97" s="5"/>
      <c r="AE97" s="5"/>
    </row>
    <row r="98" spans="1:31" x14ac:dyDescent="0.2">
      <c r="A98" s="60" t="s">
        <v>104</v>
      </c>
      <c r="B98" s="61">
        <f>B75-B41-B35</f>
        <v>113548.32999999997</v>
      </c>
      <c r="C98" s="5"/>
      <c r="D98" s="61">
        <f>D75-D41-D35</f>
        <v>112894.1712</v>
      </c>
      <c r="E98" s="5"/>
      <c r="F98" s="61">
        <f>F75-F41-F35</f>
        <v>112188.32409999998</v>
      </c>
      <c r="G98" s="5"/>
      <c r="H98" s="61">
        <f>H75-H99-H100</f>
        <v>136882.3792</v>
      </c>
      <c r="I98" s="5"/>
      <c r="J98" s="61">
        <f>J75-J99-J100+1730+3750</f>
        <v>135364.8431</v>
      </c>
      <c r="K98" s="5"/>
      <c r="L98" s="61">
        <f>L75-L99-L100-3750-1730</f>
        <v>122751.94030000002</v>
      </c>
      <c r="M98" s="5"/>
      <c r="N98" s="61">
        <f>N75-N99-N100</f>
        <v>147212.054</v>
      </c>
      <c r="O98" s="5"/>
      <c r="P98" s="61">
        <f>P75-P99-P100</f>
        <v>129808.58369999999</v>
      </c>
      <c r="Q98" s="5"/>
      <c r="R98" s="61">
        <f>R75-R99-R100</f>
        <v>136434.78779999999</v>
      </c>
      <c r="S98" s="5"/>
      <c r="T98" s="61">
        <f>T75-T99-T100+0.01</f>
        <v>134009.57800000001</v>
      </c>
      <c r="U98" s="5"/>
      <c r="V98" s="61">
        <f>V75-V99-V100</f>
        <v>140282.56640000001</v>
      </c>
      <c r="W98" s="5"/>
      <c r="X98" s="61">
        <f>X75</f>
        <v>203391.51849999998</v>
      </c>
      <c r="Y98" s="5"/>
      <c r="Z98" s="61">
        <f t="shared" si="33"/>
        <v>1624769.0763000001</v>
      </c>
      <c r="AA98" s="5"/>
      <c r="AB98" s="5"/>
      <c r="AC98" s="5"/>
      <c r="AD98" s="5"/>
      <c r="AE98" s="5"/>
    </row>
    <row r="99" spans="1:31" x14ac:dyDescent="0.2">
      <c r="A99" s="60" t="s">
        <v>105</v>
      </c>
      <c r="B99" s="61">
        <f>B35</f>
        <v>9816.23</v>
      </c>
      <c r="C99" s="5"/>
      <c r="D99" s="61">
        <f>D35</f>
        <v>9816.23</v>
      </c>
      <c r="E99" s="5"/>
      <c r="F99" s="61">
        <f>F35</f>
        <v>9816.23</v>
      </c>
      <c r="G99" s="5"/>
      <c r="H99" s="61">
        <f>H36</f>
        <v>5993</v>
      </c>
      <c r="I99" s="5"/>
      <c r="J99" s="61">
        <f>J36</f>
        <v>5993</v>
      </c>
      <c r="K99" s="5"/>
      <c r="L99" s="61">
        <f>L36</f>
        <v>5993</v>
      </c>
      <c r="M99" s="5"/>
      <c r="N99" s="61">
        <f>N36</f>
        <v>5993</v>
      </c>
      <c r="O99" s="5"/>
      <c r="P99" s="61">
        <f>P36</f>
        <v>5993</v>
      </c>
      <c r="Q99" s="5"/>
      <c r="R99" s="61">
        <f>R36</f>
        <v>5993</v>
      </c>
      <c r="S99" s="5"/>
      <c r="T99" s="61">
        <f>T36</f>
        <v>5993</v>
      </c>
      <c r="U99" s="5"/>
      <c r="V99" s="61">
        <f>V36</f>
        <v>5993</v>
      </c>
      <c r="W99" s="5"/>
      <c r="X99" s="61">
        <f>X36</f>
        <v>5993</v>
      </c>
      <c r="Y99" s="5"/>
      <c r="Z99" s="61">
        <f t="shared" si="33"/>
        <v>83385.69</v>
      </c>
      <c r="AA99" s="5"/>
      <c r="AB99" s="5"/>
      <c r="AC99" s="5"/>
      <c r="AD99" s="5"/>
      <c r="AE99" s="5"/>
    </row>
    <row r="100" spans="1:31" x14ac:dyDescent="0.2">
      <c r="A100" s="60" t="s">
        <v>106</v>
      </c>
      <c r="B100" s="61">
        <v>25000</v>
      </c>
      <c r="C100" s="5"/>
      <c r="D100" s="61">
        <v>25000</v>
      </c>
      <c r="E100" s="5"/>
      <c r="F100" s="61">
        <v>25000</v>
      </c>
      <c r="G100" s="5"/>
      <c r="H100" s="61">
        <v>25000</v>
      </c>
      <c r="I100" s="5"/>
      <c r="J100" s="61">
        <v>25000</v>
      </c>
      <c r="K100" s="5"/>
      <c r="L100" s="61">
        <v>25000</v>
      </c>
      <c r="M100" s="5"/>
      <c r="N100" s="61">
        <v>25000</v>
      </c>
      <c r="O100" s="5"/>
      <c r="P100" s="61">
        <v>25000</v>
      </c>
      <c r="Q100" s="5"/>
      <c r="R100" s="61">
        <v>25000</v>
      </c>
      <c r="S100" s="5"/>
      <c r="T100" s="61">
        <v>25000</v>
      </c>
      <c r="U100" s="5"/>
      <c r="V100" s="61">
        <v>25000</v>
      </c>
      <c r="W100" s="5"/>
      <c r="X100" s="61">
        <v>25000</v>
      </c>
      <c r="Y100" s="5"/>
      <c r="Z100" s="61">
        <f t="shared" si="33"/>
        <v>300000</v>
      </c>
      <c r="AA100" s="5"/>
      <c r="AB100" s="5"/>
      <c r="AC100" s="5"/>
      <c r="AD100" s="5"/>
      <c r="AE100" s="5"/>
    </row>
    <row r="101" spans="1:31" x14ac:dyDescent="0.2">
      <c r="A101" s="60" t="s">
        <v>107</v>
      </c>
      <c r="B101" s="61">
        <v>45000</v>
      </c>
      <c r="C101" s="5"/>
      <c r="D101" s="61">
        <v>185000</v>
      </c>
      <c r="E101" s="5"/>
      <c r="F101" s="61">
        <v>5000</v>
      </c>
      <c r="G101" s="5"/>
      <c r="H101" s="61">
        <v>5000</v>
      </c>
      <c r="I101" s="5"/>
      <c r="J101" s="61">
        <v>30000</v>
      </c>
      <c r="K101" s="5"/>
      <c r="L101" s="61">
        <v>80000</v>
      </c>
      <c r="M101" s="5"/>
      <c r="N101" s="61">
        <v>86000</v>
      </c>
      <c r="O101" s="5"/>
      <c r="P101" s="61">
        <f>P77</f>
        <v>0</v>
      </c>
      <c r="Q101" s="5"/>
      <c r="R101" s="61">
        <v>195000</v>
      </c>
      <c r="S101" s="5"/>
      <c r="T101" s="61">
        <f>T77</f>
        <v>0</v>
      </c>
      <c r="U101" s="5"/>
      <c r="V101" s="61">
        <f>V77</f>
        <v>0</v>
      </c>
      <c r="W101" s="5"/>
      <c r="X101" s="61">
        <f>X77</f>
        <v>0</v>
      </c>
      <c r="Y101" s="5"/>
      <c r="Z101" s="61">
        <f t="shared" si="33"/>
        <v>631000</v>
      </c>
      <c r="AA101" s="5"/>
      <c r="AB101" s="5"/>
      <c r="AC101" s="5"/>
      <c r="AD101" s="5"/>
      <c r="AE101" s="5"/>
    </row>
    <row r="102" spans="1:31" x14ac:dyDescent="0.2">
      <c r="A102" s="60" t="s">
        <v>108</v>
      </c>
      <c r="B102" s="61">
        <f>B76</f>
        <v>0</v>
      </c>
      <c r="C102" s="5"/>
      <c r="D102" s="61">
        <v>-100000</v>
      </c>
      <c r="E102" s="5"/>
      <c r="F102" s="61">
        <f>75000+40000</f>
        <v>115000</v>
      </c>
      <c r="G102" s="5"/>
      <c r="H102" s="61">
        <v>30000</v>
      </c>
      <c r="I102" s="5"/>
      <c r="J102" s="61"/>
      <c r="K102" s="5"/>
      <c r="L102" s="61">
        <f>L76</f>
        <v>0</v>
      </c>
      <c r="M102" s="5"/>
      <c r="N102" s="61">
        <v>-10000</v>
      </c>
      <c r="O102" s="5"/>
      <c r="P102" s="61">
        <f>P76</f>
        <v>0</v>
      </c>
      <c r="Q102" s="5"/>
      <c r="R102" s="61"/>
      <c r="S102" s="5"/>
      <c r="T102" s="61">
        <v>-110000</v>
      </c>
      <c r="U102" s="5"/>
      <c r="V102" s="61"/>
      <c r="W102" s="5"/>
      <c r="X102" s="61">
        <f>X76</f>
        <v>0</v>
      </c>
      <c r="Y102" s="5"/>
      <c r="Z102" s="61">
        <f t="shared" si="33"/>
        <v>-75000</v>
      </c>
      <c r="AA102" s="5"/>
      <c r="AB102" s="5"/>
      <c r="AC102" s="5"/>
      <c r="AD102" s="5"/>
      <c r="AE102" s="5"/>
    </row>
    <row r="103" spans="1:31" x14ac:dyDescent="0.2">
      <c r="A103" s="66" t="s">
        <v>109</v>
      </c>
      <c r="B103" s="65">
        <f>B96+B97-B98-B99-B100-B102-B101</f>
        <v>131829.54</v>
      </c>
      <c r="C103" s="5"/>
      <c r="D103" s="65">
        <f>D96+D97-D98-D99-D100-D101-D102</f>
        <v>85530.868800000026</v>
      </c>
      <c r="E103" s="5"/>
      <c r="F103" s="65">
        <f>F96+F97-F98-F99-F100-F101-F102</f>
        <v>65884.074700000085</v>
      </c>
      <c r="G103" s="5"/>
      <c r="H103" s="65">
        <f>H96+H97-H98-H99-H100-H101-H102</f>
        <v>111322.12550000005</v>
      </c>
      <c r="I103" s="5"/>
      <c r="J103" s="65">
        <f>J96+J97-J98-J99-J100-J101-J102</f>
        <v>160848.87240000005</v>
      </c>
      <c r="K103" s="5"/>
      <c r="L103" s="65">
        <f>L96+L97-L98-L99-L100-L101-L102</f>
        <v>195342.13210000005</v>
      </c>
      <c r="M103" s="5"/>
      <c r="N103" s="65">
        <f>N96+N97-N98-N99-N100-N101-N102</f>
        <v>196413.68810000003</v>
      </c>
      <c r="O103" s="5"/>
      <c r="P103" s="65">
        <f>P96+P97-P98-P99-P100-P101-P102</f>
        <v>316263.44440000004</v>
      </c>
      <c r="Q103" s="5"/>
      <c r="R103" s="65">
        <f>R96+R97-R98-R99-R100-R101-R102</f>
        <v>209118.05660000007</v>
      </c>
      <c r="S103" s="5"/>
      <c r="T103" s="65">
        <f>T96+T97-T98-T99-T100-T101-T102</f>
        <v>408871.39860000007</v>
      </c>
      <c r="U103" s="5"/>
      <c r="V103" s="65">
        <f>V96+V97-V98-V99-V100-V101-V102</f>
        <v>535680.88219999999</v>
      </c>
      <c r="W103" s="5"/>
      <c r="X103" s="65">
        <f>X96+X97-X98-X99-X100-X101-X102</f>
        <v>576233.46369999996</v>
      </c>
      <c r="Y103" s="5"/>
      <c r="Z103" s="65">
        <f>Z96+Z97-Z98-Z99-Z100-Z101-Z102</f>
        <v>458073.72370000021</v>
      </c>
      <c r="AA103" s="5"/>
      <c r="AB103" s="5"/>
      <c r="AC103" s="5"/>
      <c r="AD103" s="5"/>
      <c r="AE103" s="5"/>
    </row>
    <row r="104" spans="1:3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 t="s">
        <v>134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2">
      <c r="V105" s="63">
        <f>V103-V85</f>
        <v>467101.03220000002</v>
      </c>
    </row>
    <row r="111" spans="1:31" x14ac:dyDescent="0.2">
      <c r="R111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86:C88"/>
  </mergeCells>
  <conditionalFormatting sqref="F78:X79 B78:B83 D78:D83 E80:X80 F81:X83">
    <cfRule type="cellIs" dxfId="2" priority="2" operator="lessThan">
      <formula>0</formula>
    </cfRule>
  </conditionalFormatting>
  <conditionalFormatting sqref="Z72:AC73 B72:Y75 AB74:AC75">
    <cfRule type="cellIs" dxfId="1" priority="3" operator="lessThan">
      <formula>0</formula>
    </cfRule>
  </conditionalFormatting>
  <conditionalFormatting sqref="AA72:AA73">
    <cfRule type="cellIs" dxfId="0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8AEE-8AA4-4218-945A-1531F4AFA7CF}">
  <dimension ref="A1:C72"/>
  <sheetViews>
    <sheetView topLeftCell="A85" workbookViewId="0">
      <selection activeCell="S16" sqref="S16"/>
    </sheetView>
  </sheetViews>
  <sheetFormatPr baseColWidth="10" defaultColWidth="8.83203125" defaultRowHeight="15" x14ac:dyDescent="0.2"/>
  <cols>
    <col min="1" max="1" width="7.33203125" customWidth="1"/>
    <col min="2" max="3" width="13.33203125" bestFit="1" customWidth="1"/>
  </cols>
  <sheetData>
    <row r="1" spans="1:3" x14ac:dyDescent="0.2">
      <c r="A1" s="139" t="s">
        <v>116</v>
      </c>
      <c r="B1" s="139"/>
      <c r="C1" s="139"/>
    </row>
    <row r="2" spans="1:3" x14ac:dyDescent="0.2">
      <c r="B2" t="s">
        <v>114</v>
      </c>
      <c r="C2" t="s">
        <v>118</v>
      </c>
    </row>
    <row r="3" spans="1:3" x14ac:dyDescent="0.2">
      <c r="A3" t="s">
        <v>120</v>
      </c>
      <c r="B3" s="78">
        <v>215626</v>
      </c>
      <c r="C3" s="78">
        <f>Resultado!B2</f>
        <v>207034.36</v>
      </c>
    </row>
    <row r="4" spans="1:3" x14ac:dyDescent="0.2">
      <c r="A4" t="s">
        <v>121</v>
      </c>
      <c r="B4" s="78">
        <v>231026</v>
      </c>
      <c r="C4" s="78">
        <f>Resultado!D2</f>
        <v>207430.62</v>
      </c>
    </row>
    <row r="5" spans="1:3" x14ac:dyDescent="0.2">
      <c r="A5" t="s">
        <v>122</v>
      </c>
      <c r="B5" s="78">
        <v>268830</v>
      </c>
      <c r="C5" s="78">
        <f>Resultado!F2</f>
        <v>212552.53</v>
      </c>
    </row>
    <row r="6" spans="1:3" x14ac:dyDescent="0.2">
      <c r="A6" t="s">
        <v>123</v>
      </c>
      <c r="B6" s="78">
        <v>303857</v>
      </c>
      <c r="C6" s="78"/>
    </row>
    <row r="7" spans="1:3" x14ac:dyDescent="0.2">
      <c r="A7" t="s">
        <v>124</v>
      </c>
      <c r="B7" s="78">
        <v>369948</v>
      </c>
      <c r="C7" s="78"/>
    </row>
    <row r="8" spans="1:3" x14ac:dyDescent="0.2">
      <c r="A8" t="s">
        <v>125</v>
      </c>
      <c r="B8" s="78">
        <v>364515</v>
      </c>
      <c r="C8" s="78"/>
    </row>
    <row r="9" spans="1:3" x14ac:dyDescent="0.2">
      <c r="A9" t="s">
        <v>126</v>
      </c>
      <c r="B9" s="78">
        <v>293877</v>
      </c>
      <c r="C9" s="78"/>
    </row>
    <row r="10" spans="1:3" x14ac:dyDescent="0.2">
      <c r="A10" t="s">
        <v>127</v>
      </c>
      <c r="B10" s="78">
        <v>260337</v>
      </c>
      <c r="C10" s="78"/>
    </row>
    <row r="11" spans="1:3" x14ac:dyDescent="0.2">
      <c r="A11" t="s">
        <v>128</v>
      </c>
      <c r="B11" s="78">
        <v>315491</v>
      </c>
      <c r="C11" s="78"/>
    </row>
    <row r="12" spans="1:3" x14ac:dyDescent="0.2">
      <c r="A12" t="s">
        <v>129</v>
      </c>
      <c r="B12" s="78">
        <v>267387</v>
      </c>
      <c r="C12" s="78"/>
    </row>
    <row r="13" spans="1:3" x14ac:dyDescent="0.2">
      <c r="A13" t="s">
        <v>130</v>
      </c>
      <c r="B13" s="78">
        <v>355415</v>
      </c>
      <c r="C13" s="78"/>
    </row>
    <row r="14" spans="1:3" x14ac:dyDescent="0.2">
      <c r="A14" t="s">
        <v>131</v>
      </c>
      <c r="B14" s="78">
        <v>284340</v>
      </c>
      <c r="C14" s="78"/>
    </row>
    <row r="15" spans="1:3" x14ac:dyDescent="0.2">
      <c r="B15" s="63">
        <f>SUM(B3:B14)</f>
        <v>3530649</v>
      </c>
      <c r="C15" s="63">
        <f>SUM(C3:C14)</f>
        <v>627017.51</v>
      </c>
    </row>
    <row r="26" spans="1:3" x14ac:dyDescent="0.2">
      <c r="A26" s="139" t="s">
        <v>115</v>
      </c>
      <c r="B26" s="139"/>
      <c r="C26" s="139"/>
    </row>
    <row r="27" spans="1:3" x14ac:dyDescent="0.2">
      <c r="B27" t="s">
        <v>119</v>
      </c>
      <c r="C27" t="s">
        <v>118</v>
      </c>
    </row>
    <row r="28" spans="1:3" x14ac:dyDescent="0.2">
      <c r="A28" t="s">
        <v>120</v>
      </c>
      <c r="B28" s="80"/>
      <c r="C28" s="80"/>
    </row>
    <row r="29" spans="1:3" x14ac:dyDescent="0.2">
      <c r="A29" t="s">
        <v>121</v>
      </c>
      <c r="B29" s="80"/>
      <c r="C29" s="80"/>
    </row>
    <row r="30" spans="1:3" x14ac:dyDescent="0.2">
      <c r="A30" t="s">
        <v>122</v>
      </c>
      <c r="B30" s="80"/>
      <c r="C30" s="80"/>
    </row>
    <row r="31" spans="1:3" x14ac:dyDescent="0.2">
      <c r="A31" t="s">
        <v>123</v>
      </c>
      <c r="B31" s="80"/>
      <c r="C31" s="80"/>
    </row>
    <row r="32" spans="1:3" x14ac:dyDescent="0.2">
      <c r="A32" t="s">
        <v>124</v>
      </c>
      <c r="B32" s="80"/>
      <c r="C32" s="80"/>
    </row>
    <row r="33" spans="1:3" x14ac:dyDescent="0.2">
      <c r="A33" t="s">
        <v>125</v>
      </c>
      <c r="B33" s="80"/>
      <c r="C33" s="80"/>
    </row>
    <row r="34" spans="1:3" x14ac:dyDescent="0.2">
      <c r="A34" t="s">
        <v>126</v>
      </c>
      <c r="B34" s="80"/>
      <c r="C34" s="80"/>
    </row>
    <row r="35" spans="1:3" x14ac:dyDescent="0.2">
      <c r="A35" t="s">
        <v>127</v>
      </c>
      <c r="B35" s="80"/>
      <c r="C35" s="80"/>
    </row>
    <row r="36" spans="1:3" x14ac:dyDescent="0.2">
      <c r="A36" t="s">
        <v>128</v>
      </c>
      <c r="B36" s="80"/>
      <c r="C36" s="80"/>
    </row>
    <row r="37" spans="1:3" x14ac:dyDescent="0.2">
      <c r="A37" t="s">
        <v>129</v>
      </c>
      <c r="B37" s="80"/>
      <c r="C37" s="80"/>
    </row>
    <row r="38" spans="1:3" x14ac:dyDescent="0.2">
      <c r="A38" t="s">
        <v>130</v>
      </c>
      <c r="B38" s="80"/>
      <c r="C38" s="80"/>
    </row>
    <row r="39" spans="1:3" x14ac:dyDescent="0.2">
      <c r="A39" t="s">
        <v>131</v>
      </c>
      <c r="B39" s="80"/>
      <c r="C39" s="80"/>
    </row>
    <row r="58" spans="1:3" x14ac:dyDescent="0.2">
      <c r="A58" s="139" t="s">
        <v>117</v>
      </c>
      <c r="B58" s="139"/>
      <c r="C58" s="139"/>
    </row>
    <row r="59" spans="1:3" x14ac:dyDescent="0.2">
      <c r="B59" t="s">
        <v>114</v>
      </c>
      <c r="C59" t="s">
        <v>118</v>
      </c>
    </row>
    <row r="60" spans="1:3" x14ac:dyDescent="0.2">
      <c r="A60" t="s">
        <v>120</v>
      </c>
      <c r="B60" s="79"/>
      <c r="C60" s="79"/>
    </row>
    <row r="61" spans="1:3" x14ac:dyDescent="0.2">
      <c r="A61" t="s">
        <v>121</v>
      </c>
      <c r="B61" s="79"/>
      <c r="C61" s="79"/>
    </row>
    <row r="62" spans="1:3" x14ac:dyDescent="0.2">
      <c r="A62" t="s">
        <v>122</v>
      </c>
      <c r="B62" s="79"/>
      <c r="C62" s="79"/>
    </row>
    <row r="63" spans="1:3" x14ac:dyDescent="0.2">
      <c r="A63" t="s">
        <v>123</v>
      </c>
      <c r="B63" s="79"/>
      <c r="C63" s="79"/>
    </row>
    <row r="64" spans="1:3" x14ac:dyDescent="0.2">
      <c r="A64" t="s">
        <v>124</v>
      </c>
      <c r="B64" s="79"/>
      <c r="C64" s="79"/>
    </row>
    <row r="65" spans="1:3" x14ac:dyDescent="0.2">
      <c r="A65" t="s">
        <v>125</v>
      </c>
      <c r="B65" s="79"/>
      <c r="C65" s="79"/>
    </row>
    <row r="66" spans="1:3" x14ac:dyDescent="0.2">
      <c r="A66" t="s">
        <v>126</v>
      </c>
      <c r="B66" s="79"/>
      <c r="C66" s="79"/>
    </row>
    <row r="67" spans="1:3" x14ac:dyDescent="0.2">
      <c r="A67" t="s">
        <v>127</v>
      </c>
      <c r="B67" s="79"/>
      <c r="C67" s="79"/>
    </row>
    <row r="68" spans="1:3" x14ac:dyDescent="0.2">
      <c r="A68" t="s">
        <v>128</v>
      </c>
      <c r="B68" s="79"/>
      <c r="C68" s="79"/>
    </row>
    <row r="69" spans="1:3" x14ac:dyDescent="0.2">
      <c r="A69" t="s">
        <v>129</v>
      </c>
      <c r="B69" s="79"/>
      <c r="C69" s="79"/>
    </row>
    <row r="70" spans="1:3" x14ac:dyDescent="0.2">
      <c r="A70" t="s">
        <v>130</v>
      </c>
      <c r="B70" s="79"/>
      <c r="C70" s="79"/>
    </row>
    <row r="71" spans="1:3" x14ac:dyDescent="0.2">
      <c r="A71" t="s">
        <v>131</v>
      </c>
      <c r="B71" s="79"/>
      <c r="C71" s="79"/>
    </row>
    <row r="72" spans="1:3" x14ac:dyDescent="0.2">
      <c r="A72" t="s">
        <v>14</v>
      </c>
      <c r="B72" s="79"/>
      <c r="C72" s="79"/>
    </row>
  </sheetData>
  <mergeCells count="3">
    <mergeCell ref="A58:C58"/>
    <mergeCell ref="A1:C1"/>
    <mergeCell ref="A26:C26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262-1695-4E69-B218-61C06B4F9EA6}">
  <dimension ref="A1"/>
  <sheetViews>
    <sheetView zoomScale="120" zoomScaleNormal="120" workbookViewId="0">
      <selection activeCell="F8" sqref="F8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</vt:lpstr>
      <vt:lpstr>Previsão 2024</vt:lpstr>
      <vt:lpstr>Comparativo</vt:lpstr>
      <vt:lpstr>Análise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Hunter Books</cp:lastModifiedBy>
  <dcterms:created xsi:type="dcterms:W3CDTF">2022-12-15T19:01:13Z</dcterms:created>
  <dcterms:modified xsi:type="dcterms:W3CDTF">2025-07-27T02:33:29Z</dcterms:modified>
</cp:coreProperties>
</file>