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/marine-seguros/"/>
    </mc:Choice>
  </mc:AlternateContent>
  <xr:revisionPtr revIDLastSave="0" documentId="8_{71108C73-D79B-C64F-AE91-4B4ECB858425}" xr6:coauthVersionLast="47" xr6:coauthVersionMax="47" xr10:uidLastSave="{00000000-0000-0000-0000-000000000000}"/>
  <bookViews>
    <workbookView xWindow="0" yWindow="1540" windowWidth="29040" windowHeight="15720" activeTab="1" xr2:uid="{3C5D265E-AF03-4F51-9CCE-24892D1B456A}"/>
  </bookViews>
  <sheets>
    <sheet name="Previsão" sheetId="6" r:id="rId1"/>
    <sheet name="Resultado" sheetId="7" r:id="rId2"/>
    <sheet name="Planilha1" sheetId="8" r:id="rId3"/>
    <sheet name="Comparativo" sheetId="4" r:id="rId4"/>
    <sheet name="Análise previsã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7" l="1"/>
  <c r="L3" i="7"/>
  <c r="N11" i="7"/>
  <c r="N26" i="7"/>
  <c r="N10" i="7"/>
  <c r="L79" i="7"/>
  <c r="L82" i="7"/>
  <c r="L5" i="7"/>
  <c r="L52" i="7"/>
  <c r="L44" i="7"/>
  <c r="L25" i="7"/>
  <c r="L9" i="7"/>
  <c r="L69" i="7"/>
  <c r="L105" i="7"/>
  <c r="L75" i="7"/>
  <c r="L74" i="7"/>
  <c r="L66" i="7"/>
  <c r="L86" i="7"/>
  <c r="L26" i="7"/>
  <c r="L67" i="7"/>
  <c r="L32" i="7"/>
  <c r="L11" i="7"/>
  <c r="L10" i="7"/>
  <c r="J39" i="7"/>
  <c r="J71" i="7"/>
  <c r="J61" i="7"/>
  <c r="J74" i="7"/>
  <c r="J60" i="7"/>
  <c r="J76" i="7"/>
  <c r="J53" i="7"/>
  <c r="J52" i="7"/>
  <c r="J66" i="7"/>
  <c r="J65" i="7"/>
  <c r="J67" i="7"/>
  <c r="J4" i="7"/>
  <c r="J3" i="7"/>
  <c r="J32" i="7" l="1"/>
  <c r="J14" i="7"/>
  <c r="J29" i="7"/>
  <c r="J26" i="7"/>
  <c r="J11" i="7"/>
  <c r="J10" i="7"/>
  <c r="H4" i="7"/>
  <c r="H118" i="7"/>
  <c r="H50" i="7" l="1"/>
  <c r="H86" i="7"/>
  <c r="H14" i="7"/>
  <c r="H69" i="7"/>
  <c r="H74" i="7"/>
  <c r="H60" i="7"/>
  <c r="H30" i="7"/>
  <c r="H26" i="7" l="1"/>
  <c r="H11" i="7"/>
  <c r="H10" i="7"/>
  <c r="F3" i="7" l="1"/>
  <c r="F104" i="7" l="1"/>
  <c r="D104" i="7"/>
  <c r="F69" i="7"/>
  <c r="F44" i="7"/>
  <c r="F77" i="7"/>
  <c r="F118" i="7"/>
  <c r="AB70" i="7" l="1"/>
  <c r="AB71" i="7"/>
  <c r="AB76" i="7"/>
  <c r="D69" i="7"/>
  <c r="X69" i="7"/>
  <c r="V69" i="7"/>
  <c r="T69" i="7"/>
  <c r="R69" i="7"/>
  <c r="P69" i="7"/>
  <c r="N69" i="7"/>
  <c r="J69" i="7"/>
  <c r="F26" i="7"/>
  <c r="F33" i="7"/>
  <c r="AB69" i="7" l="1"/>
  <c r="F43" i="7"/>
  <c r="F30" i="7"/>
  <c r="F39" i="7" l="1"/>
  <c r="F50" i="7"/>
  <c r="F52" i="7"/>
  <c r="F65" i="7"/>
  <c r="F37" i="7"/>
  <c r="F67" i="7"/>
  <c r="P77" i="7" l="1"/>
  <c r="X77" i="7"/>
  <c r="F10" i="7" l="1"/>
  <c r="F11" i="7"/>
  <c r="F14" i="7"/>
  <c r="F12" i="7"/>
  <c r="F9" i="7" l="1"/>
  <c r="F6" i="7" s="1"/>
  <c r="F31" i="7"/>
  <c r="F25" i="7" s="1"/>
  <c r="F20" i="7" s="1"/>
  <c r="AB31" i="7" l="1"/>
  <c r="X3" i="7" l="1"/>
  <c r="V3" i="7"/>
  <c r="T3" i="7"/>
  <c r="R3" i="7"/>
  <c r="P3" i="7"/>
  <c r="D4" i="7"/>
  <c r="D118" i="7" l="1"/>
  <c r="D50" i="7" l="1"/>
  <c r="D26" i="7" l="1"/>
  <c r="D14" i="7"/>
  <c r="D12" i="7"/>
  <c r="D11" i="7"/>
  <c r="D10" i="7"/>
  <c r="X117" i="7"/>
  <c r="V117" i="7"/>
  <c r="T117" i="7"/>
  <c r="R117" i="7"/>
  <c r="P117" i="7"/>
  <c r="N117" i="7"/>
  <c r="L117" i="7"/>
  <c r="J117" i="7"/>
  <c r="H117" i="7"/>
  <c r="F117" i="7"/>
  <c r="D117" i="7"/>
  <c r="B117" i="7"/>
  <c r="B105" i="7"/>
  <c r="D105" i="7" s="1"/>
  <c r="F105" i="7" s="1"/>
  <c r="H105" i="7" s="1"/>
  <c r="J105" i="7" s="1"/>
  <c r="B79" i="7" l="1"/>
  <c r="B82" i="7"/>
  <c r="B50" i="7"/>
  <c r="B67" i="7"/>
  <c r="B32" i="7" l="1"/>
  <c r="B51" i="7"/>
  <c r="N63" i="7"/>
  <c r="P63" i="7" s="1"/>
  <c r="R63" i="7" s="1"/>
  <c r="T63" i="7" s="1"/>
  <c r="V63" i="7" s="1"/>
  <c r="X63" i="7" s="1"/>
  <c r="B68" i="7"/>
  <c r="B30" i="7"/>
  <c r="B4" i="7"/>
  <c r="AE88" i="7"/>
  <c r="AE89" i="7"/>
  <c r="AE6" i="7"/>
  <c r="AE11" i="7"/>
  <c r="AE9" i="7"/>
  <c r="AE7" i="7"/>
  <c r="AE25" i="7"/>
  <c r="AE20" i="7"/>
  <c r="V26" i="7"/>
  <c r="V33" i="7" s="1"/>
  <c r="T26" i="7"/>
  <c r="P26" i="7"/>
  <c r="AB32" i="7" l="1"/>
  <c r="AE77" i="7"/>
  <c r="AB30" i="7" l="1"/>
  <c r="AB29" i="7"/>
  <c r="AB43" i="7"/>
  <c r="B26" i="7"/>
  <c r="B11" i="7"/>
  <c r="AB11" i="7" s="1"/>
  <c r="B12" i="7"/>
  <c r="AB12" i="7" s="1"/>
  <c r="B10" i="7"/>
  <c r="AB10" i="7" s="1"/>
  <c r="R128" i="7"/>
  <c r="X119" i="7"/>
  <c r="P119" i="7"/>
  <c r="L119" i="7"/>
  <c r="X118" i="7"/>
  <c r="V118" i="7"/>
  <c r="T118" i="7"/>
  <c r="R118" i="7"/>
  <c r="P118" i="7"/>
  <c r="N118" i="7"/>
  <c r="J118" i="7"/>
  <c r="B118" i="7"/>
  <c r="Z117" i="7"/>
  <c r="X114" i="7"/>
  <c r="V114" i="7"/>
  <c r="T114" i="7"/>
  <c r="X101" i="7"/>
  <c r="B101" i="7"/>
  <c r="L118" i="7"/>
  <c r="AB87" i="7"/>
  <c r="H77" i="7"/>
  <c r="AB85" i="7"/>
  <c r="AB84" i="7"/>
  <c r="AB83" i="7"/>
  <c r="AB82" i="7"/>
  <c r="AB81" i="7"/>
  <c r="AB80" i="7"/>
  <c r="AB79" i="7"/>
  <c r="AB78" i="7"/>
  <c r="V77" i="7"/>
  <c r="T77" i="7"/>
  <c r="R77" i="7"/>
  <c r="N77" i="7"/>
  <c r="L77" i="7"/>
  <c r="D77" i="7"/>
  <c r="B77" i="7"/>
  <c r="AB68" i="7"/>
  <c r="AB67" i="7"/>
  <c r="AB66" i="7"/>
  <c r="AB65" i="7"/>
  <c r="AB64" i="7"/>
  <c r="AB63" i="7"/>
  <c r="D62" i="7"/>
  <c r="H62" i="7" s="1"/>
  <c r="D59" i="7"/>
  <c r="AB58" i="7"/>
  <c r="R57" i="7"/>
  <c r="AB56" i="7"/>
  <c r="AB54" i="7"/>
  <c r="AB53" i="7"/>
  <c r="AB52" i="7"/>
  <c r="AB51" i="7"/>
  <c r="AB49" i="7"/>
  <c r="AB48" i="7"/>
  <c r="AB47" i="7"/>
  <c r="AB46" i="7"/>
  <c r="AB45" i="7"/>
  <c r="X44" i="7"/>
  <c r="V44" i="7"/>
  <c r="T44" i="7"/>
  <c r="R44" i="7"/>
  <c r="R116" i="7" s="1"/>
  <c r="P44" i="7"/>
  <c r="N44" i="7"/>
  <c r="N116" i="7" s="1"/>
  <c r="L116" i="7"/>
  <c r="J44" i="7"/>
  <c r="J116" i="7" s="1"/>
  <c r="H44" i="7"/>
  <c r="H116" i="7" s="1"/>
  <c r="F116" i="7"/>
  <c r="D44" i="7"/>
  <c r="B44" i="7"/>
  <c r="B116" i="7" s="1"/>
  <c r="AB42" i="7"/>
  <c r="AB40" i="7"/>
  <c r="AB37" i="7"/>
  <c r="AB36" i="7"/>
  <c r="N35" i="7"/>
  <c r="AB34" i="7"/>
  <c r="AB28" i="7"/>
  <c r="AB27" i="7"/>
  <c r="AB24" i="7"/>
  <c r="AB23" i="7"/>
  <c r="AB22" i="7"/>
  <c r="AB21" i="7"/>
  <c r="AB18" i="7"/>
  <c r="AB17" i="7"/>
  <c r="AB16" i="7"/>
  <c r="AB15" i="7"/>
  <c r="AB14" i="7"/>
  <c r="AB13" i="7"/>
  <c r="X9" i="7"/>
  <c r="V9" i="7"/>
  <c r="T9" i="7"/>
  <c r="R9" i="7"/>
  <c r="P9" i="7"/>
  <c r="N9" i="7"/>
  <c r="J9" i="7"/>
  <c r="H9" i="7"/>
  <c r="D9" i="7"/>
  <c r="AB8" i="7"/>
  <c r="AB5" i="7"/>
  <c r="AB4" i="7"/>
  <c r="AB3" i="7"/>
  <c r="X2" i="7"/>
  <c r="V2" i="7"/>
  <c r="T2" i="7"/>
  <c r="R2" i="7"/>
  <c r="P2" i="7"/>
  <c r="N2" i="7"/>
  <c r="L2" i="7"/>
  <c r="M74" i="7" s="1"/>
  <c r="J2" i="7"/>
  <c r="H2" i="7"/>
  <c r="F2" i="7"/>
  <c r="D2" i="7"/>
  <c r="B2" i="7"/>
  <c r="AB7" i="6"/>
  <c r="O72" i="7" l="1"/>
  <c r="O73" i="7"/>
  <c r="M73" i="7"/>
  <c r="M72" i="7"/>
  <c r="J114" i="7"/>
  <c r="K72" i="7"/>
  <c r="M3" i="7"/>
  <c r="M70" i="7"/>
  <c r="M71" i="7"/>
  <c r="M76" i="7"/>
  <c r="M69" i="7"/>
  <c r="E41" i="7"/>
  <c r="E70" i="7"/>
  <c r="E71" i="7"/>
  <c r="E76" i="7"/>
  <c r="E69" i="7"/>
  <c r="O28" i="7"/>
  <c r="O71" i="7"/>
  <c r="O76" i="7"/>
  <c r="O70" i="7"/>
  <c r="O69" i="7"/>
  <c r="S70" i="7"/>
  <c r="S71" i="7"/>
  <c r="S76" i="7"/>
  <c r="S69" i="7"/>
  <c r="U41" i="7"/>
  <c r="U70" i="7"/>
  <c r="U71" i="7"/>
  <c r="U76" i="7"/>
  <c r="U67" i="7"/>
  <c r="U68" i="7"/>
  <c r="U69" i="7"/>
  <c r="W76" i="7"/>
  <c r="W68" i="7"/>
  <c r="W70" i="7"/>
  <c r="W71" i="7"/>
  <c r="W69" i="7"/>
  <c r="Y70" i="7"/>
  <c r="Y71" i="7"/>
  <c r="Y76" i="7"/>
  <c r="Y69" i="7"/>
  <c r="K5" i="7"/>
  <c r="K76" i="7"/>
  <c r="K70" i="7"/>
  <c r="K71" i="7"/>
  <c r="K69" i="7"/>
  <c r="Q69" i="7"/>
  <c r="Q71" i="7"/>
  <c r="Q70" i="7"/>
  <c r="Q76" i="7"/>
  <c r="C70" i="7"/>
  <c r="C69" i="7"/>
  <c r="C76" i="7"/>
  <c r="C71" i="7"/>
  <c r="I69" i="7"/>
  <c r="I70" i="7"/>
  <c r="I71" i="7"/>
  <c r="I76" i="7"/>
  <c r="G41" i="7"/>
  <c r="G70" i="7"/>
  <c r="G76" i="7"/>
  <c r="G67" i="7"/>
  <c r="G68" i="7"/>
  <c r="G71" i="7"/>
  <c r="G69" i="7"/>
  <c r="I22" i="7"/>
  <c r="I41" i="7"/>
  <c r="Q5" i="7"/>
  <c r="Q41" i="7"/>
  <c r="S34" i="7"/>
  <c r="S41" i="7"/>
  <c r="W38" i="7"/>
  <c r="W41" i="7"/>
  <c r="AB44" i="7"/>
  <c r="Y31" i="7"/>
  <c r="Y41" i="7"/>
  <c r="AB2" i="7"/>
  <c r="G24" i="7"/>
  <c r="G31" i="7"/>
  <c r="G30" i="7"/>
  <c r="E21" i="7"/>
  <c r="E29" i="7"/>
  <c r="E30" i="7"/>
  <c r="E31" i="7"/>
  <c r="E32" i="7"/>
  <c r="E33" i="7"/>
  <c r="E34" i="7"/>
  <c r="E35" i="7"/>
  <c r="E37" i="7"/>
  <c r="E36" i="7"/>
  <c r="M4" i="7"/>
  <c r="G17" i="7"/>
  <c r="K33" i="7"/>
  <c r="W8" i="7"/>
  <c r="K29" i="7"/>
  <c r="O29" i="7"/>
  <c r="B9" i="7"/>
  <c r="B6" i="7" s="1"/>
  <c r="B19" i="7" s="1"/>
  <c r="C19" i="7" s="1"/>
  <c r="G10" i="7"/>
  <c r="D25" i="7"/>
  <c r="E38" i="7"/>
  <c r="Z119" i="7"/>
  <c r="O24" i="7"/>
  <c r="C28" i="7"/>
  <c r="C31" i="7"/>
  <c r="C35" i="7"/>
  <c r="C36" i="7"/>
  <c r="C33" i="7"/>
  <c r="C34" i="7"/>
  <c r="C8" i="7"/>
  <c r="C29" i="7"/>
  <c r="C30" i="7"/>
  <c r="C32" i="7"/>
  <c r="AB86" i="7"/>
  <c r="AB77" i="7" s="1"/>
  <c r="E4" i="7"/>
  <c r="Y29" i="7"/>
  <c r="W12" i="7"/>
  <c r="W29" i="7"/>
  <c r="W3" i="7"/>
  <c r="W16" i="7"/>
  <c r="U5" i="7"/>
  <c r="U29" i="7"/>
  <c r="U9" i="7"/>
  <c r="S29" i="7"/>
  <c r="Q48" i="7"/>
  <c r="Q29" i="7"/>
  <c r="Q9" i="7"/>
  <c r="Q21" i="7"/>
  <c r="O9" i="7"/>
  <c r="M29" i="7"/>
  <c r="M5" i="7"/>
  <c r="M30" i="7"/>
  <c r="M48" i="7"/>
  <c r="AE2" i="7"/>
  <c r="K4" i="7"/>
  <c r="K9" i="7"/>
  <c r="K24" i="7"/>
  <c r="I29" i="7"/>
  <c r="I9" i="7"/>
  <c r="G9" i="7"/>
  <c r="G14" i="7"/>
  <c r="G18" i="7"/>
  <c r="G4" i="7"/>
  <c r="G13" i="7"/>
  <c r="E9" i="7"/>
  <c r="AB9" i="7"/>
  <c r="U43" i="7"/>
  <c r="W5" i="7"/>
  <c r="W9" i="7"/>
  <c r="S23" i="7"/>
  <c r="AB50" i="7"/>
  <c r="AC5" i="7"/>
  <c r="Y9" i="7"/>
  <c r="W13" i="7"/>
  <c r="W17" i="7"/>
  <c r="W23" i="7"/>
  <c r="W50" i="7"/>
  <c r="C7" i="7"/>
  <c r="C38" i="7"/>
  <c r="D6" i="7"/>
  <c r="U46" i="7"/>
  <c r="G38" i="7"/>
  <c r="E3" i="7"/>
  <c r="U4" i="7"/>
  <c r="I7" i="7"/>
  <c r="W10" i="7"/>
  <c r="W14" i="7"/>
  <c r="W18" i="7"/>
  <c r="Z118" i="7"/>
  <c r="G3" i="7"/>
  <c r="W4" i="7"/>
  <c r="T7" i="7"/>
  <c r="T6" i="7" s="1"/>
  <c r="U6" i="7" s="1"/>
  <c r="K44" i="7"/>
  <c r="K3" i="7"/>
  <c r="X7" i="7"/>
  <c r="Y7" i="7" s="1"/>
  <c r="G11" i="7"/>
  <c r="G15" i="7"/>
  <c r="G39" i="7"/>
  <c r="E5" i="7"/>
  <c r="G8" i="7"/>
  <c r="W11" i="7"/>
  <c r="W15" i="7"/>
  <c r="S21" i="7"/>
  <c r="E26" i="7"/>
  <c r="O3" i="7"/>
  <c r="G5" i="7"/>
  <c r="O8" i="7"/>
  <c r="K40" i="7"/>
  <c r="U3" i="7"/>
  <c r="Q8" i="7"/>
  <c r="S9" i="7"/>
  <c r="G12" i="7"/>
  <c r="G16" i="7"/>
  <c r="E22" i="7"/>
  <c r="U49" i="7"/>
  <c r="O43" i="7"/>
  <c r="Y22" i="7"/>
  <c r="I30" i="7"/>
  <c r="Y10" i="7"/>
  <c r="I13" i="7"/>
  <c r="Y15" i="7"/>
  <c r="Y17" i="7"/>
  <c r="I36" i="7"/>
  <c r="Y40" i="7"/>
  <c r="L114" i="7"/>
  <c r="L108" i="7"/>
  <c r="M68" i="7"/>
  <c r="M87" i="7"/>
  <c r="M86" i="7"/>
  <c r="M66" i="7"/>
  <c r="M65" i="7"/>
  <c r="M56" i="7"/>
  <c r="M79" i="7"/>
  <c r="M67" i="7"/>
  <c r="M83" i="7"/>
  <c r="M80" i="7"/>
  <c r="M64" i="7"/>
  <c r="M63" i="7"/>
  <c r="M84" i="7"/>
  <c r="M40" i="7"/>
  <c r="M33" i="7"/>
  <c r="M82" i="7"/>
  <c r="M42" i="7"/>
  <c r="M81" i="7"/>
  <c r="M78" i="7"/>
  <c r="M43" i="7"/>
  <c r="M28" i="7"/>
  <c r="M27" i="7"/>
  <c r="M24" i="7"/>
  <c r="M23" i="7"/>
  <c r="M22" i="7"/>
  <c r="M58" i="7"/>
  <c r="M53" i="7"/>
  <c r="M85" i="7"/>
  <c r="M45" i="7"/>
  <c r="M34" i="7"/>
  <c r="M54" i="7"/>
  <c r="M49" i="7"/>
  <c r="M46" i="7"/>
  <c r="O4" i="7"/>
  <c r="O5" i="7"/>
  <c r="S8" i="7"/>
  <c r="K10" i="7"/>
  <c r="K11" i="7"/>
  <c r="K12" i="7"/>
  <c r="K13" i="7"/>
  <c r="K14" i="7"/>
  <c r="K15" i="7"/>
  <c r="K16" i="7"/>
  <c r="K17" i="7"/>
  <c r="K18" i="7"/>
  <c r="U21" i="7"/>
  <c r="G22" i="7"/>
  <c r="Y23" i="7"/>
  <c r="S24" i="7"/>
  <c r="C27" i="7"/>
  <c r="Y30" i="7"/>
  <c r="M32" i="7"/>
  <c r="G35" i="7"/>
  <c r="M36" i="7"/>
  <c r="I38" i="7"/>
  <c r="M44" i="7"/>
  <c r="E45" i="7"/>
  <c r="I51" i="7"/>
  <c r="Q3" i="7"/>
  <c r="Q4" i="7"/>
  <c r="N7" i="7"/>
  <c r="V7" i="7"/>
  <c r="E8" i="7"/>
  <c r="U8" i="7"/>
  <c r="M10" i="7"/>
  <c r="M11" i="7"/>
  <c r="M12" i="7"/>
  <c r="M13" i="7"/>
  <c r="M14" i="7"/>
  <c r="M15" i="7"/>
  <c r="M16" i="7"/>
  <c r="M17" i="7"/>
  <c r="M18" i="7"/>
  <c r="C21" i="7"/>
  <c r="Y21" i="7"/>
  <c r="C23" i="7"/>
  <c r="W24" i="7"/>
  <c r="K27" i="7"/>
  <c r="S28" i="7"/>
  <c r="K35" i="7"/>
  <c r="K42" i="7"/>
  <c r="C44" i="7"/>
  <c r="S45" i="7"/>
  <c r="M51" i="7"/>
  <c r="I85" i="7"/>
  <c r="I84" i="7"/>
  <c r="I83" i="7"/>
  <c r="I82" i="7"/>
  <c r="I81" i="7"/>
  <c r="I80" i="7"/>
  <c r="I79" i="7"/>
  <c r="I78" i="7"/>
  <c r="H114" i="7"/>
  <c r="H108" i="7"/>
  <c r="I67" i="7"/>
  <c r="I64" i="7"/>
  <c r="I63" i="7"/>
  <c r="I58" i="7"/>
  <c r="I45" i="7"/>
  <c r="I57" i="7"/>
  <c r="I87" i="7"/>
  <c r="I66" i="7"/>
  <c r="I65" i="7"/>
  <c r="I56" i="7"/>
  <c r="I34" i="7"/>
  <c r="I54" i="7"/>
  <c r="I60" i="7"/>
  <c r="I50" i="7"/>
  <c r="I40" i="7"/>
  <c r="I33" i="7"/>
  <c r="I42" i="7"/>
  <c r="I68" i="7"/>
  <c r="I52" i="7"/>
  <c r="I48" i="7"/>
  <c r="I37" i="7"/>
  <c r="I43" i="7"/>
  <c r="I28" i="7"/>
  <c r="I27" i="7"/>
  <c r="I53" i="7"/>
  <c r="I11" i="7"/>
  <c r="I12" i="7"/>
  <c r="Y13" i="7"/>
  <c r="I15" i="7"/>
  <c r="I17" i="7"/>
  <c r="I32" i="7"/>
  <c r="N108" i="7"/>
  <c r="O58" i="7"/>
  <c r="O87" i="7"/>
  <c r="O86" i="7"/>
  <c r="O67" i="7"/>
  <c r="O64" i="7"/>
  <c r="O63" i="7"/>
  <c r="N114" i="7"/>
  <c r="O79" i="7"/>
  <c r="O66" i="7"/>
  <c r="O65" i="7"/>
  <c r="O83" i="7"/>
  <c r="O80" i="7"/>
  <c r="O84" i="7"/>
  <c r="O81" i="7"/>
  <c r="O82" i="7"/>
  <c r="O56" i="7"/>
  <c r="O51" i="7"/>
  <c r="O47" i="7"/>
  <c r="O36" i="7"/>
  <c r="O32" i="7"/>
  <c r="O31" i="7"/>
  <c r="O30" i="7"/>
  <c r="O52" i="7"/>
  <c r="O48" i="7"/>
  <c r="O37" i="7"/>
  <c r="O78" i="7"/>
  <c r="O68" i="7"/>
  <c r="O57" i="7"/>
  <c r="O53" i="7"/>
  <c r="O21" i="7"/>
  <c r="O85" i="7"/>
  <c r="O45" i="7"/>
  <c r="O34" i="7"/>
  <c r="O54" i="7"/>
  <c r="O50" i="7"/>
  <c r="O49" i="7"/>
  <c r="O46" i="7"/>
  <c r="O44" i="7"/>
  <c r="O40" i="7"/>
  <c r="O33" i="7"/>
  <c r="Q68" i="7"/>
  <c r="Q87" i="7"/>
  <c r="Q86" i="7"/>
  <c r="Q66" i="7"/>
  <c r="Q65" i="7"/>
  <c r="Q85" i="7"/>
  <c r="Q84" i="7"/>
  <c r="Q83" i="7"/>
  <c r="Q82" i="7"/>
  <c r="Q81" i="7"/>
  <c r="Q80" i="7"/>
  <c r="Q79" i="7"/>
  <c r="Q78" i="7"/>
  <c r="P108" i="7"/>
  <c r="Q67" i="7"/>
  <c r="Q43" i="7"/>
  <c r="Q42" i="7"/>
  <c r="Q40" i="7"/>
  <c r="Q64" i="7"/>
  <c r="Q63" i="7"/>
  <c r="Q57" i="7"/>
  <c r="P114" i="7"/>
  <c r="Q52" i="7"/>
  <c r="Q28" i="7"/>
  <c r="Q27" i="7"/>
  <c r="Q24" i="7"/>
  <c r="Q23" i="7"/>
  <c r="Q22" i="7"/>
  <c r="Q53" i="7"/>
  <c r="Q58" i="7"/>
  <c r="Q45" i="7"/>
  <c r="Q34" i="7"/>
  <c r="Q54" i="7"/>
  <c r="Q50" i="7"/>
  <c r="Q49" i="7"/>
  <c r="Q46" i="7"/>
  <c r="Q33" i="7"/>
  <c r="Q56" i="7"/>
  <c r="Q51" i="7"/>
  <c r="Q47" i="7"/>
  <c r="Q36" i="7"/>
  <c r="Q32" i="7"/>
  <c r="Q31" i="7"/>
  <c r="Q30" i="7"/>
  <c r="C3" i="7"/>
  <c r="S3" i="7"/>
  <c r="C4" i="7"/>
  <c r="S4" i="7"/>
  <c r="C5" i="7"/>
  <c r="S5" i="7"/>
  <c r="O10" i="7"/>
  <c r="O11" i="7"/>
  <c r="O12" i="7"/>
  <c r="O13" i="7"/>
  <c r="O14" i="7"/>
  <c r="O15" i="7"/>
  <c r="O16" i="7"/>
  <c r="O17" i="7"/>
  <c r="O18" i="7"/>
  <c r="K22" i="7"/>
  <c r="G23" i="7"/>
  <c r="Y24" i="7"/>
  <c r="O27" i="7"/>
  <c r="I31" i="7"/>
  <c r="W32" i="7"/>
  <c r="G34" i="7"/>
  <c r="M35" i="7"/>
  <c r="O42" i="7"/>
  <c r="D116" i="7"/>
  <c r="E44" i="7"/>
  <c r="W45" i="7"/>
  <c r="I47" i="7"/>
  <c r="Q14" i="7"/>
  <c r="Q15" i="7"/>
  <c r="Q16" i="7"/>
  <c r="Q17" i="7"/>
  <c r="Q18" i="7"/>
  <c r="I21" i="7"/>
  <c r="O22" i="7"/>
  <c r="I23" i="7"/>
  <c r="C24" i="7"/>
  <c r="S27" i="7"/>
  <c r="M31" i="7"/>
  <c r="P35" i="7"/>
  <c r="O35" i="7"/>
  <c r="M37" i="7"/>
  <c r="M47" i="7"/>
  <c r="G50" i="7"/>
  <c r="I46" i="7"/>
  <c r="I49" i="7"/>
  <c r="J108" i="7"/>
  <c r="K58" i="7"/>
  <c r="K85" i="7"/>
  <c r="K84" i="7"/>
  <c r="K83" i="7"/>
  <c r="K82" i="7"/>
  <c r="K81" i="7"/>
  <c r="K80" i="7"/>
  <c r="K79" i="7"/>
  <c r="K78" i="7"/>
  <c r="K87" i="7"/>
  <c r="K66" i="7"/>
  <c r="K65" i="7"/>
  <c r="K67" i="7"/>
  <c r="K64" i="7"/>
  <c r="K86" i="7"/>
  <c r="K54" i="7"/>
  <c r="K49" i="7"/>
  <c r="K46" i="7"/>
  <c r="K56" i="7"/>
  <c r="K51" i="7"/>
  <c r="K47" i="7"/>
  <c r="K36" i="7"/>
  <c r="K32" i="7"/>
  <c r="K31" i="7"/>
  <c r="K30" i="7"/>
  <c r="K63" i="7"/>
  <c r="K68" i="7"/>
  <c r="K52" i="7"/>
  <c r="K48" i="7"/>
  <c r="K37" i="7"/>
  <c r="K43" i="7"/>
  <c r="K53" i="7"/>
  <c r="K45" i="7"/>
  <c r="K34" i="7"/>
  <c r="I10" i="7"/>
  <c r="Y12" i="7"/>
  <c r="Y14" i="7"/>
  <c r="Y16" i="7"/>
  <c r="Y18" i="7"/>
  <c r="I35" i="7"/>
  <c r="S93" i="7"/>
  <c r="S67" i="7"/>
  <c r="S64" i="7"/>
  <c r="S63" i="7"/>
  <c r="S85" i="7"/>
  <c r="S84" i="7"/>
  <c r="S83" i="7"/>
  <c r="S82" i="7"/>
  <c r="S81" i="7"/>
  <c r="S80" i="7"/>
  <c r="S79" i="7"/>
  <c r="S78" i="7"/>
  <c r="R114" i="7"/>
  <c r="S68" i="7"/>
  <c r="S87" i="7"/>
  <c r="S54" i="7"/>
  <c r="S53" i="7"/>
  <c r="S52" i="7"/>
  <c r="S51" i="7"/>
  <c r="S50" i="7"/>
  <c r="S57" i="7"/>
  <c r="R108" i="7"/>
  <c r="S77" i="7"/>
  <c r="S48" i="7"/>
  <c r="S42" i="7"/>
  <c r="S37" i="7"/>
  <c r="S43" i="7"/>
  <c r="S65" i="7"/>
  <c r="S58" i="7"/>
  <c r="S49" i="7"/>
  <c r="S46" i="7"/>
  <c r="S33" i="7"/>
  <c r="S32" i="7"/>
  <c r="S56" i="7"/>
  <c r="S47" i="7"/>
  <c r="S40" i="7"/>
  <c r="S36" i="7"/>
  <c r="S31" i="7"/>
  <c r="S30" i="7"/>
  <c r="S86" i="7"/>
  <c r="S66" i="7"/>
  <c r="P7" i="7"/>
  <c r="Y8" i="7"/>
  <c r="M9" i="7"/>
  <c r="Q11" i="7"/>
  <c r="Q13" i="7"/>
  <c r="E87" i="7"/>
  <c r="E67" i="7"/>
  <c r="E66" i="7"/>
  <c r="E86" i="7"/>
  <c r="E85" i="7"/>
  <c r="E84" i="7"/>
  <c r="E83" i="7"/>
  <c r="E82" i="7"/>
  <c r="E81" i="7"/>
  <c r="E80" i="7"/>
  <c r="E79" i="7"/>
  <c r="E78" i="7"/>
  <c r="D114" i="7"/>
  <c r="D108" i="7"/>
  <c r="E39" i="7"/>
  <c r="E68" i="7"/>
  <c r="E61" i="7"/>
  <c r="E58" i="7"/>
  <c r="E62" i="7"/>
  <c r="E60" i="7"/>
  <c r="E65" i="7"/>
  <c r="E64" i="7"/>
  <c r="E57" i="7"/>
  <c r="E43" i="7"/>
  <c r="E28" i="7"/>
  <c r="E27" i="7"/>
  <c r="E24" i="7"/>
  <c r="E23" i="7"/>
  <c r="E53" i="7"/>
  <c r="E49" i="7"/>
  <c r="E46" i="7"/>
  <c r="E54" i="7"/>
  <c r="E63" i="7"/>
  <c r="E56" i="7"/>
  <c r="E47" i="7"/>
  <c r="E55" i="7"/>
  <c r="E51" i="7"/>
  <c r="E40" i="7"/>
  <c r="E48" i="7"/>
  <c r="E42" i="7"/>
  <c r="E52" i="7"/>
  <c r="K8" i="7"/>
  <c r="C10" i="7"/>
  <c r="S10" i="7"/>
  <c r="C11" i="7"/>
  <c r="S11" i="7"/>
  <c r="C12" i="7"/>
  <c r="S12" i="7"/>
  <c r="C13" i="7"/>
  <c r="S13" i="7"/>
  <c r="C14" i="7"/>
  <c r="S14" i="7"/>
  <c r="C15" i="7"/>
  <c r="S15" i="7"/>
  <c r="C16" i="7"/>
  <c r="S16" i="7"/>
  <c r="C17" i="7"/>
  <c r="S17" i="7"/>
  <c r="C18" i="7"/>
  <c r="S18" i="7"/>
  <c r="K21" i="7"/>
  <c r="S22" i="7"/>
  <c r="K23" i="7"/>
  <c r="W34" i="7"/>
  <c r="Q37" i="7"/>
  <c r="T116" i="7"/>
  <c r="U44" i="7"/>
  <c r="K50" i="7"/>
  <c r="M52" i="7"/>
  <c r="Y85" i="7"/>
  <c r="Y84" i="7"/>
  <c r="Y83" i="7"/>
  <c r="Y82" i="7"/>
  <c r="Y81" i="7"/>
  <c r="Y80" i="7"/>
  <c r="Y79" i="7"/>
  <c r="Y78" i="7"/>
  <c r="Y67" i="7"/>
  <c r="X108" i="7"/>
  <c r="Y68" i="7"/>
  <c r="Y64" i="7"/>
  <c r="Y63" i="7"/>
  <c r="Y45" i="7"/>
  <c r="Y58" i="7"/>
  <c r="Y56" i="7"/>
  <c r="Y57" i="7"/>
  <c r="Y53" i="7"/>
  <c r="Y38" i="7"/>
  <c r="Y34" i="7"/>
  <c r="Y65" i="7"/>
  <c r="Y54" i="7"/>
  <c r="Y50" i="7"/>
  <c r="Y49" i="7"/>
  <c r="Y46" i="7"/>
  <c r="Y39" i="7"/>
  <c r="Y32" i="7"/>
  <c r="Y51" i="7"/>
  <c r="Y47" i="7"/>
  <c r="Y36" i="7"/>
  <c r="Y87" i="7"/>
  <c r="Y42" i="7"/>
  <c r="Y86" i="7"/>
  <c r="Y66" i="7"/>
  <c r="Y52" i="7"/>
  <c r="Y48" i="7"/>
  <c r="Y37" i="7"/>
  <c r="Y28" i="7"/>
  <c r="Y27" i="7"/>
  <c r="Y43" i="7"/>
  <c r="I39" i="7"/>
  <c r="Y11" i="7"/>
  <c r="I14" i="7"/>
  <c r="I16" i="7"/>
  <c r="I18" i="7"/>
  <c r="K28" i="7"/>
  <c r="C61" i="7"/>
  <c r="C65" i="7"/>
  <c r="C64" i="7"/>
  <c r="C63" i="7"/>
  <c r="C86" i="7"/>
  <c r="C85" i="7"/>
  <c r="C84" i="7"/>
  <c r="C83" i="7"/>
  <c r="C82" i="7"/>
  <c r="C81" i="7"/>
  <c r="C80" i="7"/>
  <c r="C79" i="7"/>
  <c r="C78" i="7"/>
  <c r="B114" i="7"/>
  <c r="C55" i="7"/>
  <c r="C54" i="7"/>
  <c r="C53" i="7"/>
  <c r="C52" i="7"/>
  <c r="C51" i="7"/>
  <c r="C40" i="7"/>
  <c r="B108" i="7"/>
  <c r="C87" i="7"/>
  <c r="C67" i="7"/>
  <c r="C66" i="7"/>
  <c r="C58" i="7"/>
  <c r="C68" i="7"/>
  <c r="C77" i="7"/>
  <c r="C57" i="7"/>
  <c r="C62" i="7"/>
  <c r="C45" i="7"/>
  <c r="C22" i="7"/>
  <c r="C56" i="7"/>
  <c r="C50" i="7"/>
  <c r="C47" i="7"/>
  <c r="C60" i="7"/>
  <c r="C59" i="7"/>
  <c r="C48" i="7"/>
  <c r="C42" i="7"/>
  <c r="C37" i="7"/>
  <c r="I8" i="7"/>
  <c r="Q10" i="7"/>
  <c r="Q12" i="7"/>
  <c r="U87" i="7"/>
  <c r="U86" i="7"/>
  <c r="U66" i="7"/>
  <c r="U65" i="7"/>
  <c r="U85" i="7"/>
  <c r="U84" i="7"/>
  <c r="U83" i="7"/>
  <c r="U82" i="7"/>
  <c r="U81" i="7"/>
  <c r="U80" i="7"/>
  <c r="U79" i="7"/>
  <c r="U78" i="7"/>
  <c r="T108" i="7"/>
  <c r="U57" i="7"/>
  <c r="U64" i="7"/>
  <c r="U63" i="7"/>
  <c r="U52" i="7"/>
  <c r="U28" i="7"/>
  <c r="U27" i="7"/>
  <c r="U24" i="7"/>
  <c r="U23" i="7"/>
  <c r="U22" i="7"/>
  <c r="U58" i="7"/>
  <c r="U53" i="7"/>
  <c r="U45" i="7"/>
  <c r="U34" i="7"/>
  <c r="U54" i="7"/>
  <c r="U50" i="7"/>
  <c r="U33" i="7"/>
  <c r="U32" i="7"/>
  <c r="U56" i="7"/>
  <c r="U47" i="7"/>
  <c r="U40" i="7"/>
  <c r="U36" i="7"/>
  <c r="U31" i="7"/>
  <c r="U30" i="7"/>
  <c r="U51" i="7"/>
  <c r="U48" i="7"/>
  <c r="U42" i="7"/>
  <c r="U37" i="7"/>
  <c r="G65" i="7"/>
  <c r="G64" i="7"/>
  <c r="G63" i="7"/>
  <c r="F108" i="7"/>
  <c r="G87" i="7"/>
  <c r="G66" i="7"/>
  <c r="G85" i="7"/>
  <c r="G82" i="7"/>
  <c r="G78" i="7"/>
  <c r="G49" i="7"/>
  <c r="G48" i="7"/>
  <c r="G47" i="7"/>
  <c r="G46" i="7"/>
  <c r="G37" i="7"/>
  <c r="G36" i="7"/>
  <c r="G60" i="7"/>
  <c r="G58" i="7"/>
  <c r="G86" i="7"/>
  <c r="G79" i="7"/>
  <c r="G57" i="7"/>
  <c r="G83" i="7"/>
  <c r="G80" i="7"/>
  <c r="G53" i="7"/>
  <c r="G45" i="7"/>
  <c r="G21" i="7"/>
  <c r="G84" i="7"/>
  <c r="G54" i="7"/>
  <c r="G56" i="7"/>
  <c r="G55" i="7"/>
  <c r="G81" i="7"/>
  <c r="G51" i="7"/>
  <c r="G32" i="7"/>
  <c r="G42" i="7"/>
  <c r="G52" i="7"/>
  <c r="G43" i="7"/>
  <c r="G28" i="7"/>
  <c r="G27" i="7"/>
  <c r="W64" i="7"/>
  <c r="W63" i="7"/>
  <c r="V108" i="7"/>
  <c r="W87" i="7"/>
  <c r="W86" i="7"/>
  <c r="W66" i="7"/>
  <c r="W65" i="7"/>
  <c r="W49" i="7"/>
  <c r="W48" i="7"/>
  <c r="W47" i="7"/>
  <c r="W46" i="7"/>
  <c r="W37" i="7"/>
  <c r="W36" i="7"/>
  <c r="W83" i="7"/>
  <c r="W80" i="7"/>
  <c r="W84" i="7"/>
  <c r="W81" i="7"/>
  <c r="W58" i="7"/>
  <c r="W56" i="7"/>
  <c r="W79" i="7"/>
  <c r="W43" i="7"/>
  <c r="W21" i="7"/>
  <c r="W57" i="7"/>
  <c r="W53" i="7"/>
  <c r="W78" i="7"/>
  <c r="W67" i="7"/>
  <c r="W54" i="7"/>
  <c r="W85" i="7"/>
  <c r="W40" i="7"/>
  <c r="W31" i="7"/>
  <c r="W30" i="7"/>
  <c r="W51" i="7"/>
  <c r="W42" i="7"/>
  <c r="W82" i="7"/>
  <c r="W52" i="7"/>
  <c r="W28" i="7"/>
  <c r="W27" i="7"/>
  <c r="I3" i="7"/>
  <c r="Y3" i="7"/>
  <c r="I4" i="7"/>
  <c r="Y4" i="7"/>
  <c r="I5" i="7"/>
  <c r="Y5" i="7"/>
  <c r="R7" i="7"/>
  <c r="M8" i="7"/>
  <c r="E10" i="7"/>
  <c r="U10" i="7"/>
  <c r="E11" i="7"/>
  <c r="U11" i="7"/>
  <c r="E12" i="7"/>
  <c r="U12" i="7"/>
  <c r="E13" i="7"/>
  <c r="U13" i="7"/>
  <c r="E14" i="7"/>
  <c r="U14" i="7"/>
  <c r="E15" i="7"/>
  <c r="U15" i="7"/>
  <c r="E16" i="7"/>
  <c r="U16" i="7"/>
  <c r="E17" i="7"/>
  <c r="U17" i="7"/>
  <c r="E18" i="7"/>
  <c r="U18" i="7"/>
  <c r="M21" i="7"/>
  <c r="W22" i="7"/>
  <c r="O23" i="7"/>
  <c r="I24" i="7"/>
  <c r="B25" i="7"/>
  <c r="C26" i="7"/>
  <c r="G33" i="7"/>
  <c r="C39" i="7"/>
  <c r="G40" i="7"/>
  <c r="C43" i="7"/>
  <c r="V116" i="7"/>
  <c r="W44" i="7"/>
  <c r="C46" i="7"/>
  <c r="C49" i="7"/>
  <c r="X116" i="7"/>
  <c r="Y44" i="7"/>
  <c r="M50" i="7"/>
  <c r="E77" i="7"/>
  <c r="U77" i="7"/>
  <c r="G44" i="7"/>
  <c r="P116" i="7"/>
  <c r="Q44" i="7"/>
  <c r="E59" i="7"/>
  <c r="G77" i="7"/>
  <c r="I44" i="7"/>
  <c r="S44" i="7"/>
  <c r="E50" i="7"/>
  <c r="D101" i="7"/>
  <c r="I55" i="7"/>
  <c r="I62" i="7"/>
  <c r="I77" i="7"/>
  <c r="W77" i="7"/>
  <c r="Y77" i="7"/>
  <c r="G62" i="7"/>
  <c r="M77" i="7"/>
  <c r="G61" i="7"/>
  <c r="J62" i="7"/>
  <c r="O77" i="7"/>
  <c r="I86" i="7"/>
  <c r="H61" i="7"/>
  <c r="Q77" i="7"/>
  <c r="J77" i="7"/>
  <c r="AB93" i="7"/>
  <c r="AB77" i="6"/>
  <c r="AB78" i="6"/>
  <c r="J78" i="6"/>
  <c r="H78" i="6"/>
  <c r="B44" i="6"/>
  <c r="H29" i="6"/>
  <c r="B29" i="6"/>
  <c r="D26" i="6"/>
  <c r="B26" i="6"/>
  <c r="D20" i="7" l="1"/>
  <c r="E20" i="7" s="1"/>
  <c r="AC4" i="7"/>
  <c r="AC76" i="7"/>
  <c r="AC69" i="7"/>
  <c r="AC71" i="7"/>
  <c r="AC70" i="7"/>
  <c r="Z71" i="7"/>
  <c r="Z69" i="7"/>
  <c r="Z70" i="7"/>
  <c r="Z76" i="7"/>
  <c r="C9" i="7"/>
  <c r="Z77" i="7"/>
  <c r="D91" i="7"/>
  <c r="Z49" i="7"/>
  <c r="Z34" i="7"/>
  <c r="Z31" i="7"/>
  <c r="Z32" i="7"/>
  <c r="AB7" i="7"/>
  <c r="AB6" i="7" s="1"/>
  <c r="AB19" i="7" s="1"/>
  <c r="E25" i="7"/>
  <c r="Z17" i="7"/>
  <c r="Z65" i="7"/>
  <c r="Z45" i="7"/>
  <c r="Z84" i="7"/>
  <c r="Z85" i="7"/>
  <c r="Z53" i="7"/>
  <c r="Z43" i="7"/>
  <c r="Z5" i="7"/>
  <c r="Z86" i="7"/>
  <c r="Z29" i="7"/>
  <c r="Z40" i="7"/>
  <c r="Z10" i="7"/>
  <c r="Z8" i="7"/>
  <c r="Z93" i="7"/>
  <c r="Z22" i="7"/>
  <c r="Z68" i="7"/>
  <c r="Z11" i="7"/>
  <c r="Z27" i="7"/>
  <c r="Z28" i="7"/>
  <c r="Z63" i="7"/>
  <c r="AC43" i="7"/>
  <c r="Z23" i="7"/>
  <c r="Z37" i="7"/>
  <c r="Z79" i="7"/>
  <c r="Z16" i="7"/>
  <c r="Z9" i="7"/>
  <c r="AC80" i="7"/>
  <c r="Z30" i="7"/>
  <c r="Z48" i="7"/>
  <c r="Z51" i="7"/>
  <c r="Z81" i="7"/>
  <c r="Z82" i="7"/>
  <c r="Z47" i="7"/>
  <c r="Z24" i="7"/>
  <c r="Z14" i="7"/>
  <c r="AC64" i="7"/>
  <c r="Z80" i="7"/>
  <c r="Z52" i="7"/>
  <c r="Z15" i="7"/>
  <c r="Z44" i="7"/>
  <c r="Z66" i="7"/>
  <c r="Z21" i="7"/>
  <c r="Z54" i="7"/>
  <c r="Z83" i="7"/>
  <c r="Z4" i="7"/>
  <c r="Z92" i="7"/>
  <c r="Z58" i="7"/>
  <c r="Z42" i="7"/>
  <c r="Z64" i="7"/>
  <c r="Z13" i="7"/>
  <c r="Z3" i="7"/>
  <c r="AC18" i="7"/>
  <c r="Z36" i="7"/>
  <c r="Z56" i="7"/>
  <c r="Z67" i="7"/>
  <c r="Z46" i="7"/>
  <c r="Z50" i="7"/>
  <c r="Z2" i="7"/>
  <c r="Z108" i="7" s="1"/>
  <c r="Z87" i="7"/>
  <c r="Z78" i="7"/>
  <c r="Z18" i="7"/>
  <c r="Z12" i="7"/>
  <c r="AC83" i="7"/>
  <c r="AC79" i="7"/>
  <c r="AC27" i="7"/>
  <c r="AC50" i="7"/>
  <c r="AC40" i="7"/>
  <c r="AC53" i="7"/>
  <c r="AC46" i="7"/>
  <c r="AC47" i="7"/>
  <c r="AC13" i="7"/>
  <c r="AC37" i="7"/>
  <c r="AC17" i="7"/>
  <c r="AC82" i="7"/>
  <c r="AC16" i="7"/>
  <c r="AC87" i="7"/>
  <c r="AC51" i="7"/>
  <c r="AC54" i="7"/>
  <c r="AC65" i="7"/>
  <c r="AC11" i="7"/>
  <c r="AC32" i="7"/>
  <c r="AC23" i="7"/>
  <c r="AC34" i="7"/>
  <c r="AC85" i="7"/>
  <c r="AC42" i="7"/>
  <c r="AC78" i="7"/>
  <c r="AC52" i="7"/>
  <c r="AC84" i="7"/>
  <c r="AC81" i="7"/>
  <c r="AC66" i="7"/>
  <c r="AC68" i="7"/>
  <c r="AC10" i="7"/>
  <c r="AC24" i="7"/>
  <c r="AC45" i="7"/>
  <c r="AC58" i="7"/>
  <c r="AC44" i="7"/>
  <c r="AC9" i="7"/>
  <c r="AC15" i="7"/>
  <c r="AC12" i="7"/>
  <c r="AC86" i="7"/>
  <c r="AC67" i="7"/>
  <c r="AC21" i="7"/>
  <c r="AC56" i="7"/>
  <c r="AC14" i="7"/>
  <c r="AC28" i="7"/>
  <c r="AC3" i="7"/>
  <c r="AC93" i="7"/>
  <c r="AC29" i="7"/>
  <c r="AC31" i="7"/>
  <c r="AC30" i="7"/>
  <c r="AC77" i="7"/>
  <c r="T19" i="7"/>
  <c r="U19" i="7" s="1"/>
  <c r="Z7" i="7"/>
  <c r="U7" i="7"/>
  <c r="AC36" i="7"/>
  <c r="AC63" i="7"/>
  <c r="AC48" i="7"/>
  <c r="AC22" i="7"/>
  <c r="E7" i="7"/>
  <c r="C6" i="7"/>
  <c r="X6" i="7"/>
  <c r="AC8" i="7"/>
  <c r="AB108" i="7"/>
  <c r="AC49" i="7"/>
  <c r="H6" i="7"/>
  <c r="C25" i="7"/>
  <c r="B20" i="7"/>
  <c r="B88" i="7" s="1"/>
  <c r="E6" i="7"/>
  <c r="K55" i="7"/>
  <c r="L39" i="7"/>
  <c r="K39" i="7"/>
  <c r="K60" i="7"/>
  <c r="Z114" i="7"/>
  <c r="Q7" i="7"/>
  <c r="P6" i="7"/>
  <c r="R35" i="7"/>
  <c r="Q35" i="7"/>
  <c r="I61" i="7"/>
  <c r="S7" i="7"/>
  <c r="R6" i="7"/>
  <c r="J6" i="7"/>
  <c r="K7" i="7"/>
  <c r="L6" i="7"/>
  <c r="M7" i="7"/>
  <c r="Z116" i="7"/>
  <c r="K62" i="7"/>
  <c r="W7" i="7"/>
  <c r="V6" i="7"/>
  <c r="G26" i="7"/>
  <c r="K77" i="7"/>
  <c r="K57" i="7"/>
  <c r="D19" i="7"/>
  <c r="D88" i="7"/>
  <c r="K38" i="7"/>
  <c r="N6" i="7"/>
  <c r="O7" i="7"/>
  <c r="F101" i="7"/>
  <c r="G59" i="7"/>
  <c r="H59" i="7"/>
  <c r="G7" i="7"/>
  <c r="F2" i="6"/>
  <c r="G78" i="6" s="1"/>
  <c r="Z57" i="7" l="1"/>
  <c r="AA57" i="7" s="1"/>
  <c r="AA76" i="7"/>
  <c r="AA70" i="7"/>
  <c r="AA69" i="7"/>
  <c r="AA71" i="7"/>
  <c r="AA21" i="7"/>
  <c r="AA44" i="7"/>
  <c r="AA77" i="7"/>
  <c r="AA66" i="7"/>
  <c r="AA28" i="7"/>
  <c r="AA15" i="7"/>
  <c r="AA23" i="7"/>
  <c r="AA79" i="7"/>
  <c r="AA24" i="7"/>
  <c r="AA83" i="7"/>
  <c r="AA93" i="7"/>
  <c r="AA47" i="7"/>
  <c r="AA86" i="7"/>
  <c r="AA13" i="7"/>
  <c r="AA48" i="7"/>
  <c r="AA27" i="7"/>
  <c r="AA18" i="7"/>
  <c r="AA64" i="7"/>
  <c r="AA52" i="7"/>
  <c r="AA30" i="7"/>
  <c r="AA12" i="7"/>
  <c r="AA32" i="7"/>
  <c r="AA78" i="7"/>
  <c r="AA42" i="7"/>
  <c r="AA80" i="7"/>
  <c r="AA53" i="7"/>
  <c r="AA87" i="7"/>
  <c r="AA58" i="7"/>
  <c r="AA9" i="7"/>
  <c r="AA34" i="7"/>
  <c r="AA84" i="7"/>
  <c r="AA7" i="7"/>
  <c r="AA50" i="7"/>
  <c r="AA46" i="7"/>
  <c r="AA4" i="7"/>
  <c r="AA51" i="7"/>
  <c r="AA14" i="7"/>
  <c r="AA16" i="7"/>
  <c r="AA67" i="7"/>
  <c r="AA8" i="7"/>
  <c r="AA10" i="7"/>
  <c r="AA68" i="7"/>
  <c r="AA65" i="7"/>
  <c r="AA56" i="7"/>
  <c r="AA11" i="7"/>
  <c r="AA40" i="7"/>
  <c r="AA36" i="7"/>
  <c r="AA31" i="7"/>
  <c r="AA54" i="7"/>
  <c r="AA37" i="7"/>
  <c r="AA29" i="7"/>
  <c r="AA81" i="7"/>
  <c r="AA22" i="7"/>
  <c r="AA45" i="7"/>
  <c r="AA5" i="7"/>
  <c r="AA85" i="7"/>
  <c r="AA3" i="7"/>
  <c r="AA82" i="7"/>
  <c r="AA17" i="7"/>
  <c r="AA49" i="7"/>
  <c r="AA63" i="7"/>
  <c r="AA43" i="7"/>
  <c r="Y6" i="7"/>
  <c r="X19" i="7"/>
  <c r="Y19" i="7" s="1"/>
  <c r="I6" i="7"/>
  <c r="H19" i="7"/>
  <c r="I19" i="7" s="1"/>
  <c r="K61" i="7"/>
  <c r="N60" i="7"/>
  <c r="M60" i="7"/>
  <c r="B96" i="7"/>
  <c r="B90" i="7"/>
  <c r="C20" i="7"/>
  <c r="B91" i="7"/>
  <c r="B115" i="7" s="1"/>
  <c r="B120" i="7" s="1"/>
  <c r="D113" i="7" s="1"/>
  <c r="D120" i="7" s="1"/>
  <c r="F113" i="7" s="1"/>
  <c r="G6" i="7"/>
  <c r="F19" i="7"/>
  <c r="G19" i="7" s="1"/>
  <c r="N62" i="7"/>
  <c r="M62" i="7"/>
  <c r="M6" i="7"/>
  <c r="L19" i="7"/>
  <c r="M19" i="7" s="1"/>
  <c r="Z6" i="7"/>
  <c r="D97" i="7"/>
  <c r="D115" i="7"/>
  <c r="E91" i="7"/>
  <c r="G25" i="7"/>
  <c r="F88" i="7"/>
  <c r="F94" i="7" s="1"/>
  <c r="I26" i="7"/>
  <c r="H25" i="7"/>
  <c r="H20" i="7" s="1"/>
  <c r="H96" i="7" s="1"/>
  <c r="D94" i="7"/>
  <c r="D95" i="7" s="1"/>
  <c r="D89" i="7"/>
  <c r="E88" i="7"/>
  <c r="M39" i="7"/>
  <c r="N39" i="7"/>
  <c r="AC7" i="7"/>
  <c r="I59" i="7"/>
  <c r="K6" i="7"/>
  <c r="J19" i="7"/>
  <c r="K19" i="7" s="1"/>
  <c r="Q6" i="7"/>
  <c r="P19" i="7"/>
  <c r="Q19" i="7" s="1"/>
  <c r="E19" i="7"/>
  <c r="W6" i="7"/>
  <c r="V19" i="7"/>
  <c r="W19" i="7" s="1"/>
  <c r="T35" i="7"/>
  <c r="S35" i="7"/>
  <c r="M55" i="7"/>
  <c r="N55" i="7"/>
  <c r="O6" i="7"/>
  <c r="N19" i="7"/>
  <c r="O19" i="7" s="1"/>
  <c r="M38" i="7"/>
  <c r="H101" i="7"/>
  <c r="AB57" i="7"/>
  <c r="AC57" i="7" s="1"/>
  <c r="M57" i="7"/>
  <c r="S6" i="7"/>
  <c r="R19" i="7"/>
  <c r="S19" i="7" s="1"/>
  <c r="G28" i="6"/>
  <c r="G27" i="6"/>
  <c r="F61" i="6"/>
  <c r="H61" i="6" s="1"/>
  <c r="D59" i="6"/>
  <c r="F59" i="6" s="1"/>
  <c r="H59" i="6" s="1"/>
  <c r="D60" i="6"/>
  <c r="F60" i="6" s="1"/>
  <c r="H60" i="6" s="1"/>
  <c r="D61" i="6"/>
  <c r="D58" i="6"/>
  <c r="F58" i="6" s="1"/>
  <c r="H58" i="6" s="1"/>
  <c r="R56" i="6"/>
  <c r="H56" i="6"/>
  <c r="J56" i="6" s="1"/>
  <c r="L56" i="6" s="1"/>
  <c r="F54" i="6"/>
  <c r="H54" i="6" s="1"/>
  <c r="D67" i="6"/>
  <c r="F67" i="6" s="1"/>
  <c r="H67" i="6" s="1"/>
  <c r="F38" i="6"/>
  <c r="H38" i="6" s="1"/>
  <c r="J38" i="6" s="1"/>
  <c r="L38" i="6" s="1"/>
  <c r="N38" i="6" s="1"/>
  <c r="P38" i="6" s="1"/>
  <c r="R38" i="6" s="1"/>
  <c r="T38" i="6" s="1"/>
  <c r="V38" i="6" s="1"/>
  <c r="F39" i="6"/>
  <c r="D37" i="6"/>
  <c r="F37" i="6" s="1"/>
  <c r="H37" i="6" s="1"/>
  <c r="F34" i="6"/>
  <c r="H34" i="6" s="1"/>
  <c r="F91" i="7" l="1"/>
  <c r="F115" i="7" s="1"/>
  <c r="F120" i="7" s="1"/>
  <c r="C90" i="7"/>
  <c r="AA6" i="7"/>
  <c r="V35" i="7"/>
  <c r="U35" i="7"/>
  <c r="J101" i="7"/>
  <c r="F96" i="7"/>
  <c r="F90" i="7"/>
  <c r="G90" i="7" s="1"/>
  <c r="G20" i="7"/>
  <c r="C91" i="7"/>
  <c r="B97" i="7"/>
  <c r="P60" i="7"/>
  <c r="O60" i="7"/>
  <c r="K26" i="7"/>
  <c r="J25" i="7"/>
  <c r="J20" i="7" s="1"/>
  <c r="Z19" i="7"/>
  <c r="AA19" i="7" s="1"/>
  <c r="C88" i="7"/>
  <c r="B94" i="7"/>
  <c r="B89" i="7"/>
  <c r="N61" i="7"/>
  <c r="M61" i="7"/>
  <c r="F95" i="7"/>
  <c r="F89" i="7"/>
  <c r="G88" i="7"/>
  <c r="I25" i="7"/>
  <c r="K59" i="7"/>
  <c r="AC6" i="7"/>
  <c r="AC19" i="7"/>
  <c r="O39" i="7"/>
  <c r="P39" i="7"/>
  <c r="P55" i="7"/>
  <c r="O55" i="7"/>
  <c r="P38" i="7"/>
  <c r="O38" i="7"/>
  <c r="D96" i="7"/>
  <c r="D90" i="7"/>
  <c r="E90" i="7" s="1"/>
  <c r="P62" i="7"/>
  <c r="O62" i="7"/>
  <c r="J37" i="6"/>
  <c r="L37" i="6" s="1"/>
  <c r="N37" i="6" s="1"/>
  <c r="P37" i="6" s="1"/>
  <c r="R37" i="6" s="1"/>
  <c r="T37" i="6" s="1"/>
  <c r="J67" i="6"/>
  <c r="J60" i="6"/>
  <c r="L60" i="6" s="1"/>
  <c r="N60" i="6" s="1"/>
  <c r="P60" i="6" s="1"/>
  <c r="R60" i="6" s="1"/>
  <c r="T60" i="6" s="1"/>
  <c r="V60" i="6" s="1"/>
  <c r="X60" i="6" s="1"/>
  <c r="J58" i="6"/>
  <c r="L58" i="6" s="1"/>
  <c r="N58" i="6" s="1"/>
  <c r="P58" i="6" s="1"/>
  <c r="R58" i="6" s="1"/>
  <c r="T58" i="6" s="1"/>
  <c r="V58" i="6" s="1"/>
  <c r="X58" i="6" s="1"/>
  <c r="J54" i="6"/>
  <c r="L54" i="6" s="1"/>
  <c r="N54" i="6" s="1"/>
  <c r="P54" i="6" s="1"/>
  <c r="R54" i="6" s="1"/>
  <c r="T54" i="6" s="1"/>
  <c r="V54" i="6" s="1"/>
  <c r="X54" i="6" s="1"/>
  <c r="J59" i="6"/>
  <c r="L59" i="6" s="1"/>
  <c r="N59" i="6" s="1"/>
  <c r="P59" i="6" s="1"/>
  <c r="R59" i="6" s="1"/>
  <c r="T59" i="6" s="1"/>
  <c r="V59" i="6" s="1"/>
  <c r="X59" i="6" s="1"/>
  <c r="J61" i="6"/>
  <c r="L61" i="6" s="1"/>
  <c r="N61" i="6" s="1"/>
  <c r="P61" i="6" s="1"/>
  <c r="R61" i="6" s="1"/>
  <c r="T61" i="6" s="1"/>
  <c r="V61" i="6" s="1"/>
  <c r="X61" i="6" s="1"/>
  <c r="J34" i="6"/>
  <c r="F26" i="6"/>
  <c r="H26" i="6" s="1"/>
  <c r="J26" i="6" s="1"/>
  <c r="F97" i="7" l="1"/>
  <c r="G91" i="7"/>
  <c r="R38" i="7"/>
  <c r="Q38" i="7"/>
  <c r="X35" i="7"/>
  <c r="Y35" i="7" s="1"/>
  <c r="W35" i="7"/>
  <c r="Q39" i="7"/>
  <c r="R39" i="7"/>
  <c r="O61" i="7"/>
  <c r="P61" i="7"/>
  <c r="B95" i="7"/>
  <c r="L101" i="7"/>
  <c r="N105" i="7"/>
  <c r="H90" i="7"/>
  <c r="I90" i="7" s="1"/>
  <c r="I20" i="7"/>
  <c r="H88" i="7"/>
  <c r="H94" i="7" s="1"/>
  <c r="H91" i="7"/>
  <c r="K25" i="7"/>
  <c r="R60" i="7"/>
  <c r="Q60" i="7"/>
  <c r="M59" i="7"/>
  <c r="N59" i="7"/>
  <c r="R55" i="7"/>
  <c r="Q55" i="7"/>
  <c r="Q62" i="7"/>
  <c r="R62" i="7"/>
  <c r="M26" i="7"/>
  <c r="L20" i="7"/>
  <c r="L26" i="6"/>
  <c r="L34" i="6"/>
  <c r="H115" i="7" l="1"/>
  <c r="H97" i="7"/>
  <c r="H113" i="7"/>
  <c r="H120" i="7" s="1"/>
  <c r="J113" i="7" s="1"/>
  <c r="AB35" i="7"/>
  <c r="AC35" i="7" s="1"/>
  <c r="T62" i="7"/>
  <c r="S62" i="7"/>
  <c r="I91" i="7"/>
  <c r="H89" i="7"/>
  <c r="I88" i="7"/>
  <c r="T55" i="7"/>
  <c r="S55" i="7"/>
  <c r="Q61" i="7"/>
  <c r="R61" i="7"/>
  <c r="T38" i="7"/>
  <c r="S38" i="7"/>
  <c r="M25" i="7"/>
  <c r="Z35" i="7"/>
  <c r="AA35" i="7" s="1"/>
  <c r="T60" i="7"/>
  <c r="S60" i="7"/>
  <c r="T39" i="7"/>
  <c r="S39" i="7"/>
  <c r="O26" i="7"/>
  <c r="N25" i="7"/>
  <c r="N20" i="7" s="1"/>
  <c r="J96" i="7"/>
  <c r="J90" i="7"/>
  <c r="K90" i="7" s="1"/>
  <c r="K20" i="7"/>
  <c r="J91" i="7"/>
  <c r="J115" i="7" s="1"/>
  <c r="J88" i="7"/>
  <c r="P105" i="7"/>
  <c r="N101" i="7"/>
  <c r="O59" i="7"/>
  <c r="P59" i="7"/>
  <c r="N34" i="6"/>
  <c r="P34" i="6" s="1"/>
  <c r="R34" i="6" s="1"/>
  <c r="T34" i="6" s="1"/>
  <c r="V34" i="6" s="1"/>
  <c r="N26" i="6"/>
  <c r="P26" i="6" s="1"/>
  <c r="L90" i="7" l="1"/>
  <c r="M90" i="7" s="1"/>
  <c r="L96" i="7"/>
  <c r="M20" i="7"/>
  <c r="L91" i="7"/>
  <c r="L115" i="7" s="1"/>
  <c r="L88" i="7"/>
  <c r="V55" i="7"/>
  <c r="U55" i="7"/>
  <c r="Q59" i="7"/>
  <c r="R59" i="7"/>
  <c r="U39" i="7"/>
  <c r="V39" i="7"/>
  <c r="AB39" i="7" s="1"/>
  <c r="AC39" i="7" s="1"/>
  <c r="U38" i="7"/>
  <c r="Z38" i="7"/>
  <c r="AA38" i="7" s="1"/>
  <c r="AB38" i="7"/>
  <c r="AC38" i="7" s="1"/>
  <c r="V62" i="7"/>
  <c r="U62" i="7"/>
  <c r="O25" i="7"/>
  <c r="K88" i="7"/>
  <c r="J94" i="7"/>
  <c r="J95" i="7" s="1"/>
  <c r="J89" i="7"/>
  <c r="K91" i="7"/>
  <c r="J97" i="7"/>
  <c r="H95" i="7"/>
  <c r="Q26" i="7"/>
  <c r="P25" i="7"/>
  <c r="P20" i="7" s="1"/>
  <c r="V60" i="7"/>
  <c r="U60" i="7"/>
  <c r="S61" i="7"/>
  <c r="T61" i="7"/>
  <c r="R105" i="7"/>
  <c r="P101" i="7"/>
  <c r="R26" i="6"/>
  <c r="T26" i="6" s="1"/>
  <c r="V26" i="6" s="1"/>
  <c r="X34" i="6"/>
  <c r="J120" i="7" l="1"/>
  <c r="L113" i="7" s="1"/>
  <c r="L97" i="7"/>
  <c r="M91" i="7"/>
  <c r="N96" i="7"/>
  <c r="N90" i="7"/>
  <c r="O90" i="7" s="1"/>
  <c r="O20" i="7"/>
  <c r="N91" i="7"/>
  <c r="N88" i="7"/>
  <c r="W39" i="7"/>
  <c r="Z39" i="7"/>
  <c r="AA39" i="7" s="1"/>
  <c r="T105" i="7"/>
  <c r="R101" i="7"/>
  <c r="W60" i="7"/>
  <c r="X60" i="7"/>
  <c r="X62" i="7"/>
  <c r="Y62" i="7" s="1"/>
  <c r="W62" i="7"/>
  <c r="T59" i="7"/>
  <c r="S59" i="7"/>
  <c r="X55" i="7"/>
  <c r="W55" i="7"/>
  <c r="S26" i="7"/>
  <c r="R25" i="7"/>
  <c r="R20" i="7" s="1"/>
  <c r="Q25" i="7"/>
  <c r="L94" i="7"/>
  <c r="L89" i="7"/>
  <c r="M88" i="7"/>
  <c r="V61" i="7"/>
  <c r="U61" i="7"/>
  <c r="F22" i="6"/>
  <c r="B9" i="6"/>
  <c r="Y55" i="7" l="1"/>
  <c r="AB62" i="7"/>
  <c r="AC62" i="7" s="1"/>
  <c r="Z62" i="7"/>
  <c r="AA62" i="7" s="1"/>
  <c r="L120" i="7"/>
  <c r="N113" i="7" s="1"/>
  <c r="Z55" i="7"/>
  <c r="AA55" i="7" s="1"/>
  <c r="AB55" i="7"/>
  <c r="AC55" i="7" s="1"/>
  <c r="P96" i="7"/>
  <c r="P90" i="7"/>
  <c r="Q20" i="7"/>
  <c r="P91" i="7"/>
  <c r="P88" i="7"/>
  <c r="W61" i="7"/>
  <c r="X61" i="7"/>
  <c r="Z61" i="7" s="1"/>
  <c r="AA61" i="7" s="1"/>
  <c r="O88" i="7"/>
  <c r="N94" i="7"/>
  <c r="N95" i="7" s="1"/>
  <c r="N89" i="7"/>
  <c r="U59" i="7"/>
  <c r="V59" i="7"/>
  <c r="T101" i="7"/>
  <c r="V105" i="7"/>
  <c r="V101" i="7" s="1"/>
  <c r="N115" i="7"/>
  <c r="O91" i="7"/>
  <c r="N97" i="7"/>
  <c r="S25" i="7"/>
  <c r="Y60" i="7"/>
  <c r="AB60" i="7"/>
  <c r="AC60" i="7" s="1"/>
  <c r="Z60" i="7"/>
  <c r="AA60" i="7" s="1"/>
  <c r="U26" i="7"/>
  <c r="T25" i="7"/>
  <c r="T20" i="7" s="1"/>
  <c r="L95" i="7"/>
  <c r="R109" i="6"/>
  <c r="N120" i="7" l="1"/>
  <c r="P113" i="7" s="1"/>
  <c r="Q88" i="7"/>
  <c r="P94" i="7"/>
  <c r="P89" i="7"/>
  <c r="Q90" i="7"/>
  <c r="W26" i="7"/>
  <c r="X26" i="7"/>
  <c r="V25" i="7"/>
  <c r="V20" i="7" s="1"/>
  <c r="W59" i="7"/>
  <c r="X59" i="7"/>
  <c r="AB59" i="7" s="1"/>
  <c r="AC59" i="7" s="1"/>
  <c r="P115" i="7"/>
  <c r="Q91" i="7"/>
  <c r="P97" i="7"/>
  <c r="Y61" i="7"/>
  <c r="AB61" i="7"/>
  <c r="AC61" i="7" s="1"/>
  <c r="U25" i="7"/>
  <c r="R96" i="7"/>
  <c r="R91" i="7"/>
  <c r="R90" i="7"/>
  <c r="S90" i="7" s="1"/>
  <c r="S20" i="7"/>
  <c r="R88" i="7"/>
  <c r="R31" i="6"/>
  <c r="X33" i="7" l="1"/>
  <c r="X25" i="7"/>
  <c r="X20" i="7" s="1"/>
  <c r="Z20" i="7" s="1"/>
  <c r="AB26" i="7"/>
  <c r="AC26" i="7" s="1"/>
  <c r="P120" i="7"/>
  <c r="R113" i="7" s="1"/>
  <c r="R115" i="7"/>
  <c r="S91" i="7"/>
  <c r="R97" i="7"/>
  <c r="P95" i="7"/>
  <c r="T96" i="7"/>
  <c r="T90" i="7"/>
  <c r="U90" i="7" s="1"/>
  <c r="U20" i="7"/>
  <c r="T88" i="7"/>
  <c r="T91" i="7"/>
  <c r="Y26" i="7"/>
  <c r="Y33" i="7"/>
  <c r="Y59" i="7"/>
  <c r="Z59" i="7"/>
  <c r="AA59" i="7" s="1"/>
  <c r="W25" i="7"/>
  <c r="W33" i="7"/>
  <c r="S88" i="7"/>
  <c r="R94" i="7"/>
  <c r="R95" i="7" s="1"/>
  <c r="R89" i="7"/>
  <c r="Z26" i="7"/>
  <c r="AA26" i="7" s="1"/>
  <c r="N9" i="6"/>
  <c r="N68" i="6"/>
  <c r="AB8" i="6"/>
  <c r="AB16" i="6"/>
  <c r="AB33" i="7" l="1"/>
  <c r="AB25" i="7" s="1"/>
  <c r="Z33" i="7"/>
  <c r="AA33" i="7" s="1"/>
  <c r="R120" i="7"/>
  <c r="T113" i="7" s="1"/>
  <c r="T97" i="7"/>
  <c r="T115" i="7"/>
  <c r="U91" i="7"/>
  <c r="T94" i="7"/>
  <c r="T95" i="7" s="1"/>
  <c r="T89" i="7"/>
  <c r="U88" i="7"/>
  <c r="V96" i="7"/>
  <c r="V91" i="7"/>
  <c r="V90" i="7"/>
  <c r="W90" i="7" s="1"/>
  <c r="W20" i="7"/>
  <c r="V88" i="7"/>
  <c r="R25" i="6"/>
  <c r="AB28" i="6"/>
  <c r="P9" i="6"/>
  <c r="R9" i="6"/>
  <c r="T9" i="6"/>
  <c r="V9" i="6"/>
  <c r="X9" i="6"/>
  <c r="AB20" i="7" l="1"/>
  <c r="AB88" i="7" s="1"/>
  <c r="AB89" i="7" s="1"/>
  <c r="T120" i="7"/>
  <c r="V113" i="7" s="1"/>
  <c r="V97" i="7"/>
  <c r="W91" i="7"/>
  <c r="V115" i="7"/>
  <c r="AC33" i="7"/>
  <c r="Y25" i="7"/>
  <c r="Z25" i="7"/>
  <c r="AA25" i="7" s="1"/>
  <c r="V94" i="7"/>
  <c r="V89" i="7"/>
  <c r="W88" i="7"/>
  <c r="L85" i="6"/>
  <c r="H85" i="6"/>
  <c r="AB17" i="6"/>
  <c r="AB14" i="6"/>
  <c r="AB11" i="6"/>
  <c r="V120" i="7" l="1"/>
  <c r="V122" i="7" s="1"/>
  <c r="AC25" i="7"/>
  <c r="V95" i="7"/>
  <c r="X90" i="7"/>
  <c r="X96" i="7"/>
  <c r="Z96" i="7" s="1"/>
  <c r="Y20" i="7"/>
  <c r="X91" i="7"/>
  <c r="X88" i="7"/>
  <c r="Z88" i="7"/>
  <c r="N25" i="6"/>
  <c r="N109" i="6"/>
  <c r="L109" i="6"/>
  <c r="L49" i="6"/>
  <c r="AC88" i="7" l="1"/>
  <c r="X113" i="7"/>
  <c r="Y90" i="7"/>
  <c r="Z90" i="7"/>
  <c r="AA90" i="7" s="1"/>
  <c r="AB90" i="7"/>
  <c r="AC90" i="7" s="1"/>
  <c r="AB96" i="7"/>
  <c r="AC20" i="7"/>
  <c r="AA20" i="7"/>
  <c r="Z89" i="7"/>
  <c r="X94" i="7"/>
  <c r="X89" i="7"/>
  <c r="Y88" i="7"/>
  <c r="X97" i="7"/>
  <c r="Y91" i="7"/>
  <c r="X115" i="7"/>
  <c r="Z115" i="7" s="1"/>
  <c r="Z120" i="7" s="1"/>
  <c r="Z91" i="7"/>
  <c r="AB91" i="7"/>
  <c r="AC91" i="7" s="1"/>
  <c r="P25" i="6"/>
  <c r="J42" i="6"/>
  <c r="J107" i="6" s="1"/>
  <c r="J105" i="6"/>
  <c r="H109" i="6"/>
  <c r="H2" i="6"/>
  <c r="J68" i="6"/>
  <c r="J109" i="6"/>
  <c r="J9" i="6"/>
  <c r="AA91" i="7" l="1"/>
  <c r="Z97" i="7"/>
  <c r="X120" i="7"/>
  <c r="X95" i="7"/>
  <c r="Z94" i="7"/>
  <c r="Z95" i="7" s="1"/>
  <c r="AB94" i="7"/>
  <c r="AB95" i="7" s="1"/>
  <c r="AC89" i="7"/>
  <c r="AB97" i="7"/>
  <c r="AA88" i="7"/>
  <c r="AA89" i="7"/>
  <c r="I39" i="6"/>
  <c r="I78" i="6"/>
  <c r="I79" i="6"/>
  <c r="I29" i="6"/>
  <c r="I45" i="6"/>
  <c r="I53" i="6"/>
  <c r="I11" i="6"/>
  <c r="I50" i="6"/>
  <c r="I30" i="6"/>
  <c r="I46" i="6"/>
  <c r="I62" i="6"/>
  <c r="I12" i="6"/>
  <c r="I31" i="6"/>
  <c r="I47" i="6"/>
  <c r="I55" i="6"/>
  <c r="I63" i="6"/>
  <c r="I13" i="6"/>
  <c r="I32" i="6"/>
  <c r="I40" i="6"/>
  <c r="I48" i="6"/>
  <c r="I14" i="6"/>
  <c r="I16" i="6"/>
  <c r="I10" i="6"/>
  <c r="I33" i="6"/>
  <c r="I41" i="6"/>
  <c r="I49" i="6"/>
  <c r="I57" i="6"/>
  <c r="I65" i="6"/>
  <c r="I15" i="6"/>
  <c r="I66" i="6"/>
  <c r="I27" i="6"/>
  <c r="I35" i="6"/>
  <c r="I43" i="6"/>
  <c r="I51" i="6"/>
  <c r="I17" i="6"/>
  <c r="J7" i="6"/>
  <c r="J6" i="6" s="1"/>
  <c r="I28" i="6"/>
  <c r="I36" i="6"/>
  <c r="I44" i="6"/>
  <c r="I52" i="6"/>
  <c r="I18" i="6"/>
  <c r="I37" i="6"/>
  <c r="I54" i="6"/>
  <c r="I34" i="6"/>
  <c r="I67" i="6"/>
  <c r="I38" i="6"/>
  <c r="I59" i="6"/>
  <c r="I56" i="6"/>
  <c r="I60" i="6"/>
  <c r="I61" i="6"/>
  <c r="I58" i="6"/>
  <c r="H105" i="6"/>
  <c r="I8" i="6"/>
  <c r="J55" i="6"/>
  <c r="V32" i="6" l="1"/>
  <c r="T25" i="6"/>
  <c r="AB4" i="6"/>
  <c r="AB3" i="6"/>
  <c r="L9" i="6"/>
  <c r="AB27" i="6"/>
  <c r="H64" i="6"/>
  <c r="I64" i="6" s="1"/>
  <c r="J25" i="6"/>
  <c r="J20" i="6" l="1"/>
  <c r="J83" i="6" s="1"/>
  <c r="J106" i="6" s="1"/>
  <c r="X26" i="6"/>
  <c r="V25" i="6"/>
  <c r="F105" i="6"/>
  <c r="J89" i="6" l="1"/>
  <c r="X32" i="6"/>
  <c r="F42" i="6"/>
  <c r="F107" i="6" s="1"/>
  <c r="F68" i="6"/>
  <c r="G8" i="6" l="1"/>
  <c r="H7" i="6"/>
  <c r="G10" i="6"/>
  <c r="G18" i="6"/>
  <c r="G15" i="6"/>
  <c r="G11" i="6"/>
  <c r="G17" i="6"/>
  <c r="G12" i="6"/>
  <c r="G13" i="6"/>
  <c r="G14" i="6"/>
  <c r="G16" i="6"/>
  <c r="X25" i="6"/>
  <c r="D49" i="6"/>
  <c r="D25" i="6" l="1"/>
  <c r="B42" i="6"/>
  <c r="B109" i="6"/>
  <c r="B96" i="6"/>
  <c r="D96" i="6" s="1"/>
  <c r="F96" i="6" s="1"/>
  <c r="H96" i="6" s="1"/>
  <c r="J96" i="6" s="1"/>
  <c r="L96" i="6" s="1"/>
  <c r="N96" i="6" s="1"/>
  <c r="N93" i="6" l="1"/>
  <c r="P96" i="6"/>
  <c r="R96" i="6" s="1"/>
  <c r="T96" i="6" s="1"/>
  <c r="J93" i="6"/>
  <c r="B25" i="6"/>
  <c r="B20" i="6" l="1"/>
  <c r="R119" i="6" l="1"/>
  <c r="X110" i="6"/>
  <c r="P110" i="6"/>
  <c r="L110" i="6"/>
  <c r="X109" i="6"/>
  <c r="V109" i="6"/>
  <c r="T109" i="6"/>
  <c r="P109" i="6"/>
  <c r="Z108" i="6"/>
  <c r="X105" i="6"/>
  <c r="V105" i="6"/>
  <c r="T105" i="6"/>
  <c r="D93" i="6"/>
  <c r="X93" i="6"/>
  <c r="B93" i="6"/>
  <c r="AB85" i="6"/>
  <c r="AB79" i="6"/>
  <c r="AB76" i="6"/>
  <c r="AB75" i="6"/>
  <c r="AB74" i="6"/>
  <c r="AB73" i="6"/>
  <c r="AB72" i="6"/>
  <c r="AB71" i="6"/>
  <c r="AB70" i="6"/>
  <c r="AB69" i="6"/>
  <c r="X68" i="6"/>
  <c r="V68" i="6"/>
  <c r="T68" i="6"/>
  <c r="R68" i="6"/>
  <c r="P68" i="6"/>
  <c r="L68" i="6"/>
  <c r="H68" i="6"/>
  <c r="D68" i="6"/>
  <c r="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X42" i="6"/>
  <c r="V42" i="6"/>
  <c r="T42" i="6"/>
  <c r="T107" i="6" s="1"/>
  <c r="R42" i="6"/>
  <c r="R107" i="6" s="1"/>
  <c r="P42" i="6"/>
  <c r="P107" i="6" s="1"/>
  <c r="N42" i="6"/>
  <c r="L42" i="6"/>
  <c r="L107" i="6" s="1"/>
  <c r="H42" i="6"/>
  <c r="D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F29" i="6"/>
  <c r="AB29" i="6" s="1"/>
  <c r="AB26" i="6"/>
  <c r="L25" i="6"/>
  <c r="AB24" i="6"/>
  <c r="AB23" i="6"/>
  <c r="AB22" i="6"/>
  <c r="AB21" i="6"/>
  <c r="AB18" i="6"/>
  <c r="AB15" i="6"/>
  <c r="AB13" i="6"/>
  <c r="AB12" i="6"/>
  <c r="AB10" i="6"/>
  <c r="H9" i="6"/>
  <c r="H6" i="6" s="1"/>
  <c r="F9" i="6"/>
  <c r="D9" i="6"/>
  <c r="AB5" i="6"/>
  <c r="AB2" i="6" s="1"/>
  <c r="X2" i="6"/>
  <c r="V2" i="6"/>
  <c r="W78" i="6" s="1"/>
  <c r="T2" i="6"/>
  <c r="U78" i="6" s="1"/>
  <c r="R2" i="6"/>
  <c r="S78" i="6" s="1"/>
  <c r="P2" i="6"/>
  <c r="Q78" i="6" s="1"/>
  <c r="N2" i="6"/>
  <c r="O78" i="6" s="1"/>
  <c r="L2" i="6"/>
  <c r="M78" i="6" s="1"/>
  <c r="J2" i="6"/>
  <c r="K78" i="6" s="1"/>
  <c r="D2" i="6"/>
  <c r="B2" i="6"/>
  <c r="C78" i="6" s="1"/>
  <c r="E78" i="6" l="1"/>
  <c r="E79" i="6"/>
  <c r="AC4" i="6"/>
  <c r="AC74" i="6"/>
  <c r="AC22" i="6"/>
  <c r="AC30" i="6"/>
  <c r="AC38" i="6"/>
  <c r="AC46" i="6"/>
  <c r="AC54" i="6"/>
  <c r="AC62" i="6"/>
  <c r="AC15" i="6"/>
  <c r="AC32" i="6"/>
  <c r="AC40" i="6"/>
  <c r="AC64" i="6"/>
  <c r="AC17" i="6"/>
  <c r="AC33" i="6"/>
  <c r="AC57" i="6"/>
  <c r="AC78" i="6"/>
  <c r="AC42" i="6"/>
  <c r="AC11" i="6"/>
  <c r="AC71" i="6"/>
  <c r="AC51" i="6"/>
  <c r="AC67" i="6"/>
  <c r="AC69" i="6"/>
  <c r="AC44" i="6"/>
  <c r="AC21" i="6"/>
  <c r="AC73" i="6"/>
  <c r="AC53" i="6"/>
  <c r="AC14" i="6"/>
  <c r="AC75" i="6"/>
  <c r="AC23" i="6"/>
  <c r="AC31" i="6"/>
  <c r="AC39" i="6"/>
  <c r="AC47" i="6"/>
  <c r="AC55" i="6"/>
  <c r="AC63" i="6"/>
  <c r="AC8" i="6"/>
  <c r="AC16" i="6"/>
  <c r="AC24" i="6"/>
  <c r="AC48" i="6"/>
  <c r="AC56" i="6"/>
  <c r="AC9" i="6"/>
  <c r="AC77" i="6"/>
  <c r="AC41" i="6"/>
  <c r="AC49" i="6"/>
  <c r="AC10" i="6"/>
  <c r="AC70" i="6"/>
  <c r="AC34" i="6"/>
  <c r="AC50" i="6"/>
  <c r="AC66" i="6"/>
  <c r="AC79" i="6"/>
  <c r="AC35" i="6"/>
  <c r="AC59" i="6"/>
  <c r="AC72" i="6"/>
  <c r="AC36" i="6"/>
  <c r="AC60" i="6"/>
  <c r="AC13" i="6"/>
  <c r="AC29" i="6"/>
  <c r="AC37" i="6"/>
  <c r="AC20" i="6"/>
  <c r="AC76" i="6"/>
  <c r="AC25" i="6"/>
  <c r="AC65" i="6"/>
  <c r="AC18" i="6"/>
  <c r="AC26" i="6"/>
  <c r="AC58" i="6"/>
  <c r="AC27" i="6"/>
  <c r="AC43" i="6"/>
  <c r="AC12" i="6"/>
  <c r="AC28" i="6"/>
  <c r="AC52" i="6"/>
  <c r="AC68" i="6"/>
  <c r="AC45" i="6"/>
  <c r="AC61" i="6"/>
  <c r="AC3" i="6"/>
  <c r="Y78" i="6"/>
  <c r="Y79" i="6"/>
  <c r="AB9" i="6"/>
  <c r="AB25" i="6"/>
  <c r="M13" i="6"/>
  <c r="M27" i="6"/>
  <c r="M14" i="6"/>
  <c r="M28" i="6"/>
  <c r="M8" i="6"/>
  <c r="M15" i="6"/>
  <c r="M10" i="6"/>
  <c r="M66" i="6"/>
  <c r="M29" i="6"/>
  <c r="M16" i="6"/>
  <c r="N7" i="6"/>
  <c r="O7" i="6" s="1"/>
  <c r="M31" i="6"/>
  <c r="M18" i="6"/>
  <c r="M22" i="6"/>
  <c r="M30" i="6"/>
  <c r="M17" i="6"/>
  <c r="M23" i="6"/>
  <c r="M24" i="6"/>
  <c r="M32" i="6"/>
  <c r="M11" i="6"/>
  <c r="M33" i="6"/>
  <c r="M12" i="6"/>
  <c r="M34" i="6"/>
  <c r="M26" i="6"/>
  <c r="M9" i="6"/>
  <c r="O3" i="6"/>
  <c r="O31" i="6"/>
  <c r="O14" i="6"/>
  <c r="O13" i="6"/>
  <c r="O32" i="6"/>
  <c r="O8" i="6"/>
  <c r="O15" i="6"/>
  <c r="O11" i="6"/>
  <c r="O33" i="6"/>
  <c r="O16" i="6"/>
  <c r="O17" i="6"/>
  <c r="O28" i="6"/>
  <c r="P7" i="6"/>
  <c r="P6" i="6" s="1"/>
  <c r="Q6" i="6" s="1"/>
  <c r="O27" i="6"/>
  <c r="O10" i="6"/>
  <c r="O18" i="6"/>
  <c r="O29" i="6"/>
  <c r="O12" i="6"/>
  <c r="O30" i="6"/>
  <c r="E30" i="6"/>
  <c r="E38" i="6"/>
  <c r="E46" i="6"/>
  <c r="E54" i="6"/>
  <c r="E62" i="6"/>
  <c r="E17" i="6"/>
  <c r="E16" i="6"/>
  <c r="F7" i="6"/>
  <c r="F6" i="6" s="1"/>
  <c r="E31" i="6"/>
  <c r="E39" i="6"/>
  <c r="E47" i="6"/>
  <c r="E55" i="6"/>
  <c r="E63" i="6"/>
  <c r="E10" i="6"/>
  <c r="E18" i="6"/>
  <c r="E14" i="6"/>
  <c r="E32" i="6"/>
  <c r="E40" i="6"/>
  <c r="E48" i="6"/>
  <c r="E56" i="6"/>
  <c r="E64" i="6"/>
  <c r="E11" i="6"/>
  <c r="E59" i="6"/>
  <c r="E33" i="6"/>
  <c r="E41" i="6"/>
  <c r="E57" i="6"/>
  <c r="E65" i="6"/>
  <c r="E12" i="6"/>
  <c r="E27" i="6"/>
  <c r="E35" i="6"/>
  <c r="E51" i="6"/>
  <c r="E67" i="6"/>
  <c r="E34" i="6"/>
  <c r="E50" i="6"/>
  <c r="E66" i="6"/>
  <c r="E13" i="6"/>
  <c r="E43" i="6"/>
  <c r="E28" i="6"/>
  <c r="E36" i="6"/>
  <c r="E44" i="6"/>
  <c r="E52" i="6"/>
  <c r="E15" i="6"/>
  <c r="E29" i="6"/>
  <c r="E37" i="6"/>
  <c r="E45" i="6"/>
  <c r="E53" i="6"/>
  <c r="E61" i="6"/>
  <c r="E60" i="6"/>
  <c r="E58" i="6"/>
  <c r="E49" i="6"/>
  <c r="V107" i="6"/>
  <c r="V20" i="6"/>
  <c r="S30" i="6"/>
  <c r="T7" i="6"/>
  <c r="S27" i="6"/>
  <c r="S28" i="6"/>
  <c r="S29" i="6"/>
  <c r="S31" i="6"/>
  <c r="D107" i="6"/>
  <c r="E42" i="6"/>
  <c r="U28" i="6"/>
  <c r="V7" i="6"/>
  <c r="W7" i="6" s="1"/>
  <c r="U29" i="6"/>
  <c r="U30" i="6"/>
  <c r="U31" i="6"/>
  <c r="U32" i="6"/>
  <c r="U27" i="6"/>
  <c r="U26" i="6"/>
  <c r="U8" i="6"/>
  <c r="U17" i="6"/>
  <c r="U18" i="6"/>
  <c r="U10" i="6"/>
  <c r="U16" i="6"/>
  <c r="U11" i="6"/>
  <c r="U15" i="6"/>
  <c r="U12" i="6"/>
  <c r="U13" i="6"/>
  <c r="U14" i="6"/>
  <c r="U9" i="6"/>
  <c r="M25" i="6"/>
  <c r="H107" i="6"/>
  <c r="I42" i="6"/>
  <c r="Q49" i="6"/>
  <c r="Q28" i="6"/>
  <c r="Q15" i="6"/>
  <c r="Q29" i="6"/>
  <c r="Q16" i="6"/>
  <c r="Q22" i="6"/>
  <c r="Q30" i="6"/>
  <c r="Q17" i="6"/>
  <c r="Q14" i="6"/>
  <c r="R7" i="6"/>
  <c r="R6" i="6" s="1"/>
  <c r="S6" i="6" s="1"/>
  <c r="Q23" i="6"/>
  <c r="Q31" i="6"/>
  <c r="Q10" i="6"/>
  <c r="Q18" i="6"/>
  <c r="Q12" i="6"/>
  <c r="Q24" i="6"/>
  <c r="Q11" i="6"/>
  <c r="Q13" i="6"/>
  <c r="Q27" i="6"/>
  <c r="Q8" i="6"/>
  <c r="Q26" i="6"/>
  <c r="Q9" i="6"/>
  <c r="Q25" i="6"/>
  <c r="C71" i="6"/>
  <c r="C27" i="6"/>
  <c r="C35" i="6"/>
  <c r="C43" i="6"/>
  <c r="C51" i="6"/>
  <c r="C59" i="6"/>
  <c r="C67" i="6"/>
  <c r="C16" i="6"/>
  <c r="C56" i="6"/>
  <c r="C72" i="6"/>
  <c r="C28" i="6"/>
  <c r="C36" i="6"/>
  <c r="C44" i="6"/>
  <c r="C52" i="6"/>
  <c r="C60" i="6"/>
  <c r="C26" i="6"/>
  <c r="C17" i="6"/>
  <c r="C32" i="6"/>
  <c r="C66" i="6"/>
  <c r="D7" i="6"/>
  <c r="D6" i="6" s="1"/>
  <c r="C73" i="6"/>
  <c r="C37" i="6"/>
  <c r="C45" i="6"/>
  <c r="C53" i="6"/>
  <c r="C61" i="6"/>
  <c r="C10" i="6"/>
  <c r="C18" i="6"/>
  <c r="C48" i="6"/>
  <c r="C13" i="6"/>
  <c r="C74" i="6"/>
  <c r="C30" i="6"/>
  <c r="C38" i="6"/>
  <c r="C46" i="6"/>
  <c r="C54" i="6"/>
  <c r="C62" i="6"/>
  <c r="C11" i="6"/>
  <c r="C40" i="6"/>
  <c r="C50" i="6"/>
  <c r="C75" i="6"/>
  <c r="C31" i="6"/>
  <c r="C39" i="6"/>
  <c r="C47" i="6"/>
  <c r="C55" i="6"/>
  <c r="C63" i="6"/>
  <c r="C12" i="6"/>
  <c r="C76" i="6"/>
  <c r="C64" i="6"/>
  <c r="C58" i="6"/>
  <c r="C15" i="6"/>
  <c r="C69" i="6"/>
  <c r="C77" i="6"/>
  <c r="C33" i="6"/>
  <c r="C41" i="6"/>
  <c r="C49" i="6"/>
  <c r="C57" i="6"/>
  <c r="C65" i="6"/>
  <c r="C14" i="6"/>
  <c r="C70" i="6"/>
  <c r="C79" i="6"/>
  <c r="C34" i="6"/>
  <c r="C29" i="6"/>
  <c r="C9" i="6"/>
  <c r="C42" i="6"/>
  <c r="C25" i="6"/>
  <c r="X7" i="6"/>
  <c r="Y7" i="6" s="1"/>
  <c r="W30" i="6"/>
  <c r="W31" i="6"/>
  <c r="W27" i="6"/>
  <c r="W33" i="6"/>
  <c r="W35" i="6"/>
  <c r="W28" i="6"/>
  <c r="W29" i="6"/>
  <c r="W34" i="6"/>
  <c r="W32" i="6"/>
  <c r="Y29" i="6"/>
  <c r="Y30" i="6"/>
  <c r="Y31" i="6"/>
  <c r="Y33" i="6"/>
  <c r="Y27" i="6"/>
  <c r="Y28" i="6"/>
  <c r="Y32" i="6"/>
  <c r="J80" i="6"/>
  <c r="J86" i="6" s="1"/>
  <c r="K29" i="6"/>
  <c r="K12" i="6"/>
  <c r="K22" i="6"/>
  <c r="K30" i="6"/>
  <c r="K13" i="6"/>
  <c r="K23" i="6"/>
  <c r="K31" i="6"/>
  <c r="K14" i="6"/>
  <c r="K24" i="6"/>
  <c r="K32" i="6"/>
  <c r="K15" i="6"/>
  <c r="K33" i="6"/>
  <c r="K8" i="6"/>
  <c r="K16" i="6"/>
  <c r="K17" i="6"/>
  <c r="L7" i="6"/>
  <c r="K27" i="6"/>
  <c r="K10" i="6"/>
  <c r="K18" i="6"/>
  <c r="K28" i="6"/>
  <c r="K11" i="6"/>
  <c r="K26" i="6"/>
  <c r="K34" i="6"/>
  <c r="K25" i="6"/>
  <c r="S15" i="6"/>
  <c r="S14" i="6"/>
  <c r="S16" i="6"/>
  <c r="S12" i="6"/>
  <c r="S8" i="6"/>
  <c r="S17" i="6"/>
  <c r="S10" i="6"/>
  <c r="S13" i="6"/>
  <c r="S11" i="6"/>
  <c r="S9" i="6"/>
  <c r="E8" i="6"/>
  <c r="Y65" i="6"/>
  <c r="Y66" i="6"/>
  <c r="Y14" i="6"/>
  <c r="Y67" i="6"/>
  <c r="Y15" i="6"/>
  <c r="Y16" i="6"/>
  <c r="Y17" i="6"/>
  <c r="Y10" i="6"/>
  <c r="Y11" i="6"/>
  <c r="Y12" i="6"/>
  <c r="Y13" i="6"/>
  <c r="Y8" i="6"/>
  <c r="Y9" i="6"/>
  <c r="W8" i="6"/>
  <c r="W9" i="6"/>
  <c r="W16" i="6"/>
  <c r="W10" i="6"/>
  <c r="W11" i="6"/>
  <c r="W12" i="6"/>
  <c r="W13" i="6"/>
  <c r="W14" i="6"/>
  <c r="W15" i="6"/>
  <c r="Z110" i="6"/>
  <c r="N107" i="6"/>
  <c r="N20" i="6"/>
  <c r="AE2" i="6"/>
  <c r="Y24" i="6"/>
  <c r="W64" i="6"/>
  <c r="W17" i="6"/>
  <c r="U37" i="6"/>
  <c r="Z109" i="6"/>
  <c r="T20" i="6"/>
  <c r="U20" i="6" s="1"/>
  <c r="X20" i="6"/>
  <c r="Y20" i="6" s="1"/>
  <c r="X107" i="6"/>
  <c r="K20" i="6"/>
  <c r="I26" i="6"/>
  <c r="T6" i="6"/>
  <c r="F25" i="6"/>
  <c r="F20" i="6" s="1"/>
  <c r="L20" i="6"/>
  <c r="C22" i="6"/>
  <c r="C3" i="4"/>
  <c r="S56" i="6"/>
  <c r="X6" i="6"/>
  <c r="Y6" i="6" s="1"/>
  <c r="W38" i="6"/>
  <c r="W57" i="6"/>
  <c r="W3" i="6"/>
  <c r="W22" i="6"/>
  <c r="W40" i="6"/>
  <c r="W36" i="6"/>
  <c r="W42" i="6"/>
  <c r="W4" i="6"/>
  <c r="W23" i="6"/>
  <c r="W54" i="6"/>
  <c r="W37" i="6"/>
  <c r="W5" i="6"/>
  <c r="W18" i="6"/>
  <c r="W61" i="6"/>
  <c r="S22" i="6"/>
  <c r="S25" i="6"/>
  <c r="S18" i="6"/>
  <c r="Q34" i="6"/>
  <c r="Q63" i="6"/>
  <c r="Q5" i="6"/>
  <c r="Q39" i="6"/>
  <c r="Q46" i="6"/>
  <c r="Q3" i="6"/>
  <c r="Q40" i="6"/>
  <c r="Q43" i="6"/>
  <c r="Q65" i="6"/>
  <c r="Q32" i="6"/>
  <c r="Q44" i="6"/>
  <c r="Q52" i="6"/>
  <c r="Q4" i="6"/>
  <c r="Q51" i="6"/>
  <c r="M39" i="6"/>
  <c r="M21" i="6"/>
  <c r="M5" i="6"/>
  <c r="M3" i="6"/>
  <c r="M4" i="6"/>
  <c r="R20" i="6"/>
  <c r="S20" i="6" s="1"/>
  <c r="AB68" i="6"/>
  <c r="G64" i="6"/>
  <c r="C5" i="4"/>
  <c r="C4" i="4"/>
  <c r="D20" i="6"/>
  <c r="AB42" i="6"/>
  <c r="H25" i="6"/>
  <c r="H20" i="6" s="1"/>
  <c r="I20" i="6" s="1"/>
  <c r="I6" i="6"/>
  <c r="I7" i="6"/>
  <c r="G22" i="6"/>
  <c r="G24" i="6"/>
  <c r="G34" i="6"/>
  <c r="G5" i="6"/>
  <c r="G29" i="6"/>
  <c r="G38" i="6"/>
  <c r="G43" i="6"/>
  <c r="G4" i="6"/>
  <c r="G35" i="6"/>
  <c r="G23" i="6"/>
  <c r="G3" i="6"/>
  <c r="G21" i="6"/>
  <c r="G36" i="6"/>
  <c r="G9" i="6"/>
  <c r="G33" i="6"/>
  <c r="G7" i="6"/>
  <c r="G31" i="6"/>
  <c r="E9" i="6"/>
  <c r="AC5" i="6"/>
  <c r="C7" i="6"/>
  <c r="K79" i="6"/>
  <c r="K77" i="6"/>
  <c r="K76" i="6"/>
  <c r="K75" i="6"/>
  <c r="K74" i="6"/>
  <c r="K73" i="6"/>
  <c r="K72" i="6"/>
  <c r="K71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J99" i="6"/>
  <c r="K70" i="6"/>
  <c r="K69" i="6"/>
  <c r="K66" i="6"/>
  <c r="K68" i="6"/>
  <c r="K67" i="6"/>
  <c r="K37" i="6"/>
  <c r="K21" i="6"/>
  <c r="K40" i="6"/>
  <c r="K35" i="6"/>
  <c r="K38" i="6"/>
  <c r="K39" i="6"/>
  <c r="O23" i="6"/>
  <c r="W25" i="6"/>
  <c r="O26" i="6"/>
  <c r="U34" i="6"/>
  <c r="Y40" i="6"/>
  <c r="U43" i="6"/>
  <c r="U46" i="6"/>
  <c r="U49" i="6"/>
  <c r="Y75" i="6"/>
  <c r="M67" i="6"/>
  <c r="L105" i="6"/>
  <c r="L99" i="6"/>
  <c r="M76" i="6"/>
  <c r="M60" i="6"/>
  <c r="M56" i="6"/>
  <c r="M77" i="6"/>
  <c r="M52" i="6"/>
  <c r="M51" i="6"/>
  <c r="M50" i="6"/>
  <c r="M49" i="6"/>
  <c r="M48" i="6"/>
  <c r="M47" i="6"/>
  <c r="M46" i="6"/>
  <c r="M45" i="6"/>
  <c r="M44" i="6"/>
  <c r="M43" i="6"/>
  <c r="M79" i="6"/>
  <c r="M70" i="6"/>
  <c r="M61" i="6"/>
  <c r="M57" i="6"/>
  <c r="M53" i="6"/>
  <c r="M71" i="6"/>
  <c r="M69" i="6"/>
  <c r="M64" i="6"/>
  <c r="M72" i="6"/>
  <c r="M62" i="6"/>
  <c r="M58" i="6"/>
  <c r="M54" i="6"/>
  <c r="M74" i="6"/>
  <c r="M59" i="6"/>
  <c r="M55" i="6"/>
  <c r="M40" i="6"/>
  <c r="M73" i="6"/>
  <c r="M38" i="6"/>
  <c r="M41" i="6"/>
  <c r="M68" i="6"/>
  <c r="M65" i="6"/>
  <c r="M63" i="6"/>
  <c r="U3" i="6"/>
  <c r="K4" i="6"/>
  <c r="U5" i="6"/>
  <c r="K9" i="6"/>
  <c r="K6" i="6"/>
  <c r="I21" i="6"/>
  <c r="Y22" i="6"/>
  <c r="S23" i="6"/>
  <c r="I24" i="6"/>
  <c r="Y25" i="6"/>
  <c r="U33" i="6"/>
  <c r="U42" i="6"/>
  <c r="E22" i="6"/>
  <c r="U47" i="6"/>
  <c r="I72" i="6"/>
  <c r="K7" i="6"/>
  <c r="E3" i="6"/>
  <c r="M37" i="6"/>
  <c r="Y77" i="6"/>
  <c r="I9" i="6"/>
  <c r="O67" i="6"/>
  <c r="N105" i="6"/>
  <c r="N99" i="6"/>
  <c r="O79" i="6"/>
  <c r="O77" i="6"/>
  <c r="O76" i="6"/>
  <c r="O75" i="6"/>
  <c r="O74" i="6"/>
  <c r="O73" i="6"/>
  <c r="O72" i="6"/>
  <c r="O71" i="6"/>
  <c r="O70" i="6"/>
  <c r="O69" i="6"/>
  <c r="O66" i="6"/>
  <c r="O52" i="6"/>
  <c r="O51" i="6"/>
  <c r="O50" i="6"/>
  <c r="O49" i="6"/>
  <c r="O48" i="6"/>
  <c r="O47" i="6"/>
  <c r="O46" i="6"/>
  <c r="O45" i="6"/>
  <c r="O44" i="6"/>
  <c r="O61" i="6"/>
  <c r="O57" i="6"/>
  <c r="O53" i="6"/>
  <c r="O64" i="6"/>
  <c r="O62" i="6"/>
  <c r="O58" i="6"/>
  <c r="O54" i="6"/>
  <c r="O41" i="6"/>
  <c r="O40" i="6"/>
  <c r="O39" i="6"/>
  <c r="O38" i="6"/>
  <c r="O37" i="6"/>
  <c r="O36" i="6"/>
  <c r="O35" i="6"/>
  <c r="O34" i="6"/>
  <c r="O65" i="6"/>
  <c r="O63" i="6"/>
  <c r="O22" i="6"/>
  <c r="O55" i="6"/>
  <c r="O42" i="6"/>
  <c r="O60" i="6"/>
  <c r="O24" i="6"/>
  <c r="O43" i="6"/>
  <c r="B6" i="6"/>
  <c r="O4" i="6"/>
  <c r="E5" i="6"/>
  <c r="U7" i="6"/>
  <c r="O21" i="6"/>
  <c r="Y23" i="6"/>
  <c r="E25" i="6"/>
  <c r="O25" i="6"/>
  <c r="B105" i="6"/>
  <c r="B99" i="6"/>
  <c r="C23" i="6"/>
  <c r="C5" i="6"/>
  <c r="C4" i="6"/>
  <c r="C3" i="6"/>
  <c r="R105" i="6"/>
  <c r="R99" i="6"/>
  <c r="S77" i="6"/>
  <c r="S64" i="6"/>
  <c r="S79" i="6"/>
  <c r="S70" i="6"/>
  <c r="S62" i="6"/>
  <c r="S58" i="6"/>
  <c r="S54" i="6"/>
  <c r="S41" i="6"/>
  <c r="S40" i="6"/>
  <c r="S39" i="6"/>
  <c r="S38" i="6"/>
  <c r="S37" i="6"/>
  <c r="S36" i="6"/>
  <c r="S35" i="6"/>
  <c r="S34" i="6"/>
  <c r="S33" i="6"/>
  <c r="S32" i="6"/>
  <c r="S71" i="6"/>
  <c r="S69" i="6"/>
  <c r="S72" i="6"/>
  <c r="S59" i="6"/>
  <c r="S55" i="6"/>
  <c r="S73" i="6"/>
  <c r="S66" i="6"/>
  <c r="S65" i="6"/>
  <c r="S63" i="6"/>
  <c r="S75" i="6"/>
  <c r="S52" i="6"/>
  <c r="S51" i="6"/>
  <c r="S50" i="6"/>
  <c r="S49" i="6"/>
  <c r="S48" i="6"/>
  <c r="S47" i="6"/>
  <c r="S46" i="6"/>
  <c r="S45" i="6"/>
  <c r="S44" i="6"/>
  <c r="S43" i="6"/>
  <c r="S57" i="6"/>
  <c r="S85" i="6"/>
  <c r="S76" i="6"/>
  <c r="S60" i="6"/>
  <c r="S53" i="6"/>
  <c r="S26" i="6"/>
  <c r="S5" i="6"/>
  <c r="S4" i="6"/>
  <c r="S3" i="6"/>
  <c r="S61" i="6"/>
  <c r="S21" i="6"/>
  <c r="E23" i="6"/>
  <c r="S24" i="6"/>
  <c r="K36" i="6"/>
  <c r="K41" i="6"/>
  <c r="I69" i="6"/>
  <c r="D105" i="6"/>
  <c r="D99" i="6"/>
  <c r="E77" i="6"/>
  <c r="E76" i="6"/>
  <c r="E75" i="6"/>
  <c r="E74" i="6"/>
  <c r="E73" i="6"/>
  <c r="E72" i="6"/>
  <c r="E71" i="6"/>
  <c r="E70" i="6"/>
  <c r="E69" i="6"/>
  <c r="E68" i="6"/>
  <c r="E26" i="6"/>
  <c r="E24" i="6"/>
  <c r="E21" i="6"/>
  <c r="T99" i="6"/>
  <c r="U79" i="6"/>
  <c r="U77" i="6"/>
  <c r="U76" i="6"/>
  <c r="U75" i="6"/>
  <c r="U74" i="6"/>
  <c r="U73" i="6"/>
  <c r="U72" i="6"/>
  <c r="U71" i="6"/>
  <c r="U70" i="6"/>
  <c r="U69" i="6"/>
  <c r="U65" i="6"/>
  <c r="U64" i="6"/>
  <c r="U63" i="6"/>
  <c r="U62" i="6"/>
  <c r="U58" i="6"/>
  <c r="U54" i="6"/>
  <c r="U59" i="6"/>
  <c r="U55" i="6"/>
  <c r="U67" i="6"/>
  <c r="U60" i="6"/>
  <c r="U56" i="6"/>
  <c r="U68" i="6"/>
  <c r="U61" i="6"/>
  <c r="U57" i="6"/>
  <c r="U53" i="6"/>
  <c r="U50" i="6"/>
  <c r="U38" i="6"/>
  <c r="U23" i="6"/>
  <c r="U41" i="6"/>
  <c r="U45" i="6"/>
  <c r="U48" i="6"/>
  <c r="U36" i="6"/>
  <c r="U25" i="6"/>
  <c r="U51" i="6"/>
  <c r="U39" i="6"/>
  <c r="U52" i="6"/>
  <c r="U44" i="6"/>
  <c r="U40" i="6"/>
  <c r="K3" i="6"/>
  <c r="U4" i="6"/>
  <c r="K5" i="6"/>
  <c r="O9" i="6"/>
  <c r="C20" i="6"/>
  <c r="U21" i="6"/>
  <c r="U24" i="6"/>
  <c r="M35" i="6"/>
  <c r="M36" i="6"/>
  <c r="Y41" i="6"/>
  <c r="M42" i="6"/>
  <c r="S67" i="6"/>
  <c r="S74" i="6"/>
  <c r="H19" i="6"/>
  <c r="I19" i="6" s="1"/>
  <c r="Y21" i="6"/>
  <c r="I23" i="6"/>
  <c r="U35" i="6"/>
  <c r="H99" i="6"/>
  <c r="I75" i="6"/>
  <c r="I76" i="6"/>
  <c r="I68" i="6"/>
  <c r="I77" i="6"/>
  <c r="I71" i="6"/>
  <c r="I70" i="6"/>
  <c r="I73" i="6"/>
  <c r="I74" i="6"/>
  <c r="I5" i="6"/>
  <c r="I4" i="6"/>
  <c r="I3" i="6"/>
  <c r="I22" i="6"/>
  <c r="X99" i="6"/>
  <c r="Y70" i="6"/>
  <c r="Y59" i="6"/>
  <c r="Y55" i="6"/>
  <c r="Y71" i="6"/>
  <c r="Y69" i="6"/>
  <c r="Y72" i="6"/>
  <c r="Y63" i="6"/>
  <c r="Y60" i="6"/>
  <c r="Y56" i="6"/>
  <c r="Y73" i="6"/>
  <c r="Y68" i="6"/>
  <c r="Y52" i="6"/>
  <c r="Y51" i="6"/>
  <c r="Y50" i="6"/>
  <c r="Y49" i="6"/>
  <c r="Y48" i="6"/>
  <c r="Y47" i="6"/>
  <c r="Y46" i="6"/>
  <c r="Y45" i="6"/>
  <c r="Y44" i="6"/>
  <c r="Y43" i="6"/>
  <c r="Y74" i="6"/>
  <c r="Y61" i="6"/>
  <c r="Y57" i="6"/>
  <c r="Y53" i="6"/>
  <c r="Y76" i="6"/>
  <c r="Y64" i="6"/>
  <c r="Y62" i="6"/>
  <c r="Y58" i="6"/>
  <c r="Y54" i="6"/>
  <c r="Y36" i="6"/>
  <c r="Y26" i="6"/>
  <c r="Y5" i="6"/>
  <c r="Y4" i="6"/>
  <c r="Y3" i="6"/>
  <c r="Y39" i="6"/>
  <c r="Y34" i="6"/>
  <c r="Y37" i="6"/>
  <c r="Y38" i="6"/>
  <c r="E4" i="6"/>
  <c r="O5" i="6"/>
  <c r="Y18" i="6"/>
  <c r="C21" i="6"/>
  <c r="U22" i="6"/>
  <c r="C24" i="6"/>
  <c r="Y35" i="6"/>
  <c r="B107" i="6"/>
  <c r="O56" i="6"/>
  <c r="O59" i="6"/>
  <c r="C68" i="6"/>
  <c r="M75" i="6"/>
  <c r="Q37" i="6"/>
  <c r="G41" i="6"/>
  <c r="K42" i="6"/>
  <c r="P105" i="6"/>
  <c r="P99" i="6"/>
  <c r="Q79" i="6"/>
  <c r="Q77" i="6"/>
  <c r="Q76" i="6"/>
  <c r="Q75" i="6"/>
  <c r="Q74" i="6"/>
  <c r="Q73" i="6"/>
  <c r="Q72" i="6"/>
  <c r="Q71" i="6"/>
  <c r="Q70" i="6"/>
  <c r="Q69" i="6"/>
  <c r="Q61" i="6"/>
  <c r="Q57" i="6"/>
  <c r="Q53" i="6"/>
  <c r="Q64" i="6"/>
  <c r="Q68" i="6"/>
  <c r="Q62" i="6"/>
  <c r="Q58" i="6"/>
  <c r="Q54" i="6"/>
  <c r="Q21" i="6"/>
  <c r="Q59" i="6"/>
  <c r="Q55" i="6"/>
  <c r="Q67" i="6"/>
  <c r="Q60" i="6"/>
  <c r="Q56" i="6"/>
  <c r="W21" i="6"/>
  <c r="G32" i="6"/>
  <c r="Q36" i="6"/>
  <c r="G40" i="6"/>
  <c r="Y42" i="6"/>
  <c r="W43" i="6"/>
  <c r="Q48" i="6"/>
  <c r="W58" i="6"/>
  <c r="S68" i="6"/>
  <c r="Q33" i="6"/>
  <c r="G37" i="6"/>
  <c r="W39" i="6"/>
  <c r="Q41" i="6"/>
  <c r="Q45" i="6"/>
  <c r="Q66" i="6"/>
  <c r="Q42" i="6"/>
  <c r="Q50" i="6"/>
  <c r="W53" i="6"/>
  <c r="W62" i="6"/>
  <c r="W68" i="6"/>
  <c r="Q38" i="6"/>
  <c r="G79" i="6"/>
  <c r="G77" i="6"/>
  <c r="G76" i="6"/>
  <c r="G75" i="6"/>
  <c r="G74" i="6"/>
  <c r="G73" i="6"/>
  <c r="G72" i="6"/>
  <c r="G71" i="6"/>
  <c r="G70" i="6"/>
  <c r="G69" i="6"/>
  <c r="G67" i="6"/>
  <c r="G59" i="6"/>
  <c r="G55" i="6"/>
  <c r="G65" i="6"/>
  <c r="G63" i="6"/>
  <c r="G60" i="6"/>
  <c r="G56" i="6"/>
  <c r="G26" i="6"/>
  <c r="F99" i="6"/>
  <c r="G61" i="6"/>
  <c r="G57" i="6"/>
  <c r="G53" i="6"/>
  <c r="G52" i="6"/>
  <c r="G51" i="6"/>
  <c r="G50" i="6"/>
  <c r="G49" i="6"/>
  <c r="G48" i="6"/>
  <c r="G47" i="6"/>
  <c r="G46" i="6"/>
  <c r="G45" i="6"/>
  <c r="G44" i="6"/>
  <c r="G62" i="6"/>
  <c r="G58" i="6"/>
  <c r="G54" i="6"/>
  <c r="V99" i="6"/>
  <c r="W79" i="6"/>
  <c r="W77" i="6"/>
  <c r="W76" i="6"/>
  <c r="W75" i="6"/>
  <c r="W74" i="6"/>
  <c r="W73" i="6"/>
  <c r="W72" i="6"/>
  <c r="W71" i="6"/>
  <c r="W70" i="6"/>
  <c r="W69" i="6"/>
  <c r="W66" i="6"/>
  <c r="W67" i="6"/>
  <c r="W59" i="6"/>
  <c r="W55" i="6"/>
  <c r="W65" i="6"/>
  <c r="W63" i="6"/>
  <c r="W60" i="6"/>
  <c r="W56" i="6"/>
  <c r="W26" i="6"/>
  <c r="W52" i="6"/>
  <c r="W51" i="6"/>
  <c r="W50" i="6"/>
  <c r="W49" i="6"/>
  <c r="W48" i="6"/>
  <c r="W47" i="6"/>
  <c r="W46" i="6"/>
  <c r="W45" i="6"/>
  <c r="W44" i="6"/>
  <c r="P20" i="6"/>
  <c r="W24" i="6"/>
  <c r="G30" i="6"/>
  <c r="Q35" i="6"/>
  <c r="G39" i="6"/>
  <c r="W41" i="6"/>
  <c r="G42" i="6"/>
  <c r="S42" i="6"/>
  <c r="Q47" i="6"/>
  <c r="AC85" i="6"/>
  <c r="O68" i="6"/>
  <c r="G68" i="6"/>
  <c r="F93" i="6"/>
  <c r="V6" i="6" l="1"/>
  <c r="V19" i="6" s="1"/>
  <c r="W19" i="6" s="1"/>
  <c r="Z68" i="6"/>
  <c r="Z77" i="6"/>
  <c r="Z78" i="6"/>
  <c r="E7" i="6"/>
  <c r="S7" i="6"/>
  <c r="N6" i="6"/>
  <c r="N83" i="6" s="1"/>
  <c r="N106" i="6" s="1"/>
  <c r="AC7" i="6"/>
  <c r="Q7" i="6"/>
  <c r="E6" i="6"/>
  <c r="D19" i="6"/>
  <c r="E19" i="6" s="1"/>
  <c r="D82" i="6" s="1"/>
  <c r="E82" i="6" s="1"/>
  <c r="M7" i="6"/>
  <c r="L6" i="6"/>
  <c r="M6" i="6" s="1"/>
  <c r="Z107" i="6"/>
  <c r="D83" i="6"/>
  <c r="D106" i="6" s="1"/>
  <c r="P83" i="6"/>
  <c r="P89" i="6" s="1"/>
  <c r="Z16" i="6"/>
  <c r="Z14" i="6"/>
  <c r="Z8" i="6"/>
  <c r="Z17" i="6"/>
  <c r="Z28" i="6"/>
  <c r="Z29" i="6"/>
  <c r="Z49" i="6"/>
  <c r="Z38" i="6"/>
  <c r="Z33" i="6"/>
  <c r="Z55" i="6"/>
  <c r="Z74" i="6"/>
  <c r="Z51" i="6"/>
  <c r="Z75" i="6"/>
  <c r="Z24" i="6"/>
  <c r="Z44" i="6"/>
  <c r="Z52" i="6"/>
  <c r="Z57" i="6"/>
  <c r="Z76" i="6"/>
  <c r="Z25" i="6"/>
  <c r="Z12" i="6"/>
  <c r="Z32" i="6"/>
  <c r="Z45" i="6"/>
  <c r="Z67" i="6"/>
  <c r="Z58" i="6"/>
  <c r="Z66" i="6"/>
  <c r="Z73" i="6"/>
  <c r="Z13" i="6"/>
  <c r="Z41" i="6"/>
  <c r="Z56" i="6"/>
  <c r="Z36" i="6"/>
  <c r="Z10" i="6"/>
  <c r="Z22" i="6"/>
  <c r="Z9" i="6"/>
  <c r="Z40" i="6"/>
  <c r="Z46" i="6"/>
  <c r="Z69" i="6"/>
  <c r="Z59" i="6"/>
  <c r="Z70" i="6"/>
  <c r="Z79" i="6"/>
  <c r="Z35" i="6"/>
  <c r="Z54" i="6"/>
  <c r="Z50" i="6"/>
  <c r="Z43" i="6"/>
  <c r="Z64" i="6"/>
  <c r="Z65" i="6"/>
  <c r="Z23" i="6"/>
  <c r="Z5" i="6"/>
  <c r="Z37" i="6"/>
  <c r="Z47" i="6"/>
  <c r="Z85" i="6"/>
  <c r="Z60" i="6"/>
  <c r="Z71" i="6"/>
  <c r="Z84" i="6"/>
  <c r="Z31" i="6"/>
  <c r="Z62" i="6"/>
  <c r="Z39" i="6"/>
  <c r="Z63" i="6"/>
  <c r="Z2" i="6"/>
  <c r="Z30" i="6"/>
  <c r="Z42" i="6"/>
  <c r="Z21" i="6"/>
  <c r="Z4" i="6"/>
  <c r="Z15" i="6"/>
  <c r="Z7" i="6"/>
  <c r="Z3" i="6"/>
  <c r="Z18" i="6"/>
  <c r="Z48" i="6"/>
  <c r="Z53" i="6"/>
  <c r="Z61" i="6"/>
  <c r="Z72" i="6"/>
  <c r="Z34" i="6"/>
  <c r="Z26" i="6"/>
  <c r="Z27" i="6"/>
  <c r="Z11" i="6"/>
  <c r="T83" i="6"/>
  <c r="U83" i="6" s="1"/>
  <c r="T80" i="6"/>
  <c r="U80" i="6" s="1"/>
  <c r="U6" i="6"/>
  <c r="W6" i="6"/>
  <c r="V80" i="6"/>
  <c r="V86" i="6" s="1"/>
  <c r="V87" i="6" s="1"/>
  <c r="T19" i="6"/>
  <c r="U19" i="6" s="1"/>
  <c r="T88" i="6" s="1"/>
  <c r="H80" i="6"/>
  <c r="I80" i="6" s="1"/>
  <c r="P80" i="6"/>
  <c r="P86" i="6" s="1"/>
  <c r="P87" i="6" s="1"/>
  <c r="M20" i="6"/>
  <c r="Z20" i="6"/>
  <c r="R19" i="6"/>
  <c r="S19" i="6" s="1"/>
  <c r="R82" i="6" s="1"/>
  <c r="S82" i="6" s="1"/>
  <c r="O20" i="6"/>
  <c r="X83" i="6"/>
  <c r="X89" i="6" s="1"/>
  <c r="X80" i="6"/>
  <c r="X81" i="6" s="1"/>
  <c r="X19" i="6"/>
  <c r="Y19" i="6" s="1"/>
  <c r="X82" i="6" s="1"/>
  <c r="Y82" i="6" s="1"/>
  <c r="F80" i="6"/>
  <c r="B80" i="6"/>
  <c r="B83" i="6"/>
  <c r="V83" i="6"/>
  <c r="V89" i="6" s="1"/>
  <c r="R83" i="6"/>
  <c r="R89" i="6" s="1"/>
  <c r="H83" i="6"/>
  <c r="J19" i="6"/>
  <c r="K19" i="6" s="1"/>
  <c r="J82" i="6" s="1"/>
  <c r="K82" i="6" s="1"/>
  <c r="D80" i="6"/>
  <c r="D81" i="6" s="1"/>
  <c r="I25" i="6"/>
  <c r="E20" i="6"/>
  <c r="H82" i="6"/>
  <c r="I82" i="6" s="1"/>
  <c r="F83" i="6"/>
  <c r="F106" i="6" s="1"/>
  <c r="G25" i="6"/>
  <c r="R80" i="6"/>
  <c r="F19" i="6"/>
  <c r="G19" i="6" s="1"/>
  <c r="G6" i="6"/>
  <c r="H88" i="6"/>
  <c r="Q20" i="6"/>
  <c r="P19" i="6"/>
  <c r="Q19" i="6" s="1"/>
  <c r="P82" i="6" s="1"/>
  <c r="Q82" i="6" s="1"/>
  <c r="V88" i="6"/>
  <c r="W20" i="6"/>
  <c r="V82" i="6"/>
  <c r="W82" i="6" s="1"/>
  <c r="H93" i="6"/>
  <c r="C6" i="6"/>
  <c r="B19" i="6"/>
  <c r="AB99" i="6"/>
  <c r="Z105" i="6"/>
  <c r="AA78" i="6" l="1"/>
  <c r="AB6" i="6"/>
  <c r="AC6" i="6" s="1"/>
  <c r="N80" i="6"/>
  <c r="N86" i="6" s="1"/>
  <c r="N87" i="6" s="1"/>
  <c r="N19" i="6"/>
  <c r="O19" i="6" s="1"/>
  <c r="N88" i="6" s="1"/>
  <c r="AA18" i="6"/>
  <c r="D88" i="6"/>
  <c r="L19" i="6"/>
  <c r="M19" i="6" s="1"/>
  <c r="L82" i="6" s="1"/>
  <c r="M82" i="6" s="1"/>
  <c r="Z6" i="6"/>
  <c r="AA6" i="6" s="1"/>
  <c r="O6" i="6"/>
  <c r="L80" i="6"/>
  <c r="L81" i="6" s="1"/>
  <c r="AA43" i="6"/>
  <c r="D89" i="6"/>
  <c r="E83" i="6"/>
  <c r="L83" i="6"/>
  <c r="L106" i="6" s="1"/>
  <c r="AA42" i="6"/>
  <c r="AA41" i="6"/>
  <c r="AB20" i="6"/>
  <c r="AA27" i="6"/>
  <c r="AA28" i="6"/>
  <c r="AA26" i="6"/>
  <c r="AA30" i="6"/>
  <c r="AA13" i="6"/>
  <c r="AA12" i="6"/>
  <c r="AA17" i="6"/>
  <c r="AA25" i="6"/>
  <c r="AA22" i="6"/>
  <c r="AA15" i="6"/>
  <c r="AA10" i="6"/>
  <c r="AA8" i="6"/>
  <c r="AA3" i="6"/>
  <c r="AA14" i="6"/>
  <c r="AA66" i="6"/>
  <c r="AA16" i="6"/>
  <c r="AA23" i="6"/>
  <c r="AA9" i="6"/>
  <c r="AA11" i="6"/>
  <c r="AA65" i="6"/>
  <c r="AA24" i="6"/>
  <c r="AA29" i="6"/>
  <c r="AA44" i="6"/>
  <c r="AA69" i="6"/>
  <c r="AA59" i="6"/>
  <c r="AA32" i="6"/>
  <c r="AA68" i="6"/>
  <c r="AA60" i="6"/>
  <c r="AA46" i="6"/>
  <c r="AA7" i="6"/>
  <c r="AA63" i="6"/>
  <c r="AA47" i="6"/>
  <c r="AA54" i="6"/>
  <c r="AA73" i="6"/>
  <c r="AA51" i="6"/>
  <c r="AA40" i="6"/>
  <c r="AA85" i="6"/>
  <c r="AA50" i="6"/>
  <c r="AA75" i="6"/>
  <c r="AA72" i="6"/>
  <c r="AA36" i="6"/>
  <c r="AA39" i="6"/>
  <c r="AA37" i="6"/>
  <c r="AA35" i="6"/>
  <c r="AA77" i="6"/>
  <c r="AA61" i="6"/>
  <c r="AA5" i="6"/>
  <c r="AA79" i="6"/>
  <c r="AA57" i="6"/>
  <c r="AA55" i="6"/>
  <c r="AA33" i="6"/>
  <c r="Z99" i="6"/>
  <c r="AA71" i="6"/>
  <c r="AA45" i="6"/>
  <c r="AA62" i="6"/>
  <c r="AA4" i="6"/>
  <c r="AA34" i="6"/>
  <c r="AA21" i="6"/>
  <c r="AA64" i="6"/>
  <c r="AA56" i="6"/>
  <c r="AA49" i="6"/>
  <c r="AA31" i="6"/>
  <c r="AA58" i="6"/>
  <c r="AA52" i="6"/>
  <c r="AA53" i="6"/>
  <c r="AA48" i="6"/>
  <c r="AA76" i="6"/>
  <c r="AA74" i="6"/>
  <c r="AA38" i="6"/>
  <c r="AA70" i="6"/>
  <c r="AA67" i="6"/>
  <c r="T106" i="6"/>
  <c r="T89" i="6"/>
  <c r="T86" i="6"/>
  <c r="T87" i="6" s="1"/>
  <c r="T81" i="6"/>
  <c r="I83" i="6"/>
  <c r="H106" i="6"/>
  <c r="Y83" i="6"/>
  <c r="N89" i="6"/>
  <c r="W80" i="6"/>
  <c r="V81" i="6"/>
  <c r="P81" i="6"/>
  <c r="T82" i="6"/>
  <c r="U82" i="6" s="1"/>
  <c r="Q80" i="6"/>
  <c r="R88" i="6"/>
  <c r="V106" i="6"/>
  <c r="X106" i="6"/>
  <c r="X86" i="6"/>
  <c r="X87" i="6" s="1"/>
  <c r="O83" i="6"/>
  <c r="Y80" i="6"/>
  <c r="W83" i="6"/>
  <c r="R106" i="6"/>
  <c r="P106" i="6"/>
  <c r="S83" i="6"/>
  <c r="B86" i="6"/>
  <c r="B87" i="6" s="1"/>
  <c r="B81" i="6"/>
  <c r="P88" i="6"/>
  <c r="X88" i="6"/>
  <c r="C80" i="6"/>
  <c r="B106" i="6"/>
  <c r="B89" i="6"/>
  <c r="H89" i="6"/>
  <c r="Q83" i="6"/>
  <c r="H81" i="6"/>
  <c r="H86" i="6"/>
  <c r="H87" i="6" s="1"/>
  <c r="J88" i="6"/>
  <c r="E80" i="6"/>
  <c r="D86" i="6"/>
  <c r="D87" i="6" s="1"/>
  <c r="C83" i="6"/>
  <c r="F88" i="6"/>
  <c r="F82" i="6"/>
  <c r="G82" i="6" s="1"/>
  <c r="G20" i="6"/>
  <c r="AA20" i="6"/>
  <c r="F89" i="6"/>
  <c r="G83" i="6"/>
  <c r="R81" i="6"/>
  <c r="R86" i="6"/>
  <c r="R87" i="6" s="1"/>
  <c r="S80" i="6"/>
  <c r="K83" i="6"/>
  <c r="C19" i="6"/>
  <c r="K80" i="6"/>
  <c r="J87" i="6"/>
  <c r="J81" i="6"/>
  <c r="N81" i="6" l="1"/>
  <c r="O80" i="6"/>
  <c r="AB19" i="6"/>
  <c r="AC19" i="6" s="1"/>
  <c r="AB82" i="6" s="1"/>
  <c r="AB80" i="6"/>
  <c r="AC80" i="6" s="1"/>
  <c r="N82" i="6"/>
  <c r="O82" i="6" s="1"/>
  <c r="Z19" i="6"/>
  <c r="AA19" i="6" s="1"/>
  <c r="AB83" i="6"/>
  <c r="AB89" i="6" s="1"/>
  <c r="L89" i="6"/>
  <c r="Z80" i="6"/>
  <c r="AA80" i="6" s="1"/>
  <c r="L88" i="6"/>
  <c r="L86" i="6"/>
  <c r="L87" i="6" s="1"/>
  <c r="M80" i="6"/>
  <c r="Z83" i="6"/>
  <c r="AA83" i="6" s="1"/>
  <c r="M83" i="6"/>
  <c r="Z106" i="6"/>
  <c r="Z111" i="6" s="1"/>
  <c r="B111" i="6"/>
  <c r="D104" i="6" s="1"/>
  <c r="D111" i="6" s="1"/>
  <c r="F104" i="6" s="1"/>
  <c r="F111" i="6" s="1"/>
  <c r="B82" i="6"/>
  <c r="B88" i="6"/>
  <c r="L93" i="6"/>
  <c r="F86" i="6"/>
  <c r="F81" i="6"/>
  <c r="G80" i="6"/>
  <c r="AB81" i="6" l="1"/>
  <c r="AC81" i="6" s="1"/>
  <c r="AB86" i="6"/>
  <c r="AB87" i="6" s="1"/>
  <c r="Z88" i="6"/>
  <c r="AC83" i="6"/>
  <c r="Z89" i="6"/>
  <c r="AB88" i="6"/>
  <c r="AC82" i="6"/>
  <c r="H104" i="6"/>
  <c r="H111" i="6" s="1"/>
  <c r="J104" i="6" s="1"/>
  <c r="J111" i="6" s="1"/>
  <c r="Z81" i="6"/>
  <c r="AA81" i="6" s="1"/>
  <c r="F87" i="6"/>
  <c r="Z86" i="6"/>
  <c r="Z87" i="6" s="1"/>
  <c r="Z82" i="6"/>
  <c r="AA82" i="6" s="1"/>
  <c r="C82" i="6"/>
  <c r="L104" i="6" l="1"/>
  <c r="L111" i="6" s="1"/>
  <c r="N104" i="6" s="1"/>
  <c r="P93" i="6"/>
  <c r="N111" i="6" l="1"/>
  <c r="P104" i="6" s="1"/>
  <c r="P111" i="6" s="1"/>
  <c r="R104" i="6" s="1"/>
  <c r="R111" i="6" s="1"/>
  <c r="T104" i="6" s="1"/>
  <c r="T111" i="6" s="1"/>
  <c r="V104" i="6" s="1"/>
  <c r="V111" i="6" s="1"/>
  <c r="X104" i="6" s="1"/>
  <c r="X111" i="6" s="1"/>
  <c r="R93" i="6"/>
  <c r="T93" i="6" l="1"/>
  <c r="V96" i="6"/>
  <c r="V93" i="6" s="1"/>
  <c r="V113" i="6" s="1"/>
  <c r="C15" i="4" l="1"/>
  <c r="B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</author>
    <author>tc={D973927E-0ECF-420A-8E63-65F0FB9D8FCB}</author>
    <author>Financeiro</author>
  </authors>
  <commentList>
    <comment ref="B3" authorId="0" shapeId="0" xr:uid="{85AD556C-C798-4E4E-88DA-F5AEAD40AF49}">
      <text>
        <r>
          <rPr>
            <b/>
            <sz val="9"/>
            <color indexed="81"/>
            <rFont val="Segoe UI"/>
            <family val="2"/>
          </rPr>
          <t>Produção novembro</t>
        </r>
      </text>
    </comment>
    <comment ref="D3" authorId="0" shapeId="0" xr:uid="{224B835C-C341-4D5E-980E-5B7A4C35656D}">
      <text>
        <r>
          <rPr>
            <b/>
            <sz val="9"/>
            <color indexed="81"/>
            <rFont val="Segoe UI"/>
            <family val="2"/>
          </rPr>
          <t>Produção dezembro</t>
        </r>
      </text>
    </comment>
    <comment ref="F3" authorId="0" shapeId="0" xr:uid="{877326C5-69FC-4170-BAB5-8F38898184CC}">
      <text>
        <r>
          <rPr>
            <b/>
            <sz val="9"/>
            <color indexed="81"/>
            <rFont val="Segoe UI"/>
            <family val="2"/>
          </rPr>
          <t>Produção janeiro - Intelbras</t>
        </r>
      </text>
    </comment>
    <comment ref="X3" authorId="1" shapeId="0" xr:uid="{D973927E-0ECF-420A-8E63-65F0FB9D8FCB}">
      <text>
        <t>[Threaded comment]
Your version of Excel allows you to read this threaded comment; however, any edits to it will get removed if the file is opened in a newer version of Excel. Learn more: https://go.microsoft.com/fwlink/?linkid=870924
Comment:
    230 TRN e 20 RE</t>
      </text>
    </comment>
    <comment ref="T7" authorId="0" shapeId="0" xr:uid="{03CE36CC-1804-45D1-BB10-EADF6C508DB4}">
      <text/>
    </comment>
    <comment ref="J8" authorId="0" shapeId="0" xr:uid="{2646D3BD-F7F4-40EB-A84B-7BE37922870A}">
      <text>
        <r>
          <rPr>
            <b/>
            <sz val="9"/>
            <color indexed="81"/>
            <rFont val="Segoe UI"/>
            <family val="2"/>
          </rPr>
          <t>Reembolso viagem SP Luiz - Icaro- Sompo</t>
        </r>
      </text>
    </comment>
    <comment ref="L8" authorId="0" shapeId="0" xr:uid="{451C6A06-0787-4223-94CB-E1D9F4205206}">
      <text>
        <r>
          <rPr>
            <b/>
            <sz val="9"/>
            <color indexed="81"/>
            <rFont val="Segoe UI"/>
            <family val="2"/>
          </rPr>
          <t>1919 - reembolso
394 - airbnb</t>
        </r>
      </text>
    </comment>
    <comment ref="N26" authorId="0" shapeId="0" xr:uid="{F46A65C4-0B98-42C8-B22B-2DB1F3E14390}">
      <text>
        <r>
          <rPr>
            <b/>
            <sz val="9"/>
            <color indexed="81"/>
            <rFont val="Segoe UI"/>
            <family val="2"/>
          </rPr>
          <t>Contratação
Suporte Operacional
RE - Anderson
Comercial TRN - Leo</t>
        </r>
      </text>
    </comment>
    <comment ref="H29" authorId="0" shapeId="0" xr:uid="{52DBA5E5-8BBC-47DD-BD4B-4FE5B9462E89}">
      <text>
        <r>
          <rPr>
            <b/>
            <sz val="9"/>
            <color indexed="81"/>
            <rFont val="Segoe UI"/>
            <family val="2"/>
          </rPr>
          <t>Premiação trimestral Ellen e premiação Hello</t>
        </r>
      </text>
    </comment>
    <comment ref="R29" authorId="0" shapeId="0" xr:uid="{DEBAEC2E-F964-4FC8-85DE-F06D9667A517}">
      <text>
        <r>
          <rPr>
            <b/>
            <sz val="9"/>
            <color indexed="81"/>
            <rFont val="Segoe UI"/>
            <family val="2"/>
          </rPr>
          <t>premiação ernane</t>
        </r>
      </text>
    </comment>
    <comment ref="H31" authorId="0" shapeId="0" xr:uid="{F8939BAA-DF16-4385-A7BB-93BD7403D4B5}">
      <text>
        <r>
          <rPr>
            <b/>
            <sz val="9"/>
            <color indexed="81"/>
            <rFont val="Segoe UI"/>
            <family val="2"/>
          </rPr>
          <t>Férias Ellen</t>
        </r>
      </text>
    </comment>
    <comment ref="J31" authorId="0" shapeId="0" xr:uid="{38D4778A-85BD-4955-A5A0-64E26E8B4BB6}">
      <text>
        <r>
          <rPr>
            <b/>
            <sz val="9"/>
            <color indexed="81"/>
            <rFont val="Segoe UI"/>
            <family val="2"/>
          </rPr>
          <t>Férias Karina e ernane</t>
        </r>
      </text>
    </comment>
    <comment ref="N31" authorId="0" shapeId="0" xr:uid="{E1D4AAAE-A94A-402D-98D6-F94295DD0977}">
      <text>
        <r>
          <rPr>
            <b/>
            <sz val="9"/>
            <color indexed="81"/>
            <rFont val="Segoe UI"/>
            <family val="2"/>
          </rPr>
          <t xml:space="preserve">Férias Hello
</t>
        </r>
      </text>
    </comment>
    <comment ref="R31" authorId="0" shapeId="0" xr:uid="{2DCE7A5B-AA5E-49F4-8D62-66527E8D726B}">
      <text>
        <r>
          <rPr>
            <b/>
            <sz val="9"/>
            <color indexed="81"/>
            <rFont val="Segoe UI"/>
            <family val="2"/>
          </rPr>
          <t>Férias Ernane e Anderson</t>
        </r>
      </text>
    </comment>
    <comment ref="D49" authorId="0" shapeId="0" xr:uid="{BC22071D-CC59-44E7-A37C-9EC820D8A6CD}">
      <text>
        <r>
          <rPr>
            <b/>
            <sz val="9"/>
            <color indexed="81"/>
            <rFont val="Segoe UI"/>
            <family val="2"/>
          </rPr>
          <t>seguro vida
empresarial
RC</t>
        </r>
      </text>
    </comment>
    <comment ref="D51" authorId="0" shapeId="0" xr:uid="{0D223A32-D4B0-431D-9D15-9E5ADB0F594E}">
      <text>
        <r>
          <rPr>
            <b/>
            <sz val="9"/>
            <color indexed="81"/>
            <rFont val="Segoe UI"/>
            <family val="2"/>
          </rPr>
          <t>Lumiun, RD, Infocap</t>
        </r>
      </text>
    </comment>
    <comment ref="H51" authorId="0" shapeId="0" xr:uid="{C6DA66FB-F7AB-4A55-A585-6705F94D293C}">
      <text>
        <r>
          <rPr>
            <b/>
            <sz val="9"/>
            <color indexed="81"/>
            <rFont val="Segoe UI"/>
            <family val="2"/>
          </rPr>
          <t>G Suite - 699,71
Lumiun - 304,00
RD - 174,00
Infocap - 560,97
Hospedagem site -671,04</t>
        </r>
      </text>
    </comment>
    <comment ref="L51" authorId="0" shapeId="0" xr:uid="{B9AA0A32-E91B-452E-8D9D-97C1E604BA98}">
      <text>
        <r>
          <rPr>
            <b/>
            <sz val="9"/>
            <color indexed="81"/>
            <rFont val="Segoe UI"/>
            <family val="2"/>
          </rPr>
          <t xml:space="preserve">Google Gsuite - 840
Lumiun - 304
RD - 284,2
Infocap -589,01
</t>
        </r>
      </text>
    </comment>
    <comment ref="B65" authorId="0" shapeId="0" xr:uid="{5591654F-DC35-43BD-9D20-36CC524C7492}">
      <text>
        <r>
          <rPr>
            <b/>
            <sz val="9"/>
            <color indexed="81"/>
            <rFont val="Segoe UI"/>
            <family val="2"/>
          </rPr>
          <t>Facebook
Google ads</t>
        </r>
      </text>
    </comment>
    <comment ref="D65" authorId="0" shapeId="0" xr:uid="{76CC5156-5CD8-43B0-B423-B1990FFD3B4B}">
      <text>
        <r>
          <rPr>
            <b/>
            <sz val="9"/>
            <color indexed="81"/>
            <rFont val="Segoe UI"/>
            <family val="2"/>
          </rPr>
          <t>site/ video animado</t>
        </r>
      </text>
    </comment>
    <comment ref="B67" authorId="0" shapeId="0" xr:uid="{7695C477-881D-4634-90AF-10ABB6623ACB}">
      <text>
        <r>
          <rPr>
            <b/>
            <sz val="9"/>
            <color indexed="81"/>
            <rFont val="Segoe UI"/>
            <family val="2"/>
          </rPr>
          <t>G4
Action Coach
Planejamento estratégico empreende</t>
        </r>
      </text>
    </comment>
    <comment ref="A81" authorId="2" shapeId="0" xr:uid="{790FED32-D330-4E9C-8F95-E5A5CBDADA87}">
      <text>
        <r>
          <rPr>
            <b/>
            <sz val="9"/>
            <color indexed="81"/>
            <rFont val="Segoe UI"/>
            <family val="2"/>
          </rPr>
          <t>Para cada 1,00 vendido a empresa possui cerca de xx  centavos de lucro</t>
        </r>
      </text>
    </comment>
    <comment ref="AB84" authorId="2" shapeId="0" xr:uid="{51C90AD8-1C56-4050-A842-1BC9FB5C34C5}">
      <text>
        <r>
          <rPr>
            <b/>
            <sz val="9"/>
            <color indexed="81"/>
            <rFont val="Segoe UI"/>
            <family val="2"/>
          </rPr>
          <t>Saldo aplicação financeira em 30/09</t>
        </r>
      </text>
    </comment>
    <comment ref="H85" authorId="0" shapeId="0" xr:uid="{0EB8C9D3-2E10-4167-8389-0BF5B6E4408B}">
      <text>
        <r>
          <rPr>
            <b/>
            <sz val="9"/>
            <color indexed="81"/>
            <rFont val="Segoe UI"/>
            <family val="2"/>
          </rPr>
          <t>Recebimento AT Transportes</t>
        </r>
      </text>
    </comment>
    <comment ref="L106" authorId="0" shapeId="0" xr:uid="{251F711A-ECCA-46F1-B4A9-92B6E8022D6B}">
      <text>
        <r>
          <rPr>
            <b/>
            <sz val="9"/>
            <color indexed="81"/>
            <rFont val="Segoe UI"/>
            <family val="2"/>
          </rPr>
          <t>Premiações pagas em maio - ajuste de saldo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</author>
    <author>Ellen Lima</author>
    <author>tc={A23EE034-A015-48DF-88EE-9EFC6523C111}</author>
    <author>Financeiro</author>
  </authors>
  <commentList>
    <comment ref="D3" authorId="0" shapeId="0" xr:uid="{F662902D-AC91-4703-8D42-3B3FB549B696}">
      <text>
        <r>
          <rPr>
            <b/>
            <sz val="9"/>
            <color indexed="81"/>
            <rFont val="Segoe UI"/>
            <family val="2"/>
          </rPr>
          <t>Produção dezembro</t>
        </r>
      </text>
    </comment>
    <comment ref="F3" authorId="0" shapeId="0" xr:uid="{A6185615-1D96-447D-A9F4-D101BD1D6FBE}">
      <text>
        <r>
          <rPr>
            <b/>
            <sz val="9"/>
            <color indexed="81"/>
            <rFont val="Segoe UI"/>
            <family val="2"/>
          </rPr>
          <t>Produção janeiro + Intelbras</t>
        </r>
      </text>
    </comment>
    <comment ref="J3" authorId="1" shapeId="0" xr:uid="{2B88133A-4BE8-4251-881F-B9777636165C}">
      <text>
        <r>
          <rPr>
            <b/>
            <sz val="9"/>
            <color indexed="81"/>
            <rFont val="Segoe UI"/>
            <family val="2"/>
          </rPr>
          <t>Previsão Intelbras e Sulmedic
Tecadi tem redução de taxas, porem, uma IS maior</t>
        </r>
      </text>
    </comment>
    <comment ref="L3" authorId="1" shapeId="0" xr:uid="{41B67437-683B-49BF-B0C2-AF612250913D}">
      <text>
        <r>
          <rPr>
            <b/>
            <sz val="9"/>
            <color indexed="81"/>
            <rFont val="Segoe UI"/>
            <family val="2"/>
          </rPr>
          <t>Diminuição premio Tecadi</t>
        </r>
      </text>
    </comment>
    <comment ref="X3" authorId="2" shapeId="0" xr:uid="{A23EE034-A015-48DF-88EE-9EFC6523C111}">
      <text>
        <t>[Threaded comment]
Your version of Excel allows you to read this threaded comment; however, any edits to it will get removed if the file is opened in a newer version of Excel. Learn more: https://go.microsoft.com/fwlink/?linkid=870924
Comment:
    230 TRN e 20 RE</t>
      </text>
    </comment>
    <comment ref="H4" authorId="1" shapeId="0" xr:uid="{E84A8B4A-6BFE-4F4A-8247-B60241F6ADEA}">
      <text>
        <r>
          <rPr>
            <b/>
            <sz val="9"/>
            <color indexed="81"/>
            <rFont val="Segoe UI"/>
            <family val="2"/>
          </rPr>
          <t>Exluido do total, já recebido em março:
Tornado empresarial: 11765,05
Opus empresarial: 8089,89
Icaro empresarial: 2585,55
AT - Frota 43,000
 - 6k recebido de premiação da Porto</t>
        </r>
      </text>
    </comment>
    <comment ref="L4" authorId="1" shapeId="0" xr:uid="{358BD5BB-F964-4C8A-BCC6-B8A5137B7631}">
      <text>
        <r>
          <rPr>
            <b/>
            <sz val="9"/>
            <color indexed="81"/>
            <rFont val="Segoe UI"/>
            <family val="2"/>
          </rPr>
          <t>Recebimento do Ciasc e 1/4 parcela R brands com comissão de 23%</t>
        </r>
      </text>
    </comment>
    <comment ref="B5" authorId="1" shapeId="0" xr:uid="{F2E8B1D2-5327-40F3-BF95-CC1062F92819}">
      <text>
        <r>
          <rPr>
            <b/>
            <sz val="9"/>
            <color indexed="81"/>
            <rFont val="Segoe UI"/>
            <family val="2"/>
          </rPr>
          <t>Recebimento Cashback Cartao sicredi</t>
        </r>
      </text>
    </comment>
    <comment ref="L5" authorId="1" shapeId="0" xr:uid="{9928C9F2-650B-428E-B1CA-64C447FD1A86}">
      <text>
        <r>
          <rPr>
            <b/>
            <sz val="9"/>
            <color indexed="81"/>
            <rFont val="Segoe UI"/>
            <family val="2"/>
          </rPr>
          <t>Poupanca Sicredi
patrocinio monisat</t>
        </r>
      </text>
    </comment>
    <comment ref="T7" authorId="0" shapeId="0" xr:uid="{6A969D97-88CC-406A-88F1-764C81FA049C}">
      <text/>
    </comment>
    <comment ref="L26" authorId="1" shapeId="0" xr:uid="{D09E2112-C633-4CE0-A655-23C7909CB307}">
      <text>
        <r>
          <rPr>
            <b/>
            <sz val="9"/>
            <color indexed="81"/>
            <rFont val="Segoe UI"/>
            <family val="2"/>
          </rPr>
          <t xml:space="preserve">Férias Karina
</t>
        </r>
      </text>
    </comment>
    <comment ref="B30" authorId="0" shapeId="0" xr:uid="{90F4F376-447A-41EF-B236-131C61FC0AA9}">
      <text>
        <r>
          <rPr>
            <b/>
            <sz val="9"/>
            <color indexed="81"/>
            <rFont val="Segoe UI"/>
            <family val="2"/>
          </rPr>
          <t>Ellen - 12k
Hello - 1942
Ernane - 1k</t>
        </r>
      </text>
    </comment>
    <comment ref="F30" authorId="1" shapeId="0" xr:uid="{4459C4B5-C677-44C4-A7FD-141553802941}">
      <text>
        <r>
          <rPr>
            <b/>
            <sz val="9"/>
            <color indexed="81"/>
            <rFont val="Segoe UI"/>
            <family val="2"/>
          </rPr>
          <t>Premiação karina</t>
        </r>
      </text>
    </comment>
    <comment ref="H30" authorId="0" shapeId="0" xr:uid="{FCA67D61-5CF2-4547-B81A-53808F72A682}">
      <text>
        <r>
          <rPr>
            <b/>
            <sz val="9"/>
            <color indexed="81"/>
            <rFont val="Segoe UI"/>
            <family val="2"/>
          </rPr>
          <t>premiação Hello</t>
        </r>
      </text>
    </comment>
    <comment ref="R30" authorId="0" shapeId="0" xr:uid="{FCDF9417-5F66-42CF-95F5-6F3131D6E83A}">
      <text>
        <r>
          <rPr>
            <b/>
            <sz val="9"/>
            <color indexed="81"/>
            <rFont val="Segoe UI"/>
            <family val="2"/>
          </rPr>
          <t>premiação ernane</t>
        </r>
      </text>
    </comment>
    <comment ref="B32" authorId="1" shapeId="0" xr:uid="{130478EA-0CF7-4F00-A6A2-67CC192C373B}">
      <text>
        <r>
          <rPr>
            <b/>
            <sz val="9"/>
            <color indexed="81"/>
            <rFont val="Segoe UI"/>
            <family val="2"/>
          </rPr>
          <t>Férias Hello</t>
        </r>
      </text>
    </comment>
    <comment ref="J32" authorId="0" shapeId="0" xr:uid="{3E144DCE-38D1-4B62-B038-9334A32E7DEF}">
      <text>
        <r>
          <rPr>
            <b/>
            <sz val="9"/>
            <color indexed="81"/>
            <rFont val="Segoe UI"/>
            <family val="2"/>
          </rPr>
          <t xml:space="preserve">Férias Karina 
</t>
        </r>
      </text>
    </comment>
    <comment ref="L32" authorId="1" shapeId="0" xr:uid="{60929ED8-3BE9-4525-A603-003880BDF36D}">
      <text>
        <r>
          <rPr>
            <b/>
            <sz val="9"/>
            <color indexed="81"/>
            <rFont val="Segoe UI"/>
            <family val="2"/>
          </rPr>
          <t xml:space="preserve">Férias Thayla: 4477,08
Férias Ernane: 2373,04
</t>
        </r>
      </text>
    </comment>
    <comment ref="R32" authorId="0" shapeId="0" xr:uid="{207340C2-2096-404D-BA7B-F15DBF52464B}">
      <text>
        <r>
          <rPr>
            <b/>
            <sz val="9"/>
            <color indexed="81"/>
            <rFont val="Segoe UI"/>
            <family val="2"/>
          </rPr>
          <t>Férias Ernane e Anderson</t>
        </r>
      </text>
    </comment>
    <comment ref="F33" authorId="1" shapeId="0" xr:uid="{90A2397B-DEA0-4744-9B50-94F9B9EA1226}">
      <text>
        <r>
          <rPr>
            <sz val="9"/>
            <color indexed="81"/>
            <rFont val="Segoe UI"/>
            <family val="2"/>
          </rPr>
          <t xml:space="preserve">Adiantamento decimo Marcelo
</t>
        </r>
      </text>
    </comment>
    <comment ref="F37" authorId="1" shapeId="0" xr:uid="{1C4731C5-E975-43C7-A58A-7CFFEFAC92A4}">
      <text>
        <r>
          <rPr>
            <b/>
            <sz val="9"/>
            <color indexed="81"/>
            <rFont val="Segoe UI"/>
            <family val="2"/>
          </rPr>
          <t>FGTS rescisorio - Ellen e Leo</t>
        </r>
      </text>
    </comment>
    <comment ref="D41" authorId="1" shapeId="0" xr:uid="{2FDC9AD7-5E38-4933-AC2E-15CD54AF73F4}">
      <text>
        <r>
          <rPr>
            <b/>
            <sz val="9"/>
            <color indexed="81"/>
            <rFont val="Segoe UI"/>
            <family val="2"/>
          </rPr>
          <t>Ref. Janeiro e fevereiro</t>
        </r>
      </text>
    </comment>
    <comment ref="F43" authorId="1" shapeId="0" xr:uid="{19205FF2-06A1-4800-BC0F-DA4EAB93D408}">
      <text>
        <r>
          <rPr>
            <b/>
            <sz val="9"/>
            <color indexed="81"/>
            <rFont val="Segoe UI"/>
            <family val="2"/>
          </rPr>
          <t xml:space="preserve">Rescisao Ellen e Leo e Alisson
</t>
        </r>
      </text>
    </comment>
    <comment ref="D50" authorId="0" shapeId="0" xr:uid="{4BCB4389-7A59-45C6-BB65-2AC927655FF6}">
      <text>
        <r>
          <rPr>
            <b/>
            <sz val="9"/>
            <color indexed="81"/>
            <rFont val="Segoe UI"/>
            <family val="2"/>
          </rPr>
          <t>seguro vida
empresarial
RC</t>
        </r>
      </text>
    </comment>
    <comment ref="B51" authorId="1" shapeId="0" xr:uid="{CBC004DA-190F-4522-AE3D-5A4EF354B90B}">
      <text>
        <r>
          <rPr>
            <b/>
            <sz val="9"/>
            <color indexed="81"/>
            <rFont val="Segoe UI"/>
            <family val="2"/>
          </rPr>
          <t>Conserto notebook</t>
        </r>
      </text>
    </comment>
    <comment ref="D52" authorId="0" shapeId="0" xr:uid="{A81DA730-F38D-4B7F-8979-9FF321D13317}">
      <text>
        <r>
          <rPr>
            <b/>
            <sz val="9"/>
            <color indexed="81"/>
            <rFont val="Segoe UI"/>
            <family val="2"/>
          </rPr>
          <t>Lumiun, RD, Infocap</t>
        </r>
      </text>
    </comment>
    <comment ref="H52" authorId="0" shapeId="0" xr:uid="{6A7002CE-68A0-4BCF-B87D-35BEDD45B42F}">
      <text>
        <r>
          <rPr>
            <b/>
            <sz val="9"/>
            <color indexed="81"/>
            <rFont val="Segoe UI"/>
            <family val="2"/>
          </rPr>
          <t>G Suite - 1260,
Lumiun - 310,38
RD - 360,00
Infocap - 589,01
Hospedagem site -671,04
Cicloge - 1248,50
Anti virus - 643,50
Ferramenta backup aple - 103,51
Clicksign - 39,00</t>
        </r>
      </text>
    </comment>
    <comment ref="L52" authorId="0" shapeId="0" xr:uid="{8DC4EAAB-CF8F-48FB-8D53-44E215FBFF19}">
      <text>
        <r>
          <rPr>
            <b/>
            <sz val="9"/>
            <color indexed="81"/>
            <rFont val="Segoe UI"/>
            <family val="2"/>
          </rPr>
          <t>Ciclo GE - 399,0
RD - 360
Infocap- 589,01
Click sign - 39,
Google Suite- 1468,13</t>
        </r>
      </text>
    </comment>
    <comment ref="L53" authorId="1" shapeId="0" xr:uid="{86633847-0E05-4A6F-A9C9-030BEC2015AF}">
      <text>
        <r>
          <rPr>
            <b/>
            <sz val="9"/>
            <color indexed="81"/>
            <rFont val="Segoe UI"/>
            <family val="2"/>
          </rPr>
          <t>em constestação com a vivo 301,96</t>
        </r>
      </text>
    </comment>
    <comment ref="L62" authorId="1" shapeId="0" xr:uid="{A3FB310C-0371-498C-A77A-37384ABC0DA1}">
      <text>
        <r>
          <rPr>
            <b/>
            <sz val="9"/>
            <color indexed="81"/>
            <rFont val="Segoe UI"/>
            <family val="2"/>
          </rPr>
          <t>Hospedagem BH</t>
        </r>
      </text>
    </comment>
    <comment ref="B66" authorId="0" shapeId="0" xr:uid="{D926826B-112C-4556-A8D7-46B1BB975AED}">
      <text>
        <r>
          <rPr>
            <b/>
            <sz val="9"/>
            <color indexed="81"/>
            <rFont val="Segoe UI"/>
            <family val="2"/>
          </rPr>
          <t>Facebook
Google ads</t>
        </r>
      </text>
    </comment>
    <comment ref="D66" authorId="0" shapeId="0" xr:uid="{109DCA61-04B0-4D51-A05A-40F135CED70F}">
      <text>
        <r>
          <rPr>
            <b/>
            <sz val="9"/>
            <color indexed="81"/>
            <rFont val="Segoe UI"/>
            <family val="2"/>
          </rPr>
          <t>Facebook</t>
        </r>
      </text>
    </comment>
    <comment ref="B67" authorId="1" shapeId="0" xr:uid="{8BEA1DC3-0B2C-4C2A-8932-E08EB07151E8}">
      <text>
        <r>
          <rPr>
            <b/>
            <sz val="9"/>
            <color indexed="81"/>
            <rFont val="Segoe UI"/>
            <family val="2"/>
          </rPr>
          <t>Tempo de casa Ernane
Aniversario Made
Aniversario Thayla
Dia da Cuca</t>
        </r>
      </text>
    </comment>
    <comment ref="D67" authorId="1" shapeId="0" xr:uid="{84EF9BD1-189D-45B1-9A97-A7CECD01ACAC}">
      <text>
        <r>
          <rPr>
            <b/>
            <sz val="9"/>
            <color indexed="81"/>
            <rFont val="Segoe UI"/>
            <family val="2"/>
          </rPr>
          <t>Embalagem brinde dia da mulher</t>
        </r>
      </text>
    </comment>
    <comment ref="J67" authorId="1" shapeId="0" xr:uid="{4622E185-737B-4488-AD80-190CE4C65F61}">
      <text>
        <r>
          <rPr>
            <b/>
            <sz val="9"/>
            <color indexed="81"/>
            <rFont val="Segoe UI"/>
            <family val="2"/>
          </rPr>
          <t>Aniversario Hello
Dia da fruta
Dia do bolo
Ovos de pascoa</t>
        </r>
      </text>
    </comment>
    <comment ref="L67" authorId="1" shapeId="0" xr:uid="{F266CE8B-824E-43B2-A137-51C51B131593}">
      <text>
        <r>
          <rPr>
            <b/>
            <sz val="9"/>
            <color indexed="81"/>
            <rFont val="Segoe UI"/>
            <family val="2"/>
          </rPr>
          <t>Pantufa dia das maes
tempo de casa Anderson
Dia da fruta
Dia do bolo</t>
        </r>
      </text>
    </comment>
    <comment ref="B68" authorId="0" shapeId="0" xr:uid="{7E9DC1B8-CA0B-4A0A-B211-1EA75D0B8601}">
      <text>
        <r>
          <rPr>
            <b/>
            <sz val="9"/>
            <color indexed="81"/>
            <rFont val="Segoe UI"/>
            <family val="2"/>
          </rPr>
          <t xml:space="preserve"> empreende Brasil
Mentoria BI</t>
        </r>
      </text>
    </comment>
    <comment ref="D78" authorId="1" shapeId="0" xr:uid="{EEF200F7-DEC6-4BBC-BEEE-2F7D97D5A248}">
      <text>
        <r>
          <rPr>
            <b/>
            <sz val="9"/>
            <color indexed="81"/>
            <rFont val="Segoe UI"/>
            <family val="2"/>
          </rPr>
          <t>Imobilizadores Autotrack Icaro</t>
        </r>
      </text>
    </comment>
    <comment ref="L78" authorId="1" shapeId="0" xr:uid="{ADF808B5-CC33-425A-BE53-DF0C73849540}">
      <text>
        <r>
          <rPr>
            <b/>
            <sz val="9"/>
            <color indexed="81"/>
            <rFont val="Segoe UI"/>
            <family val="2"/>
          </rPr>
          <t>Imobilizadores Icaro</t>
        </r>
      </text>
    </comment>
    <comment ref="L79" authorId="1" shapeId="0" xr:uid="{DD55D116-2D94-4DD2-862B-2164482E4EF2}">
      <text>
        <r>
          <rPr>
            <b/>
            <sz val="9"/>
            <color indexed="81"/>
            <rFont val="Segoe UI"/>
            <family val="2"/>
          </rPr>
          <t xml:space="preserve">Integralização capital Sicredi Filial e tarifa manutenção conta
</t>
        </r>
      </text>
    </comment>
    <comment ref="L81" authorId="1" shapeId="0" xr:uid="{4873381D-F88E-49BB-8BFE-1F6DB5F20C5B}">
      <text>
        <r>
          <rPr>
            <b/>
            <sz val="9"/>
            <color indexed="81"/>
            <rFont val="Segoe UI"/>
            <family val="2"/>
          </rPr>
          <t>Almoço 7 anos empresa</t>
        </r>
      </text>
    </comment>
    <comment ref="B82" authorId="1" shapeId="0" xr:uid="{D09CF5CC-609E-4870-87F6-532C31AC2938}">
      <text>
        <r>
          <rPr>
            <b/>
            <sz val="9"/>
            <color indexed="81"/>
            <rFont val="Segoe UI"/>
            <family val="2"/>
          </rPr>
          <t>Laser copos Stanley
Panetone</t>
        </r>
      </text>
    </comment>
    <comment ref="L82" authorId="1" shapeId="0" xr:uid="{F6EA8A61-CB30-4732-85D5-7910AFABA59D}">
      <text>
        <r>
          <rPr>
            <b/>
            <sz val="9"/>
            <color indexed="81"/>
            <rFont val="Segoe UI"/>
            <family val="2"/>
          </rPr>
          <t xml:space="preserve">Brindes:
Canetas, saquinho, e copos termicos
Patrocinio Monisat
</t>
        </r>
      </text>
    </comment>
    <comment ref="H86" authorId="1" shapeId="0" xr:uid="{67EB5DD1-EF3A-4AD7-94AC-2ADEDC418FE6}">
      <text>
        <r>
          <rPr>
            <b/>
            <sz val="9"/>
            <color indexed="81"/>
            <rFont val="Segoe UI"/>
            <family val="2"/>
          </rPr>
          <t>Parcela Feira + entrada stand</t>
        </r>
      </text>
    </comment>
    <comment ref="L86" authorId="1" shapeId="0" xr:uid="{4B027248-A463-4979-9F07-DCDA64C3A246}">
      <text>
        <r>
          <rPr>
            <b/>
            <sz val="9"/>
            <color indexed="81"/>
            <rFont val="Segoe UI"/>
            <family val="2"/>
          </rPr>
          <t>Stand
agua e energia logistique</t>
        </r>
      </text>
    </comment>
    <comment ref="B87" authorId="1" shapeId="0" xr:uid="{1AAD0092-577B-44CA-8A2F-44CA7B68640E}">
      <text>
        <r>
          <rPr>
            <b/>
            <sz val="9"/>
            <color indexed="81"/>
            <rFont val="Segoe UI"/>
            <family val="2"/>
          </rPr>
          <t>Sincor</t>
        </r>
      </text>
    </comment>
    <comment ref="L87" authorId="1" shapeId="0" xr:uid="{6C639235-EF9E-4F97-BF2D-E41B9E31518A}">
      <text>
        <r>
          <rPr>
            <b/>
            <sz val="9"/>
            <color indexed="81"/>
            <rFont val="Segoe UI"/>
            <family val="2"/>
          </rPr>
          <t>Anuncio sala olx</t>
        </r>
      </text>
    </comment>
    <comment ref="A89" authorId="3" shapeId="0" xr:uid="{1BBD7800-3FE2-48D5-93BD-C45B4185A5EA}">
      <text>
        <r>
          <rPr>
            <b/>
            <sz val="9"/>
            <color rgb="FF000000"/>
            <rFont val="Segoe UI"/>
            <family val="2"/>
            <charset val="1"/>
          </rPr>
          <t>Para cada 1,00 vendido a empresa possui cerca de xx  centavos de lucro</t>
        </r>
      </text>
    </comment>
    <comment ref="AB92" authorId="3" shapeId="0" xr:uid="{BC6BBB61-1F43-40FD-AC8F-871F7CBE4B22}">
      <text>
        <r>
          <rPr>
            <b/>
            <sz val="9"/>
            <color indexed="81"/>
            <rFont val="Segoe UI"/>
            <family val="2"/>
          </rPr>
          <t>Saldo aplicação financeira em 30/09</t>
        </r>
      </text>
    </comment>
    <comment ref="L115" authorId="0" shapeId="0" xr:uid="{D3F001F2-806A-4830-A021-BDDAFB469010}">
      <text>
        <r>
          <rPr>
            <b/>
            <sz val="9"/>
            <color indexed="81"/>
            <rFont val="Segoe UI"/>
            <family val="2"/>
          </rPr>
          <t>Premiações pagas em maio - ajuste de saldo</t>
        </r>
      </text>
    </comment>
  </commentList>
</comments>
</file>

<file path=xl/sharedStrings.xml><?xml version="1.0" encoding="utf-8"?>
<sst xmlns="http://schemas.openxmlformats.org/spreadsheetml/2006/main" count="346" uniqueCount="165">
  <si>
    <t>JAN</t>
  </si>
  <si>
    <t>%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</si>
  <si>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</si>
  <si>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</si>
  <si>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</si>
  <si>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</si>
  <si>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</si>
  <si>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</si>
  <si>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</si>
  <si>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</si>
  <si>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</si>
  <si>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</si>
  <si>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</si>
  <si>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</si>
  <si>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Anual</t>
  </si>
  <si>
    <t>Meses</t>
  </si>
  <si>
    <t>FATURAMENTO</t>
  </si>
  <si>
    <t>Consultoria</t>
  </si>
  <si>
    <t>CUSTOS VARIÁVEIS</t>
  </si>
  <si>
    <t>Simples nacional</t>
  </si>
  <si>
    <t>Repasse Comissão</t>
  </si>
  <si>
    <t xml:space="preserve"> - Karina</t>
  </si>
  <si>
    <t xml:space="preserve"> - Carla</t>
  </si>
  <si>
    <t>MARGEM DE CONTRIBUIÇÃO</t>
  </si>
  <si>
    <t>CUSTOS FIXOS</t>
  </si>
  <si>
    <t>Condomínios</t>
  </si>
  <si>
    <t>Escritório Contábil</t>
  </si>
  <si>
    <t>Energia Elétrica</t>
  </si>
  <si>
    <t>Funcionários</t>
  </si>
  <si>
    <t xml:space="preserve"> - Salário</t>
  </si>
  <si>
    <t xml:space="preserve"> - Premiações</t>
  </si>
  <si>
    <t xml:space="preserve"> - Férias</t>
  </si>
  <si>
    <t xml:space="preserve"> - Décimo Terceiro</t>
  </si>
  <si>
    <t xml:space="preserve"> - Vale alimentação</t>
  </si>
  <si>
    <t xml:space="preserve"> - IRRF</t>
  </si>
  <si>
    <t xml:space="preserve"> - INSS</t>
  </si>
  <si>
    <t xml:space="preserve"> - FGTS</t>
  </si>
  <si>
    <t xml:space="preserve"> - Plano de saúde </t>
  </si>
  <si>
    <t xml:space="preserve"> - Plano odontológico</t>
  </si>
  <si>
    <t xml:space="preserve"> - Exames / consultas</t>
  </si>
  <si>
    <t>Pro Labore</t>
  </si>
  <si>
    <t xml:space="preserve"> - INSS socio</t>
  </si>
  <si>
    <t xml:space="preserve"> - IRRF socio</t>
  </si>
  <si>
    <t xml:space="preserve"> - Plano de saúde</t>
  </si>
  <si>
    <t>Comissão Socio</t>
  </si>
  <si>
    <t>Lucro</t>
  </si>
  <si>
    <t>Seguros</t>
  </si>
  <si>
    <t>Informatica</t>
  </si>
  <si>
    <t>Softwares</t>
  </si>
  <si>
    <t>Telefones Celulares</t>
  </si>
  <si>
    <t>Telefones Fixos/ Internet</t>
  </si>
  <si>
    <t>Material de consumo</t>
  </si>
  <si>
    <t>Material de limpeza</t>
  </si>
  <si>
    <t>Material de expediente</t>
  </si>
  <si>
    <t>Alimentacao</t>
  </si>
  <si>
    <t>Combustível</t>
  </si>
  <si>
    <t>Estacionamento/pedagio</t>
  </si>
  <si>
    <t>Hotel</t>
  </si>
  <si>
    <t>Aluguel veículo/ taxi</t>
  </si>
  <si>
    <t>Passagens</t>
  </si>
  <si>
    <t>Marketing</t>
  </si>
  <si>
    <t>Cursos e Treinamentos</t>
  </si>
  <si>
    <t>CUSTOS NÃO OPERACIONAIS</t>
  </si>
  <si>
    <t>Despesas bancarias - Tarifas e Taxas</t>
  </si>
  <si>
    <t>moveis/utensilios/equipamentos</t>
  </si>
  <si>
    <t>Eventos /Confraternização</t>
  </si>
  <si>
    <t>Presentes/ brindes</t>
  </si>
  <si>
    <t>Manutenção de instalações</t>
  </si>
  <si>
    <t>Materiais gráficos</t>
  </si>
  <si>
    <t>Emprestimo Badesc</t>
  </si>
  <si>
    <t>Outras  despesas</t>
  </si>
  <si>
    <t xml:space="preserve">RESULTADO </t>
  </si>
  <si>
    <t>Margem de Lucro</t>
  </si>
  <si>
    <t xml:space="preserve">Ponto Equilíbrio </t>
  </si>
  <si>
    <t xml:space="preserve">Total Despesas </t>
  </si>
  <si>
    <t>Aplicações</t>
  </si>
  <si>
    <t>Retirada Excedente</t>
  </si>
  <si>
    <t>Resultado - Investimentos - Retirada</t>
  </si>
  <si>
    <t>Margem de Lucro - Líquido</t>
  </si>
  <si>
    <t>Ponto Equilíbrio - Líquido</t>
  </si>
  <si>
    <t>Despesas - Total</t>
  </si>
  <si>
    <t>Composição de Saldos</t>
  </si>
  <si>
    <t>Banco Sicredi</t>
  </si>
  <si>
    <t>Caixa</t>
  </si>
  <si>
    <t>Aplicação automática</t>
  </si>
  <si>
    <t>RECEITA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</si>
  <si>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</si>
  <si>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</si>
  <si>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</si>
  <si>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</si>
  <si>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</si>
  <si>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</si>
  <si>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</si>
  <si>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</si>
  <si>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</si>
  <si>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</si>
  <si>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</si>
  <si>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</si>
  <si>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 mês anterior</t>
  </si>
  <si>
    <t>Receita</t>
  </si>
  <si>
    <t>Despesas</t>
  </si>
  <si>
    <t>Pro labore</t>
  </si>
  <si>
    <t>Retirada</t>
  </si>
  <si>
    <t>Retirada excedente</t>
  </si>
  <si>
    <t>Investimento</t>
  </si>
  <si>
    <t>Saldo</t>
  </si>
  <si>
    <t xml:space="preserve"> - PPR</t>
  </si>
  <si>
    <t>Limpeza</t>
  </si>
  <si>
    <t xml:space="preserve"> - Auxílio Combustível</t>
  </si>
  <si>
    <t>Previsão</t>
  </si>
  <si>
    <t>Resultado</t>
  </si>
  <si>
    <t>Faturamento</t>
  </si>
  <si>
    <t>Margem de lucro</t>
  </si>
  <si>
    <t>Realizado</t>
  </si>
  <si>
    <t>Previsto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</si>
  <si>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</si>
  <si>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</si>
  <si>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</si>
  <si>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</si>
  <si>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</si>
  <si>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</si>
  <si>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</si>
  <si>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</si>
  <si>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</si>
  <si>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</si>
  <si>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</si>
  <si>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</si>
  <si>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Advogados</t>
  </si>
  <si>
    <t xml:space="preserve"> </t>
  </si>
  <si>
    <t xml:space="preserve"> - Thayla</t>
  </si>
  <si>
    <t>Tráfego pago</t>
  </si>
  <si>
    <t>Endomarketing</t>
  </si>
  <si>
    <t>Correios</t>
  </si>
  <si>
    <t xml:space="preserve"> - Salário Comercial</t>
  </si>
  <si>
    <t xml:space="preserve"> - Alisson</t>
  </si>
  <si>
    <t xml:space="preserve"> - Marili</t>
  </si>
  <si>
    <t>Reembolso viagens</t>
  </si>
  <si>
    <t xml:space="preserve"> - Leonardo</t>
  </si>
  <si>
    <t xml:space="preserve"> - Anderson</t>
  </si>
  <si>
    <t xml:space="preserve"> - Gama Seguros</t>
  </si>
  <si>
    <t xml:space="preserve"> - Salário Dpto Sinistros</t>
  </si>
  <si>
    <t>Indenizações/ Reembolso/ patrocinio</t>
  </si>
  <si>
    <t xml:space="preserve"> - Comercial</t>
  </si>
  <si>
    <t>Comissões TRN</t>
  </si>
  <si>
    <t>Comissões RE</t>
  </si>
  <si>
    <t xml:space="preserve"> - Custos rescisórios</t>
  </si>
  <si>
    <t>Feira Logistique</t>
  </si>
  <si>
    <t xml:space="preserve"> - Salário Gerente</t>
  </si>
  <si>
    <t xml:space="preserve"> - Reembolso Combustível</t>
  </si>
  <si>
    <t>sompo</t>
  </si>
  <si>
    <t>Receita prevista</t>
  </si>
  <si>
    <t>TRN</t>
  </si>
  <si>
    <t>RE</t>
  </si>
  <si>
    <t>tota</t>
  </si>
  <si>
    <t xml:space="preserve"> - Aprendiz</t>
  </si>
  <si>
    <t>Despesas Filial</t>
  </si>
  <si>
    <t xml:space="preserve"> - Maria do seguro</t>
  </si>
  <si>
    <t xml:space="preserve"> - Coworking</t>
  </si>
  <si>
    <t xml:space="preserve"> - Alimentação</t>
  </si>
  <si>
    <t xml:space="preserve"> - Estacionamento</t>
  </si>
  <si>
    <t xml:space="preserve"> - Hotel</t>
  </si>
  <si>
    <t xml:space="preserve"> - Combustivel</t>
  </si>
  <si>
    <t xml:space="preserve"> - Passagem</t>
  </si>
  <si>
    <t xml:space="preserve"> - Aluguel veiculos/ Uber</t>
  </si>
  <si>
    <t>Banco Sicredi - Filial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</si>
</sst>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&quot;R$ &quot;#,##0.00"/>
    <numFmt numFmtId="166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555555"/>
      <name val="Calibri"/>
      <family val="2"/>
      <scheme val="minor"/>
    </font>
    <font>
      <sz val="11"/>
      <color rgb="FF555555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9"/>
      <color indexed="81"/>
      <name val="Segoe UI"/>
      <family val="2"/>
    </font>
    <font>
      <b/>
      <sz val="9"/>
      <color rgb="FF000000"/>
      <name val="Segoe U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9B282"/>
        <bgColor indexed="64"/>
      </patternFill>
    </fill>
    <fill>
      <patternFill patternType="solid">
        <fgColor rgb="FF89B282"/>
        <bgColor rgb="FF1B8144"/>
      </patternFill>
    </fill>
    <fill>
      <patternFill patternType="solid">
        <fgColor rgb="FF89B282"/>
        <bgColor indexed="49"/>
      </patternFill>
    </fill>
    <fill>
      <patternFill patternType="solid">
        <fgColor rgb="FF89B282"/>
        <bgColor indexed="58"/>
      </patternFill>
    </fill>
    <fill>
      <patternFill patternType="solid">
        <fgColor theme="9" tint="0.59999389629810485"/>
        <bgColor rgb="FFCCFFCC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10" fontId="4" fillId="0" borderId="2" xfId="2" applyNumberFormat="1" applyFont="1" applyBorder="1" applyAlignment="1">
      <alignment horizontal="center"/>
    </xf>
    <xf numFmtId="10" fontId="5" fillId="0" borderId="2" xfId="2" applyNumberFormat="1" applyFont="1" applyBorder="1" applyAlignment="1">
      <alignment horizontal="center"/>
    </xf>
    <xf numFmtId="9" fontId="7" fillId="0" borderId="2" xfId="2" applyFont="1" applyBorder="1" applyAlignment="1">
      <alignment horizontal="center"/>
    </xf>
    <xf numFmtId="10" fontId="8" fillId="0" borderId="1" xfId="0" applyNumberFormat="1" applyFont="1" applyBorder="1"/>
    <xf numFmtId="0" fontId="9" fillId="0" borderId="0" xfId="0" applyFont="1"/>
    <xf numFmtId="10" fontId="7" fillId="2" borderId="5" xfId="2" applyNumberFormat="1" applyFont="1" applyFill="1" applyBorder="1"/>
    <xf numFmtId="9" fontId="7" fillId="2" borderId="5" xfId="2" applyFont="1" applyFill="1" applyBorder="1"/>
    <xf numFmtId="0" fontId="9" fillId="0" borderId="6" xfId="0" applyFont="1" applyBorder="1"/>
    <xf numFmtId="4" fontId="9" fillId="0" borderId="7" xfId="0" applyNumberFormat="1" applyFont="1" applyBorder="1"/>
    <xf numFmtId="10" fontId="11" fillId="2" borderId="7" xfId="2" applyNumberFormat="1" applyFont="1" applyFill="1" applyBorder="1"/>
    <xf numFmtId="4" fontId="7" fillId="2" borderId="7" xfId="0" applyNumberFormat="1" applyFont="1" applyFill="1" applyBorder="1"/>
    <xf numFmtId="4" fontId="9" fillId="2" borderId="7" xfId="0" applyNumberFormat="1" applyFont="1" applyFill="1" applyBorder="1"/>
    <xf numFmtId="164" fontId="8" fillId="0" borderId="0" xfId="1" applyFont="1"/>
    <xf numFmtId="4" fontId="9" fillId="0" borderId="0" xfId="0" applyNumberFormat="1" applyFont="1"/>
    <xf numFmtId="4" fontId="9" fillId="3" borderId="7" xfId="0" applyNumberFormat="1" applyFont="1" applyFill="1" applyBorder="1"/>
    <xf numFmtId="4" fontId="9" fillId="3" borderId="8" xfId="0" applyNumberFormat="1" applyFont="1" applyFill="1" applyBorder="1"/>
    <xf numFmtId="10" fontId="11" fillId="0" borderId="7" xfId="2" applyNumberFormat="1" applyFont="1" applyFill="1" applyBorder="1"/>
    <xf numFmtId="0" fontId="9" fillId="4" borderId="0" xfId="0" applyFont="1" applyFill="1"/>
    <xf numFmtId="0" fontId="9" fillId="0" borderId="5" xfId="0" applyFont="1" applyBorder="1"/>
    <xf numFmtId="0" fontId="9" fillId="0" borderId="9" xfId="0" applyFont="1" applyBorder="1"/>
    <xf numFmtId="4" fontId="9" fillId="0" borderId="9" xfId="0" applyNumberFormat="1" applyFont="1" applyBorder="1"/>
    <xf numFmtId="0" fontId="9" fillId="0" borderId="12" xfId="0" applyFont="1" applyBorder="1"/>
    <xf numFmtId="4" fontId="9" fillId="0" borderId="12" xfId="0" applyNumberFormat="1" applyFont="1" applyBorder="1"/>
    <xf numFmtId="0" fontId="9" fillId="0" borderId="15" xfId="0" applyFont="1" applyBorder="1"/>
    <xf numFmtId="4" fontId="9" fillId="0" borderId="15" xfId="0" applyNumberFormat="1" applyFont="1" applyBorder="1"/>
    <xf numFmtId="0" fontId="9" fillId="0" borderId="19" xfId="0" applyFont="1" applyBorder="1"/>
    <xf numFmtId="4" fontId="9" fillId="0" borderId="19" xfId="0" applyNumberFormat="1" applyFont="1" applyBorder="1"/>
    <xf numFmtId="0" fontId="8" fillId="0" borderId="3" xfId="0" applyFont="1" applyBorder="1"/>
    <xf numFmtId="4" fontId="9" fillId="0" borderId="3" xfId="0" applyNumberFormat="1" applyFont="1" applyBorder="1"/>
    <xf numFmtId="0" fontId="9" fillId="0" borderId="3" xfId="0" applyFont="1" applyBorder="1"/>
    <xf numFmtId="164" fontId="8" fillId="0" borderId="3" xfId="1" applyFont="1" applyFill="1" applyBorder="1" applyAlignment="1">
      <alignment horizontal="right"/>
    </xf>
    <xf numFmtId="4" fontId="8" fillId="0" borderId="3" xfId="0" applyNumberFormat="1" applyFont="1" applyBorder="1"/>
    <xf numFmtId="0" fontId="8" fillId="0" borderId="0" xfId="0" applyFont="1"/>
    <xf numFmtId="164" fontId="8" fillId="0" borderId="0" xfId="1" applyFont="1" applyFill="1" applyBorder="1" applyAlignment="1">
      <alignment horizontal="right"/>
    </xf>
    <xf numFmtId="4" fontId="8" fillId="0" borderId="0" xfId="0" applyNumberFormat="1" applyFont="1"/>
    <xf numFmtId="0" fontId="8" fillId="0" borderId="22" xfId="0" applyFont="1" applyBorder="1"/>
    <xf numFmtId="4" fontId="12" fillId="5" borderId="19" xfId="0" applyNumberFormat="1" applyFont="1" applyFill="1" applyBorder="1" applyAlignment="1">
      <alignment horizontal="left" vertical="center" wrapText="1"/>
    </xf>
    <xf numFmtId="4" fontId="9" fillId="0" borderId="19" xfId="0" applyNumberFormat="1" applyFont="1" applyBorder="1" applyAlignment="1">
      <alignment horizontal="center"/>
    </xf>
    <xf numFmtId="164" fontId="9" fillId="0" borderId="19" xfId="1" applyFont="1" applyBorder="1" applyAlignment="1">
      <alignment horizontal="center"/>
    </xf>
    <xf numFmtId="164" fontId="9" fillId="0" borderId="19" xfId="1" applyFont="1" applyBorder="1"/>
    <xf numFmtId="4" fontId="12" fillId="5" borderId="24" xfId="0" applyNumberFormat="1" applyFont="1" applyFill="1" applyBorder="1" applyAlignment="1">
      <alignment horizontal="left" vertical="center" wrapText="1"/>
    </xf>
    <xf numFmtId="4" fontId="9" fillId="0" borderId="23" xfId="0" applyNumberFormat="1" applyFont="1" applyBorder="1" applyAlignment="1">
      <alignment horizontal="center"/>
    </xf>
    <xf numFmtId="164" fontId="9" fillId="0" borderId="23" xfId="1" applyFont="1" applyBorder="1" applyAlignment="1">
      <alignment horizontal="center"/>
    </xf>
    <xf numFmtId="164" fontId="9" fillId="0" borderId="23" xfId="1" applyFont="1" applyBorder="1"/>
    <xf numFmtId="0" fontId="9" fillId="0" borderId="23" xfId="0" applyFont="1" applyBorder="1"/>
    <xf numFmtId="4" fontId="12" fillId="5" borderId="25" xfId="0" applyNumberFormat="1" applyFont="1" applyFill="1" applyBorder="1" applyAlignment="1">
      <alignment horizontal="left" vertical="center" wrapText="1"/>
    </xf>
    <xf numFmtId="4" fontId="9" fillId="0" borderId="12" xfId="0" applyNumberFormat="1" applyFont="1" applyBorder="1" applyAlignment="1">
      <alignment horizontal="center"/>
    </xf>
    <xf numFmtId="0" fontId="9" fillId="0" borderId="26" xfId="0" applyFont="1" applyBorder="1"/>
    <xf numFmtId="164" fontId="9" fillId="0" borderId="12" xfId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164" fontId="9" fillId="0" borderId="12" xfId="1" applyFont="1" applyBorder="1"/>
    <xf numFmtId="0" fontId="13" fillId="5" borderId="0" xfId="0" applyFont="1" applyFill="1" applyAlignment="1">
      <alignment horizontal="left" vertical="center" wrapText="1"/>
    </xf>
    <xf numFmtId="0" fontId="9" fillId="0" borderId="27" xfId="0" applyFont="1" applyBorder="1"/>
    <xf numFmtId="0" fontId="0" fillId="0" borderId="29" xfId="0" applyBorder="1" applyAlignment="1">
      <alignment horizontal="left"/>
    </xf>
    <xf numFmtId="4" fontId="0" fillId="0" borderId="29" xfId="0" applyNumberFormat="1" applyBorder="1"/>
    <xf numFmtId="4" fontId="15" fillId="0" borderId="29" xfId="0" applyNumberFormat="1" applyFont="1" applyBorder="1"/>
    <xf numFmtId="164" fontId="0" fillId="0" borderId="0" xfId="0" applyNumberFormat="1"/>
    <xf numFmtId="10" fontId="7" fillId="6" borderId="5" xfId="2" applyNumberFormat="1" applyFont="1" applyFill="1" applyBorder="1"/>
    <xf numFmtId="0" fontId="0" fillId="7" borderId="0" xfId="0" applyFill="1"/>
    <xf numFmtId="164" fontId="0" fillId="0" borderId="0" xfId="1" applyFont="1"/>
    <xf numFmtId="9" fontId="0" fillId="0" borderId="0" xfId="0" applyNumberFormat="1"/>
    <xf numFmtId="4" fontId="0" fillId="0" borderId="0" xfId="0" applyNumberFormat="1"/>
    <xf numFmtId="9" fontId="9" fillId="0" borderId="0" xfId="0" applyNumberFormat="1" applyFont="1"/>
    <xf numFmtId="164" fontId="8" fillId="8" borderId="5" xfId="1" applyFont="1" applyFill="1" applyBorder="1"/>
    <xf numFmtId="4" fontId="9" fillId="5" borderId="19" xfId="0" applyNumberFormat="1" applyFont="1" applyFill="1" applyBorder="1" applyAlignment="1">
      <alignment horizontal="center" vertical="center" wrapText="1"/>
    </xf>
    <xf numFmtId="4" fontId="9" fillId="5" borderId="23" xfId="0" applyNumberFormat="1" applyFont="1" applyFill="1" applyBorder="1" applyAlignment="1">
      <alignment horizontal="center" vertical="center" wrapText="1"/>
    </xf>
    <xf numFmtId="4" fontId="9" fillId="5" borderId="12" xfId="0" applyNumberFormat="1" applyFont="1" applyFill="1" applyBorder="1" applyAlignment="1">
      <alignment horizontal="center" vertical="center" wrapText="1"/>
    </xf>
    <xf numFmtId="166" fontId="7" fillId="2" borderId="5" xfId="2" applyNumberFormat="1" applyFont="1" applyFill="1" applyBorder="1"/>
    <xf numFmtId="164" fontId="7" fillId="9" borderId="5" xfId="0" applyNumberFormat="1" applyFont="1" applyFill="1" applyBorder="1"/>
    <xf numFmtId="4" fontId="7" fillId="9" borderId="5" xfId="0" applyNumberFormat="1" applyFont="1" applyFill="1" applyBorder="1"/>
    <xf numFmtId="4" fontId="8" fillId="9" borderId="5" xfId="0" applyNumberFormat="1" applyFont="1" applyFill="1" applyBorder="1"/>
    <xf numFmtId="4" fontId="8" fillId="9" borderId="6" xfId="0" applyNumberFormat="1" applyFont="1" applyFill="1" applyBorder="1"/>
    <xf numFmtId="0" fontId="8" fillId="9" borderId="4" xfId="0" applyFont="1" applyFill="1" applyBorder="1" applyAlignment="1">
      <alignment horizontal="left"/>
    </xf>
    <xf numFmtId="4" fontId="9" fillId="9" borderId="5" xfId="0" applyNumberFormat="1" applyFont="1" applyFill="1" applyBorder="1"/>
    <xf numFmtId="0" fontId="8" fillId="9" borderId="5" xfId="0" applyFont="1" applyFill="1" applyBorder="1" applyAlignment="1">
      <alignment horizontal="left"/>
    </xf>
    <xf numFmtId="0" fontId="8" fillId="9" borderId="5" xfId="0" applyFont="1" applyFill="1" applyBorder="1"/>
    <xf numFmtId="4" fontId="9" fillId="9" borderId="7" xfId="0" applyNumberFormat="1" applyFont="1" applyFill="1" applyBorder="1"/>
    <xf numFmtId="0" fontId="8" fillId="9" borderId="9" xfId="0" applyFont="1" applyFill="1" applyBorder="1"/>
    <xf numFmtId="4" fontId="8" fillId="9" borderId="9" xfId="0" applyNumberFormat="1" applyFont="1" applyFill="1" applyBorder="1"/>
    <xf numFmtId="0" fontId="8" fillId="9" borderId="10" xfId="0" applyFont="1" applyFill="1" applyBorder="1"/>
    <xf numFmtId="9" fontId="9" fillId="9" borderId="11" xfId="2" applyFont="1" applyFill="1" applyBorder="1"/>
    <xf numFmtId="0" fontId="8" fillId="9" borderId="14" xfId="0" applyFont="1" applyFill="1" applyBorder="1"/>
    <xf numFmtId="4" fontId="9" fillId="9" borderId="15" xfId="0" applyNumberFormat="1" applyFont="1" applyFill="1" applyBorder="1"/>
    <xf numFmtId="0" fontId="8" fillId="9" borderId="17" xfId="0" applyFont="1" applyFill="1" applyBorder="1"/>
    <xf numFmtId="4" fontId="9" fillId="9" borderId="18" xfId="0" applyNumberFormat="1" applyFont="1" applyFill="1" applyBorder="1"/>
    <xf numFmtId="4" fontId="3" fillId="9" borderId="7" xfId="0" applyNumberFormat="1" applyFont="1" applyFill="1" applyBorder="1"/>
    <xf numFmtId="9" fontId="9" fillId="9" borderId="12" xfId="2" applyFont="1" applyFill="1" applyBorder="1"/>
    <xf numFmtId="164" fontId="9" fillId="9" borderId="5" xfId="1" applyFont="1" applyFill="1" applyBorder="1" applyAlignment="1">
      <alignment horizontal="center"/>
    </xf>
    <xf numFmtId="164" fontId="11" fillId="9" borderId="5" xfId="1" applyFont="1" applyFill="1" applyBorder="1"/>
    <xf numFmtId="164" fontId="8" fillId="9" borderId="5" xfId="1" applyFont="1" applyFill="1" applyBorder="1" applyAlignment="1">
      <alignment horizontal="right"/>
    </xf>
    <xf numFmtId="4" fontId="7" fillId="9" borderId="7" xfId="0" applyNumberFormat="1" applyFont="1" applyFill="1" applyBorder="1"/>
    <xf numFmtId="9" fontId="8" fillId="9" borderId="12" xfId="2" applyFont="1" applyFill="1" applyBorder="1" applyAlignment="1">
      <alignment horizontal="right"/>
    </xf>
    <xf numFmtId="164" fontId="8" fillId="9" borderId="15" xfId="1" applyFont="1" applyFill="1" applyBorder="1" applyAlignment="1">
      <alignment horizontal="right"/>
    </xf>
    <xf numFmtId="164" fontId="8" fillId="9" borderId="18" xfId="1" applyFont="1" applyFill="1" applyBorder="1" applyAlignment="1">
      <alignment horizontal="right"/>
    </xf>
    <xf numFmtId="164" fontId="9" fillId="9" borderId="5" xfId="0" applyNumberFormat="1" applyFont="1" applyFill="1" applyBorder="1"/>
    <xf numFmtId="9" fontId="8" fillId="9" borderId="12" xfId="2" applyFont="1" applyFill="1" applyBorder="1"/>
    <xf numFmtId="4" fontId="8" fillId="9" borderId="15" xfId="0" applyNumberFormat="1" applyFont="1" applyFill="1" applyBorder="1"/>
    <xf numFmtId="4" fontId="8" fillId="9" borderId="18" xfId="0" applyNumberFormat="1" applyFont="1" applyFill="1" applyBorder="1"/>
    <xf numFmtId="0" fontId="9" fillId="2" borderId="5" xfId="0" applyFont="1" applyFill="1" applyBorder="1"/>
    <xf numFmtId="4" fontId="9" fillId="2" borderId="9" xfId="0" applyNumberFormat="1" applyFont="1" applyFill="1" applyBorder="1"/>
    <xf numFmtId="4" fontId="9" fillId="2" borderId="12" xfId="0" applyNumberFormat="1" applyFont="1" applyFill="1" applyBorder="1"/>
    <xf numFmtId="4" fontId="9" fillId="2" borderId="15" xfId="0" applyNumberFormat="1" applyFont="1" applyFill="1" applyBorder="1"/>
    <xf numFmtId="4" fontId="9" fillId="2" borderId="19" xfId="0" applyNumberFormat="1" applyFont="1" applyFill="1" applyBorder="1"/>
    <xf numFmtId="0" fontId="2" fillId="10" borderId="21" xfId="0" applyFont="1" applyFill="1" applyBorder="1"/>
    <xf numFmtId="164" fontId="2" fillId="10" borderId="19" xfId="1" applyFont="1" applyFill="1" applyBorder="1" applyAlignment="1">
      <alignment horizontal="center"/>
    </xf>
    <xf numFmtId="0" fontId="17" fillId="11" borderId="28" xfId="0" applyFont="1" applyFill="1" applyBorder="1" applyAlignment="1">
      <alignment horizontal="center"/>
    </xf>
    <xf numFmtId="0" fontId="17" fillId="11" borderId="29" xfId="0" applyFont="1" applyFill="1" applyBorder="1"/>
    <xf numFmtId="43" fontId="2" fillId="10" borderId="19" xfId="0" applyNumberFormat="1" applyFont="1" applyFill="1" applyBorder="1" applyAlignment="1">
      <alignment horizontal="center"/>
    </xf>
    <xf numFmtId="164" fontId="2" fillId="10" borderId="19" xfId="1" applyFont="1" applyFill="1" applyBorder="1"/>
    <xf numFmtId="164" fontId="8" fillId="10" borderId="19" xfId="1" applyFont="1" applyFill="1" applyBorder="1"/>
    <xf numFmtId="165" fontId="4" fillId="12" borderId="2" xfId="0" applyNumberFormat="1" applyFont="1" applyFill="1" applyBorder="1" applyAlignment="1">
      <alignment horizontal="center"/>
    </xf>
    <xf numFmtId="165" fontId="6" fillId="10" borderId="3" xfId="0" applyNumberFormat="1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10" fillId="10" borderId="0" xfId="0" applyFont="1" applyFill="1"/>
    <xf numFmtId="0" fontId="4" fillId="13" borderId="1" xfId="0" applyFont="1" applyFill="1" applyBorder="1" applyAlignment="1">
      <alignment horizontal="left"/>
    </xf>
    <xf numFmtId="166" fontId="8" fillId="9" borderId="6" xfId="2" applyNumberFormat="1" applyFont="1" applyFill="1" applyBorder="1"/>
    <xf numFmtId="10" fontId="8" fillId="9" borderId="6" xfId="2" applyNumberFormat="1" applyFont="1" applyFill="1" applyBorder="1"/>
    <xf numFmtId="0" fontId="9" fillId="9" borderId="0" xfId="0" applyFont="1" applyFill="1"/>
    <xf numFmtId="0" fontId="14" fillId="14" borderId="29" xfId="0" applyFont="1" applyFill="1" applyBorder="1"/>
    <xf numFmtId="4" fontId="14" fillId="14" borderId="29" xfId="0" applyNumberFormat="1" applyFont="1" applyFill="1" applyBorder="1"/>
    <xf numFmtId="4" fontId="9" fillId="7" borderId="7" xfId="0" applyNumberFormat="1" applyFont="1" applyFill="1" applyBorder="1"/>
    <xf numFmtId="10" fontId="9" fillId="7" borderId="8" xfId="2" applyNumberFormat="1" applyFont="1" applyFill="1" applyBorder="1"/>
    <xf numFmtId="10" fontId="8" fillId="7" borderId="4" xfId="0" applyNumberFormat="1" applyFont="1" applyFill="1" applyBorder="1"/>
    <xf numFmtId="10" fontId="8" fillId="7" borderId="4" xfId="2" applyNumberFormat="1" applyFont="1" applyFill="1" applyBorder="1"/>
    <xf numFmtId="10" fontId="8" fillId="7" borderId="5" xfId="2" applyNumberFormat="1" applyFont="1" applyFill="1" applyBorder="1"/>
    <xf numFmtId="10" fontId="9" fillId="7" borderId="7" xfId="2" applyNumberFormat="1" applyFont="1" applyFill="1" applyBorder="1"/>
    <xf numFmtId="0" fontId="9" fillId="7" borderId="5" xfId="0" applyFont="1" applyFill="1" applyBorder="1"/>
    <xf numFmtId="0" fontId="9" fillId="7" borderId="9" xfId="0" applyFont="1" applyFill="1" applyBorder="1"/>
    <xf numFmtId="0" fontId="9" fillId="7" borderId="13" xfId="0" applyFont="1" applyFill="1" applyBorder="1"/>
    <xf numFmtId="0" fontId="9" fillId="7" borderId="16" xfId="0" applyFont="1" applyFill="1" applyBorder="1"/>
    <xf numFmtId="0" fontId="9" fillId="7" borderId="20" xfId="0" applyFont="1" applyFill="1" applyBorder="1"/>
    <xf numFmtId="4" fontId="9" fillId="0" borderId="8" xfId="0" applyNumberFormat="1" applyFont="1" applyBorder="1"/>
    <xf numFmtId="0" fontId="19" fillId="0" borderId="0" xfId="0" applyFont="1" applyAlignment="1">
      <alignment horizontal="right" vertical="top"/>
    </xf>
    <xf numFmtId="4" fontId="19" fillId="0" borderId="0" xfId="0" applyNumberFormat="1" applyFont="1" applyAlignment="1">
      <alignment horizontal="right" vertical="top"/>
    </xf>
    <xf numFmtId="4" fontId="12" fillId="5" borderId="23" xfId="0" applyNumberFormat="1" applyFont="1" applyFill="1" applyBorder="1" applyAlignment="1">
      <alignment horizontal="left" vertical="center" wrapText="1"/>
    </xf>
    <xf numFmtId="4" fontId="12" fillId="5" borderId="12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9B282"/>
      <color rgb="FFCCFFCC"/>
      <color rgb="FFBAF8BA"/>
      <color rgb="FF71DBB0"/>
      <color rgb="FF85C78D"/>
      <color rgb="FFFF7C80"/>
      <color rgb="FFCC0000"/>
      <color rgb="FFA50021"/>
      <color rgb="FF9933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</a:t>
            </a:r>
          </a:p>
          <a:p>
            <a:pPr>
              <a:defRPr/>
            </a:pPr>
            <a:r>
              <a:rPr lang="pt-BR"/>
              <a:t>previsto x</a:t>
            </a:r>
            <a:r>
              <a:rPr lang="pt-BR" baseline="0"/>
              <a:t> realizado</a:t>
            </a:r>
            <a:endParaRPr lang="pt-BR"/>
          </a:p>
        </c:rich>
      </c:tx>
      <c:layout>
        <c:manualLayout>
          <c:xMode val="edge"/>
          <c:yMode val="edge"/>
          <c:x val="0.37608940452327344"/>
          <c:y val="1.2759170653907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Comparativo!$B$2</c:f>
              <c:strCache>
                <c:ptCount val="1"/>
                <c:pt idx="0">
                  <c:v>Previsão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Comparativo!$B$3:$B$14</c:f>
              <c:numCache>
                <c:formatCode>_-* #,##0.00_-;\-* #,##0.00_-;_-* "-"??_-;_-@_-</c:formatCode>
                <c:ptCount val="12"/>
                <c:pt idx="0">
                  <c:v>215626</c:v>
                </c:pt>
                <c:pt idx="1">
                  <c:v>231026</c:v>
                </c:pt>
                <c:pt idx="2">
                  <c:v>268830</c:v>
                </c:pt>
                <c:pt idx="3">
                  <c:v>303857</c:v>
                </c:pt>
                <c:pt idx="4">
                  <c:v>369948</c:v>
                </c:pt>
                <c:pt idx="5">
                  <c:v>364515</c:v>
                </c:pt>
                <c:pt idx="6">
                  <c:v>293877</c:v>
                </c:pt>
                <c:pt idx="7">
                  <c:v>260337</c:v>
                </c:pt>
                <c:pt idx="8">
                  <c:v>315491</c:v>
                </c:pt>
                <c:pt idx="9">
                  <c:v>267387</c:v>
                </c:pt>
                <c:pt idx="10">
                  <c:v>355415</c:v>
                </c:pt>
                <c:pt idx="11">
                  <c:v>284340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8-42C8-9F30-3134B79C9C4D}"/>
            </c:ext>
          </c:extLst>
        </c:ser>
        <c:ser>
          <c:idx val="1"/>
          <c:order val="1"/>
          <c:tx>
            <c:strRef>
              <c:f>Comparativo!$C$2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Comparativo!$C$3:$C$14</c:f>
              <c:numCache>
                <c:formatCode>_-* #,##0.00_-;\-* #,##0.00_-;_-* "-"??_-;_-@_-</c:formatCode>
                <c:ptCount val="12"/>
                <c:pt idx="0">
                  <c:v>228366.71</c:v>
                </c:pt>
                <c:pt idx="1">
                  <c:v>239493</c:v>
                </c:pt>
                <c:pt idx="2">
                  <c:v>277195.92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8-42C8-9F30-3134B79C9C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7691503"/>
        <c:axId val="107680687"/>
      </c:barChart>
      <c:catAx>
        <c:axId val="10769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80687"/>
        <c:crosses val="autoZero"/>
        <c:auto val="1"/>
        <c:lblAlgn val="ctr"/>
        <c:lblOffset val="100"/>
        <c:noMultiLvlLbl val="0"/>
      </c:catAx>
      <c:valAx>
        <c:axId val="107680687"/>
        <c:scaling>
          <c:orientation val="minMax"/>
        </c:scaling>
        <c:delete val="1"/>
        <c:axPos val="l"/>
        <c:numFmt formatCode="_-* #,##0.00_-;\-* #,##0.00_-;_-* &quot;-&quot;??_-;_-@_-" sourceLinked="1"/>
        <c:majorTickMark val="none"/>
        <c:minorTickMark val="none"/>
        <c:tickLblPos val="nextTo"/>
        <c:crossAx val="10769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Margem de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Comparativo!$B$58:$B$59</c:f>
              <c:strCache>
                <c:ptCount val="2"/>
                <c:pt idx="0">
                  <c:v>Margem de lucro</c:v>
                </c:pt>
                <c:pt idx="1">
                  <c:v>Previsão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Comparativo!$A$60:$A$72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Anual</c:v>
                </c:pt>
              </c:strCache>
            </c:strRef>
          </c:cat>
          <c:val>
            <c:numRef>
              <c:f>Comparativo!$B$60:$B$72</c:f>
              <c:numCache>
                <c:formatCode>0%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2B00-48CC-BD09-9B6CFCA48115}"/>
            </c:ext>
          </c:extLst>
        </c:ser>
        <c:ser>
          <c:idx val="1"/>
          <c:order val="1"/>
          <c:tx>
            <c:strRef>
              <c:f>Comparativo!$C$58:$C$59</c:f>
              <c:strCache>
                <c:ptCount val="2"/>
                <c:pt idx="0">
                  <c:v>Margem de lucro</c:v>
                </c:pt>
                <c:pt idx="1">
                  <c:v>Realizado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Comparativo!$A$60:$A$72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Anual</c:v>
                </c:pt>
              </c:strCache>
            </c:strRef>
          </c:cat>
          <c:val>
            <c:numRef>
              <c:f>Comparativo!$C$60:$C$72</c:f>
              <c:numCache>
                <c:formatCode>0%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2B00-48CC-BD09-9B6CFCA481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628613904"/>
        <c:axId val="628608496"/>
        <c:axId val="0"/>
      </c:bar3DChart>
      <c:catAx>
        <c:axId val="6286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608496"/>
        <c:crosses val="autoZero"/>
        <c:auto val="1"/>
        <c:lblAlgn val="ctr"/>
        <c:lblOffset val="100"/>
        <c:noMultiLvlLbl val="0"/>
      </c:catAx>
      <c:valAx>
        <c:axId val="6286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6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6988370524830643E-2"/>
          <c:y val="8.7966236932235903E-2"/>
          <c:w val="0.81357432593653067"/>
          <c:h val="0.84030354582734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Comparativo!$B$26:$B$27</c:f>
              <c:strCache>
                <c:ptCount val="2"/>
                <c:pt idx="0">
                  <c:v>Resultado</c:v>
                </c:pt>
                <c:pt idx="1">
                  <c:v>Previsto</c:v>
                </c:pt>
              </c:strCache>
            </c:strRef>
          </c:tx>
          <c:spPr>
            <a:solidFill>
              <a:srgbClr val="A8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Comparativo!$A$28:$A$39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Comparativo!$B$28:$B$39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2F7-4BD5-BD99-C5C190B9419A}"/>
            </c:ext>
          </c:extLst>
        </c:ser>
        <c:ser>
          <c:idx val="1"/>
          <c:order val="1"/>
          <c:tx>
            <c:strRef>
              <c:f>Comparativo!$C$26:$C$27</c:f>
              <c:strCache>
                <c:ptCount val="2"/>
                <c:pt idx="0">
                  <c:v>Resultado</c:v>
                </c:pt>
                <c:pt idx="1">
                  <c:v>Realizado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Comparativo!$A$28:$A$39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Comparativo!$C$28:$C$39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2F7-4BD5-BD99-C5C190B941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3946384"/>
        <c:axId val="733948464"/>
      </c:barChart>
      <c:catAx>
        <c:axId val="7339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948464"/>
        <c:crosses val="autoZero"/>
        <c:auto val="1"/>
        <c:lblAlgn val="ctr"/>
        <c:lblOffset val="100"/>
        <c:noMultiLvlLbl val="0"/>
      </c:catAx>
      <c:valAx>
        <c:axId val="733948464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7339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 x Custos variaveis x custos fixos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Faturamento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C23-425A-9647-22A1EB407896}"/>
            </c:ext>
          </c:extLst>
        </c:ser>
        <c:ser>
          <c:idx val="1"/>
          <c:order val="1"/>
          <c:tx>
            <c:v>Custos Variáveis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C23-425A-9647-22A1EB407896}"/>
            </c:ext>
          </c:extLst>
        </c:ser>
        <c:ser>
          <c:idx val="2"/>
          <c:order val="2"/>
          <c:tx>
            <c:v>Custos Fixos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C23-425A-9647-22A1EB407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1302512"/>
        <c:axId val="1891304592"/>
      </c:barChart>
      <c:catAx>
        <c:axId val="18913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304592"/>
        <c:crosses val="autoZero"/>
        <c:auto val="1"/>
        <c:lblAlgn val="ctr"/>
        <c:lblOffset val="100"/>
        <c:noMultiLvlLbl val="0"/>
      </c:catAx>
      <c:valAx>
        <c:axId val="1891304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13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122794313109006"/>
          <c:y val="0.1171501272264631"/>
          <c:w val="0.45927480834395118"/>
          <c:h val="5.7252309110216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Distribuição do Faturamento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918-4EC4-A1C2-E1F5B40782DD}"/>
              </c:ext>
            </c:extLst>
          </c:dPt>
          <c:dPt>
            <c:idx val="1"/>
            <c:bubble3D val="0"/>
            <c:spPr>
              <a:solidFill>
                <a:srgbClr val="A8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918-4EC4-A1C2-E1F5B40782DD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918-4EC4-A1C2-E1F5B40782DD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918-4EC4-A1C2-E1F5B40782DD}"/>
              </c:ext>
            </c:extLst>
          </c:dPt>
          <c:dLbls>
            <c:dLbl>
              <c:idx val="0"/>
              <c:layout>
                <c:manualLayout>
                  <c:x val="8.4461314255202813E-3"/>
                  <c:y val="3.4755846530419653E-2"/>
                </c:manualLayout>
              </c:layout>
              <c:tx>
                <c:rich>
                  <a:bodyPr/>
                  <a:lstStyle/>
                  <a:p>
                    <a:fld id="{E400265D-7EB0-4D52-A6A1-FFC1020B0F2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4841FC21-114E-4273-8321-059FF6FAC9D7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</a:t>
                    </a:r>
                  </a:p>
                  <a:p>
                    <a:fld id="{1E97D21E-BDF7-482D-9931-5623E25A2DAE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18-4EC4-A1C2-E1F5B40782DD}"/>
                </c:ext>
              </c:extLst>
            </c:dLbl>
            <c:dLbl>
              <c:idx val="1"/>
              <c:layout>
                <c:manualLayout>
                  <c:x val="4.5179429343284817E-2"/>
                  <c:y val="-4.8993718481818986E-2"/>
                </c:manualLayout>
              </c:layout>
              <c:tx>
                <c:rich>
                  <a:bodyPr/>
                  <a:lstStyle/>
                  <a:p>
                    <a:fld id="{1E518397-81F1-4CB0-92F1-7587D8843B2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2B21C7E5-B046-4FA2-8E38-24D2C96CFF41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</a:t>
                    </a:r>
                  </a:p>
                  <a:p>
                    <a:fld id="{AD39E0AE-C0FD-410F-86FB-475B50C76DCA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18-4EC4-A1C2-E1F5B40782DD}"/>
                </c:ext>
              </c:extLst>
            </c:dLbl>
            <c:dLbl>
              <c:idx val="2"/>
              <c:layout>
                <c:manualLayout>
                  <c:x val="7.2558274193821022E-3"/>
                  <c:y val="3.399994101860862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063ACF8-FE72-41FC-87B8-993769A5FFA3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; </a:t>
                    </a:r>
                    <a:fld id="{366231C7-2254-44D4-ABBB-46817C65BB59}" type="VALUE">
                      <a:rPr lang="en-US" baseline="0"/>
                      <a:pPr>
                        <a:defRPr/>
                      </a:pPr>
                      <a:t>[VALUE]</a:t>
                    </a:fld>
                    <a:r>
                      <a:rPr lang="en-US" baseline="0"/>
                      <a:t>;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6064DBC4-27EF-424E-A2D7-B8749AD3D8F9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639991398488016"/>
                      <c:h val="0.1137677902621722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918-4EC4-A1C2-E1F5B40782DD}"/>
                </c:ext>
              </c:extLst>
            </c:dLbl>
            <c:dLbl>
              <c:idx val="3"/>
              <c:layout>
                <c:manualLayout>
                  <c:x val="4.8771585762348482E-2"/>
                  <c:y val="-3.37217847769029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4043BA3-7C26-4829-AAA7-F06B99516C7A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;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1AB21D8D-7CE5-4E07-AC2F-5BBD31061738}" type="VALUE">
                      <a:rPr lang="en-US" baseline="0"/>
                      <a:pPr>
                        <a:defRPr/>
                      </a:pPr>
                      <a:t>[VALUE]</a:t>
                    </a:fld>
                    <a:r>
                      <a:rPr lang="en-US" baseline="0"/>
                      <a:t>; </a:t>
                    </a:r>
                  </a:p>
                  <a:p>
                    <a:pPr>
                      <a:defRPr/>
                    </a:pPr>
                    <a:fld id="{C272E9B4-1FD0-42C1-87F9-48DFE8DE5479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34508169274886"/>
                      <c:h val="0.107820342681883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918-4EC4-A1C2-E1F5B4078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(Previsão!$A$6,Previsão!$A$20,Previsão!$A$68,Previsão!$A$80)</c:f>
              <c:strCache>
                <c:ptCount val="4"/>
                <c:pt idx="0">
                  <c:v>CUSTOS VARIÁVEIS</c:v>
                </c:pt>
                <c:pt idx="1">
                  <c:v>CUSTOS FIXOS</c:v>
                </c:pt>
                <c:pt idx="2">
                  <c:v>CUSTOS NÃO OPERACIONAIS</c:v>
                </c:pt>
                <c:pt idx="3">
                  <c:v>RESULTADO </c:v>
                </c:pt>
              </c:strCache>
            </c:strRef>
          </c:cat>
          <c:val>
            <c:numRef>
              <c:f>(Previsão!$AB$6,Previsão!$AB$20,Previsão!$AB$68,Previsão!$AB$80)</c:f>
              <c:numCache>
                <c:formatCode>#,##0.00</c:formatCode>
                <c:ptCount val="4"/>
                <c:pt idx="0">
                  <c:v>693044.52480000001</c:v>
                </c:pt>
                <c:pt idx="1">
                  <c:v>1592671.9600000002</c:v>
                </c:pt>
                <c:pt idx="2">
                  <c:v>152109.53000000003</c:v>
                </c:pt>
                <c:pt idx="3">
                  <c:v>942109.37519999966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18-4EC4-A1C2-E1F5B40782D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247651</xdr:colOff>
      <xdr:row>0</xdr:row>
      <xdr:rowOff>152401</xdr:rowOff>
    </xdr:from>
    <xdr:to>
      <xdr:col>16</xdr:col>
      <xdr:colOff>190501</xdr:colOff>
      <xdr:row>22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EF0588-76C8-CA4E-D726-658BE5975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400049</xdr:colOff>
      <xdr:row>53</xdr:row>
      <xdr:rowOff>4762</xdr:rowOff>
    </xdr:from>
    <xdr:to>
      <xdr:col>16</xdr:col>
      <xdr:colOff>476250</xdr:colOff>
      <xdr:row>72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0723A6-B4E0-82AA-149D-58ADCDF77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25</xdr:row>
      <xdr:rowOff>23812</xdr:rowOff>
    </xdr:from>
    <xdr:to>
      <xdr:col>17</xdr:col>
      <xdr:colOff>142875</xdr:colOff>
      <xdr:row>49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43F730-9558-4DC6-D2E6-B119CB2F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304799</xdr:colOff>
      <xdr:row>74</xdr:row>
      <xdr:rowOff>152401</xdr:rowOff>
    </xdr:from>
    <xdr:to>
      <xdr:col>18</xdr:col>
      <xdr:colOff>314324</xdr:colOff>
      <xdr:row>95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99A5DB-861A-4902-8B88-635AFC3A7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180974</xdr:colOff>
      <xdr:row>99</xdr:row>
      <xdr:rowOff>28575</xdr:rowOff>
    </xdr:from>
    <xdr:to>
      <xdr:col>16</xdr:col>
      <xdr:colOff>352425</xdr:colOff>
      <xdr:row>121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C82979C-C4D3-46FF-9686-5DEF8E4C7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iz Fernando Alovisi" id="{F105DE8D-80B7-4508-B7E2-DE929E34F917}" userId="dd9b424165010a5f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3" dT="2024-09-04T13:49:31.81" personId="{F105DE8D-80B7-4508-B7E2-DE929E34F917}" id="{D973927E-0ECF-420A-8E63-65F0FB9D8FCB}">
    <text>230 TRN e 20 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3" dT="2024-09-04T13:49:31.81" personId="{F105DE8D-80B7-4508-B7E2-DE929E34F917}" id="{A23EE034-A015-48DF-88EE-9EFC6523C111}">
    <text>230 TRN e 20 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6A65-ABCF-4294-95E4-C5E452CDF94A}">
  <dimension ref="A1:DZ119"/>
  <sheetViews>
    <sheetView workbookViewId="0">
      <pane xSplit="1" ySplit="1" topLeftCell="F74" activePane="bottomRight" state="frozen"/>
      <selection pane="topRight" activeCell="B1" sqref="B1"/>
      <selection pane="bottomLeft" activeCell="A2" sqref="A2"/>
      <selection pane="bottomRight" activeCell="AF27" sqref="AF27"/>
    </sheetView>
  </sheetViews>
  <sheetFormatPr baseColWidth="10" defaultColWidth="8.83203125" defaultRowHeight="15" x14ac:dyDescent="0.2"/>
  <cols>
    <col min="1" max="1" width="31.83203125" bestFit="1" customWidth="1"/>
    <col min="2" max="2" width="11.5" bestFit="1" customWidth="1"/>
    <col min="3" max="3" width="7" bestFit="1" customWidth="1"/>
    <col min="4" max="4" width="11.5" bestFit="1" customWidth="1"/>
    <col min="5" max="5" width="7" bestFit="1" customWidth="1"/>
    <col min="6" max="6" width="11.5" bestFit="1" customWidth="1"/>
    <col min="7" max="7" width="8" bestFit="1" customWidth="1"/>
    <col min="8" max="8" width="11.5" bestFit="1" customWidth="1"/>
    <col min="9" max="9" width="8" bestFit="1" customWidth="1"/>
    <col min="10" max="10" width="11.5" bestFit="1" customWidth="1"/>
    <col min="11" max="11" width="8" bestFit="1" customWidth="1"/>
    <col min="12" max="12" width="11.5" customWidth="1"/>
    <col min="13" max="13" width="8" bestFit="1" customWidth="1"/>
    <col min="14" max="14" width="11.5" bestFit="1" customWidth="1"/>
    <col min="15" max="15" width="8" bestFit="1" customWidth="1"/>
    <col min="16" max="16" width="11.5" bestFit="1" customWidth="1"/>
    <col min="17" max="17" width="8" bestFit="1" customWidth="1"/>
    <col min="18" max="18" width="11.5" bestFit="1" customWidth="1"/>
    <col min="19" max="19" width="8" bestFit="1" customWidth="1"/>
    <col min="20" max="20" width="11.5" bestFit="1" customWidth="1"/>
    <col min="21" max="21" width="8" bestFit="1" customWidth="1"/>
    <col min="22" max="22" width="11.33203125" bestFit="1" customWidth="1"/>
    <col min="23" max="23" width="8" bestFit="1" customWidth="1"/>
    <col min="24" max="24" width="10.6640625" bestFit="1" customWidth="1"/>
    <col min="25" max="25" width="7" bestFit="1" customWidth="1"/>
    <col min="26" max="26" width="11.5" bestFit="1" customWidth="1"/>
    <col min="27" max="27" width="7" bestFit="1" customWidth="1"/>
    <col min="28" max="28" width="12.5" bestFit="1" customWidth="1"/>
    <col min="32" max="32" width="34.33203125" bestFit="1" customWidth="1"/>
  </cols>
  <sheetData>
    <row r="1" spans="1:130" x14ac:dyDescent="0.2">
      <c r="A1" s="115"/>
      <c r="B1" s="111" t="s">
        <v>0</v>
      </c>
      <c r="C1" s="1" t="s">
        <v>1</v>
      </c>
      <c r="D1" s="111" t="s">
        <v>2</v>
      </c>
      <c r="E1" s="1" t="s">
        <v>1</v>
      </c>
      <c r="F1" s="111" t="s">
        <v>3</v>
      </c>
      <c r="G1" s="1" t="s">
        <v>1</v>
      </c>
      <c r="H1" s="111" t="s">
        <v>4</v>
      </c>
      <c r="I1" s="1" t="s">
        <v>1</v>
      </c>
      <c r="J1" s="111" t="s">
        <v>5</v>
      </c>
      <c r="K1" s="2" t="s">
        <v>1</v>
      </c>
      <c r="L1" s="111" t="s">
        <v>6</v>
      </c>
      <c r="M1" s="2" t="s">
        <v>1</v>
      </c>
      <c r="N1" s="111" t="s">
        <v>7</v>
      </c>
      <c r="O1" s="2" t="s">
        <v>1</v>
      </c>
      <c r="P1" s="111" t="s">
        <v>8</v>
      </c>
      <c r="Q1" s="2" t="s">
        <v>1</v>
      </c>
      <c r="R1" s="111" t="s">
        <v>9</v>
      </c>
      <c r="S1" s="2" t="s">
        <v>1</v>
      </c>
      <c r="T1" s="111" t="s">
        <v>10</v>
      </c>
      <c r="U1" s="2" t="s">
        <v>1</v>
      </c>
      <c r="V1" s="111" t="s">
        <v>11</v>
      </c>
      <c r="W1" s="2" t="s">
        <v>1</v>
      </c>
      <c r="X1" s="111" t="s">
        <v>12</v>
      </c>
      <c r="Y1" s="2" t="s">
        <v>1</v>
      </c>
      <c r="Z1" s="112" t="s">
        <v>13</v>
      </c>
      <c r="AA1" s="3" t="s">
        <v>1</v>
      </c>
      <c r="AB1" s="113" t="s">
        <v>14</v>
      </c>
      <c r="AC1" s="4"/>
      <c r="AD1" s="5"/>
      <c r="AE1" s="114" t="s">
        <v>15</v>
      </c>
    </row>
    <row r="2" spans="1:130" x14ac:dyDescent="0.2">
      <c r="A2" s="73" t="s">
        <v>16</v>
      </c>
      <c r="B2" s="71">
        <f>SUM(B3:B5)</f>
        <v>228366.71</v>
      </c>
      <c r="C2" s="6">
        <v>1</v>
      </c>
      <c r="D2" s="71">
        <f>SUM(D3:D4)</f>
        <v>239493</v>
      </c>
      <c r="E2" s="6">
        <v>1</v>
      </c>
      <c r="F2" s="71">
        <f>SUM(F3:F5)</f>
        <v>277195.92</v>
      </c>
      <c r="G2" s="6">
        <v>1</v>
      </c>
      <c r="H2" s="71">
        <f>SUM(H3:H5)</f>
        <v>299795.88</v>
      </c>
      <c r="I2" s="6">
        <v>1</v>
      </c>
      <c r="J2" s="71">
        <f>SUM(J3:J5)</f>
        <v>269832.36</v>
      </c>
      <c r="K2" s="6">
        <v>1</v>
      </c>
      <c r="L2" s="71">
        <f>SUM(L3:L5)</f>
        <v>296256.94</v>
      </c>
      <c r="M2" s="6">
        <v>1</v>
      </c>
      <c r="N2" s="71">
        <f>SUM(N3:N5)</f>
        <v>297113.51</v>
      </c>
      <c r="O2" s="6">
        <v>1</v>
      </c>
      <c r="P2" s="71">
        <f>SUM(P3:P5)</f>
        <v>277833.46999999997</v>
      </c>
      <c r="Q2" s="6">
        <v>1</v>
      </c>
      <c r="R2" s="71">
        <f>SUM(R3:R5)</f>
        <v>306147</v>
      </c>
      <c r="S2" s="6">
        <v>1</v>
      </c>
      <c r="T2" s="71">
        <f>SUM(T3:T5)</f>
        <v>298133.96999999997</v>
      </c>
      <c r="U2" s="6">
        <v>1</v>
      </c>
      <c r="V2" s="71">
        <f>SUM(V3:V5)</f>
        <v>299049.77</v>
      </c>
      <c r="W2" s="6">
        <v>1</v>
      </c>
      <c r="X2" s="71">
        <f>SUM(X3:X5)</f>
        <v>290716.86</v>
      </c>
      <c r="Y2" s="6">
        <v>1</v>
      </c>
      <c r="Z2" s="69">
        <f t="shared" ref="Z2:Z24" si="0">(B2+D2+F2+H2+J2+L2+N2+P2+R2+T2+V2+X2)/AE$2</f>
        <v>281661.28249999997</v>
      </c>
      <c r="AA2" s="7">
        <v>1</v>
      </c>
      <c r="AB2" s="71">
        <f>SUM(AB3:AB5)</f>
        <v>3379935.3899999997</v>
      </c>
      <c r="AC2" s="123">
        <v>1</v>
      </c>
      <c r="AD2" s="8"/>
      <c r="AE2" s="64">
        <f>COUNTIF(B2:Y2,"&gt;1")</f>
        <v>12</v>
      </c>
    </row>
    <row r="3" spans="1:130" x14ac:dyDescent="0.2">
      <c r="A3" s="9" t="s">
        <v>143</v>
      </c>
      <c r="B3" s="9">
        <v>210000</v>
      </c>
      <c r="C3" s="10">
        <f t="shared" ref="C3:C73" si="1">B3/B$2</f>
        <v>0.91957361035678098</v>
      </c>
      <c r="D3" s="9">
        <v>200000</v>
      </c>
      <c r="E3" s="10">
        <f t="shared" ref="E3:E18" si="2">D3/D$2</f>
        <v>0.83509747675297397</v>
      </c>
      <c r="F3" s="9">
        <v>230000</v>
      </c>
      <c r="G3" s="10">
        <f t="shared" ref="G3:G73" si="3">F3/F$2</f>
        <v>0.82973804232039206</v>
      </c>
      <c r="H3" s="9">
        <v>230000</v>
      </c>
      <c r="I3" s="10">
        <f t="shared" ref="I3:I73" si="4">H3/H$2</f>
        <v>0.76718866183217727</v>
      </c>
      <c r="J3" s="9">
        <v>230000</v>
      </c>
      <c r="K3" s="10">
        <f t="shared" ref="K3:K34" si="5">J3/J$2</f>
        <v>0.85238108579712235</v>
      </c>
      <c r="L3" s="9">
        <v>235000</v>
      </c>
      <c r="M3" s="10">
        <f t="shared" ref="M3:M18" si="6">L3/L$2</f>
        <v>0.79323036280601567</v>
      </c>
      <c r="N3" s="9">
        <v>235000</v>
      </c>
      <c r="O3" s="10">
        <f t="shared" ref="O3:O73" si="7">N3/N$2</f>
        <v>0.79094350169401584</v>
      </c>
      <c r="P3" s="9">
        <v>235000</v>
      </c>
      <c r="Q3" s="10">
        <f t="shared" ref="Q3:Q73" si="8">P3/P$2</f>
        <v>0.84583041776788093</v>
      </c>
      <c r="R3" s="9">
        <v>240000</v>
      </c>
      <c r="S3" s="10">
        <f t="shared" ref="S3:S73" si="9">R3/R$2</f>
        <v>0.78393712824231498</v>
      </c>
      <c r="T3" s="9">
        <v>245000</v>
      </c>
      <c r="U3" s="10">
        <f t="shared" ref="U3:U73" si="10">T3/T$2</f>
        <v>0.82177820930637335</v>
      </c>
      <c r="V3" s="9">
        <v>255000</v>
      </c>
      <c r="W3" s="10">
        <f t="shared" ref="W3:W73" si="11">V3/V$2</f>
        <v>0.85270087316903798</v>
      </c>
      <c r="X3" s="9">
        <v>255000</v>
      </c>
      <c r="Y3" s="10">
        <f t="shared" ref="Y3:Y73" si="12">X3/X$2</f>
        <v>0.87714211002416587</v>
      </c>
      <c r="Z3" s="11">
        <f t="shared" si="0"/>
        <v>233333.33333333334</v>
      </c>
      <c r="AA3" s="10">
        <f t="shared" ref="AA3:AA82" si="13">Z3/Z$2</f>
        <v>0.82841820239646669</v>
      </c>
      <c r="AB3" s="12">
        <f>L3+N3+P3+R3+T3+V3+X3+J3+H3+F3+D3+B3</f>
        <v>2800000</v>
      </c>
      <c r="AC3" s="122">
        <f>AB3/AB$2</f>
        <v>0.82841820239646657</v>
      </c>
      <c r="AD3" s="5"/>
      <c r="AE3" s="13"/>
    </row>
    <row r="4" spans="1:130" x14ac:dyDescent="0.2">
      <c r="A4" s="9" t="s">
        <v>144</v>
      </c>
      <c r="B4" s="9">
        <v>18366.71</v>
      </c>
      <c r="C4" s="10">
        <f t="shared" si="1"/>
        <v>8.0426389643219007E-2</v>
      </c>
      <c r="D4" s="9">
        <v>39493</v>
      </c>
      <c r="E4" s="10">
        <f t="shared" si="2"/>
        <v>0.16490252324702601</v>
      </c>
      <c r="F4" s="9">
        <v>47195.92</v>
      </c>
      <c r="G4" s="10">
        <f t="shared" si="3"/>
        <v>0.17026195767960797</v>
      </c>
      <c r="H4" s="9">
        <v>69795.88</v>
      </c>
      <c r="I4" s="10">
        <f t="shared" si="4"/>
        <v>0.23281133816782273</v>
      </c>
      <c r="J4" s="9">
        <v>39832.36</v>
      </c>
      <c r="K4" s="10">
        <f t="shared" si="5"/>
        <v>0.14761891420287768</v>
      </c>
      <c r="L4" s="9">
        <v>61256.94</v>
      </c>
      <c r="M4" s="10">
        <f t="shared" si="6"/>
        <v>0.20676963719398439</v>
      </c>
      <c r="N4" s="9">
        <v>62113.51</v>
      </c>
      <c r="O4" s="10">
        <f t="shared" si="7"/>
        <v>0.20905649830598413</v>
      </c>
      <c r="P4" s="9">
        <v>42833.47</v>
      </c>
      <c r="Q4" s="10">
        <f t="shared" si="8"/>
        <v>0.15416958223211913</v>
      </c>
      <c r="R4" s="9">
        <v>66147</v>
      </c>
      <c r="S4" s="10">
        <f t="shared" si="9"/>
        <v>0.21606287175768504</v>
      </c>
      <c r="T4" s="9">
        <v>53133.97</v>
      </c>
      <c r="U4" s="10">
        <f t="shared" si="10"/>
        <v>0.17822179069362679</v>
      </c>
      <c r="V4" s="9">
        <v>44049.77</v>
      </c>
      <c r="W4" s="10">
        <f t="shared" si="11"/>
        <v>0.14729912683096194</v>
      </c>
      <c r="X4" s="9">
        <v>35716.86</v>
      </c>
      <c r="Y4" s="10">
        <f t="shared" si="12"/>
        <v>0.12285788997583423</v>
      </c>
      <c r="Z4" s="11">
        <f t="shared" si="0"/>
        <v>48327.949166666665</v>
      </c>
      <c r="AA4" s="10">
        <f t="shared" si="13"/>
        <v>0.17158179760353348</v>
      </c>
      <c r="AB4" s="12">
        <f>L4+N4+P4+R4+T4+V4+X4+J4+H4+F4+D4+B4</f>
        <v>579935.3899999999</v>
      </c>
      <c r="AC4" s="122">
        <f>AB4/AB$2</f>
        <v>0.17158179760353345</v>
      </c>
      <c r="AD4" s="5"/>
      <c r="AE4" s="13"/>
    </row>
    <row r="5" spans="1:130" x14ac:dyDescent="0.2">
      <c r="A5" s="9" t="s">
        <v>17</v>
      </c>
      <c r="B5" s="9"/>
      <c r="C5" s="10">
        <f t="shared" si="1"/>
        <v>0</v>
      </c>
      <c r="D5" s="9"/>
      <c r="E5" s="10">
        <f t="shared" si="2"/>
        <v>0</v>
      </c>
      <c r="F5" s="9"/>
      <c r="G5" s="10">
        <f t="shared" si="3"/>
        <v>0</v>
      </c>
      <c r="H5" s="9"/>
      <c r="I5" s="10">
        <f t="shared" si="4"/>
        <v>0</v>
      </c>
      <c r="J5" s="9"/>
      <c r="K5" s="10">
        <f t="shared" si="5"/>
        <v>0</v>
      </c>
      <c r="L5" s="9"/>
      <c r="M5" s="10">
        <f t="shared" si="6"/>
        <v>0</v>
      </c>
      <c r="N5" s="9"/>
      <c r="O5" s="10">
        <f t="shared" si="7"/>
        <v>0</v>
      </c>
      <c r="P5" s="9"/>
      <c r="Q5" s="10">
        <f t="shared" si="8"/>
        <v>0</v>
      </c>
      <c r="R5" s="9"/>
      <c r="S5" s="10">
        <f t="shared" si="9"/>
        <v>0</v>
      </c>
      <c r="T5" s="9"/>
      <c r="U5" s="10">
        <f t="shared" si="10"/>
        <v>0</v>
      </c>
      <c r="V5" s="9"/>
      <c r="W5" s="10">
        <f t="shared" si="11"/>
        <v>0</v>
      </c>
      <c r="X5" s="9"/>
      <c r="Y5" s="10">
        <f t="shared" si="12"/>
        <v>0</v>
      </c>
      <c r="Z5" s="11">
        <f t="shared" si="0"/>
        <v>0</v>
      </c>
      <c r="AA5" s="10">
        <f t="shared" si="13"/>
        <v>0</v>
      </c>
      <c r="AB5" s="12">
        <f>L5+N5+P5+R5+T5+V5+X5+J5+H5+F5+D5+B5</f>
        <v>0</v>
      </c>
      <c r="AC5" s="122">
        <f t="shared" ref="AC5" si="14">AB5/AB$3</f>
        <v>0</v>
      </c>
      <c r="AD5" s="5"/>
      <c r="AE5" s="13"/>
    </row>
    <row r="6" spans="1:130" x14ac:dyDescent="0.2">
      <c r="A6" s="73" t="s">
        <v>18</v>
      </c>
      <c r="B6" s="71">
        <f>SUBTOTAL(9,B7:B18)</f>
        <v>49019.56</v>
      </c>
      <c r="C6" s="6">
        <f t="shared" si="1"/>
        <v>0.21465282746333736</v>
      </c>
      <c r="D6" s="71">
        <f>SUBTOTAL(9,D7:D18)</f>
        <v>52288.673600000002</v>
      </c>
      <c r="E6" s="6">
        <f t="shared" si="2"/>
        <v>0.21833069693059923</v>
      </c>
      <c r="F6" s="71">
        <f>SUBTOTAL(9,F7:F18)</f>
        <v>51068.88</v>
      </c>
      <c r="G6" s="6">
        <f t="shared" si="3"/>
        <v>0.18423388049867401</v>
      </c>
      <c r="H6" s="71">
        <f>SUBTOTAL(9,H7:H18)</f>
        <v>57601.347199999997</v>
      </c>
      <c r="I6" s="6">
        <f t="shared" si="4"/>
        <v>0.19213521946999404</v>
      </c>
      <c r="J6" s="71">
        <f>SUBTOTAL(9,J7:J18)</f>
        <v>61217.340799999998</v>
      </c>
      <c r="K6" s="6">
        <f t="shared" si="5"/>
        <v>0.22687175400311513</v>
      </c>
      <c r="L6" s="71">
        <f>SUBTOTAL(9,L7:L18)</f>
        <v>56423.177599999995</v>
      </c>
      <c r="M6" s="6">
        <f t="shared" si="6"/>
        <v>0.19045352186517553</v>
      </c>
      <c r="N6" s="71">
        <f>SUBTOTAL(9,N7:N18)</f>
        <v>61151.110399999998</v>
      </c>
      <c r="O6" s="6">
        <f t="shared" si="7"/>
        <v>0.20581733358405679</v>
      </c>
      <c r="P6" s="71">
        <f>SUBTOTAL(9,P7:P18)</f>
        <v>61288.161599999999</v>
      </c>
      <c r="Q6" s="6">
        <f t="shared" si="8"/>
        <v>0.22059315459724851</v>
      </c>
      <c r="R6" s="71">
        <f>SUBTOTAL(9,R7:R18)</f>
        <v>58203.355199999998</v>
      </c>
      <c r="S6" s="6">
        <f t="shared" si="9"/>
        <v>0.1901157130398142</v>
      </c>
      <c r="T6" s="71">
        <f>SUBTOTAL(9,T7:T18)</f>
        <v>62733.520000000004</v>
      </c>
      <c r="U6" s="6">
        <f t="shared" si="10"/>
        <v>0.21042057032279821</v>
      </c>
      <c r="V6" s="71">
        <f>SUBTOTAL(9,V7:V18)</f>
        <v>60951.4352</v>
      </c>
      <c r="W6" s="6">
        <f t="shared" si="11"/>
        <v>0.20381702751351388</v>
      </c>
      <c r="X6" s="71">
        <f>SUBTOTAL(9,X7:X18)</f>
        <v>61097.963200000006</v>
      </c>
      <c r="Y6" s="6">
        <f t="shared" si="12"/>
        <v>0.21016312297814446</v>
      </c>
      <c r="Z6" s="69">
        <f t="shared" si="0"/>
        <v>57753.710399999989</v>
      </c>
      <c r="AA6" s="6">
        <f>Z6/Z$2</f>
        <v>0.20504667836268903</v>
      </c>
      <c r="AB6" s="71">
        <f>SUBTOTAL(9,AB7:AB18)</f>
        <v>693044.52480000001</v>
      </c>
      <c r="AC6" s="124">
        <f>AB6/AB$2</f>
        <v>0.20504667836268908</v>
      </c>
      <c r="AD6" s="63"/>
      <c r="AE6" s="14"/>
    </row>
    <row r="7" spans="1:130" x14ac:dyDescent="0.2">
      <c r="A7" s="15" t="s">
        <v>19</v>
      </c>
      <c r="B7" s="9">
        <v>36269.56</v>
      </c>
      <c r="C7" s="10">
        <f t="shared" si="1"/>
        <v>0.15882157254881851</v>
      </c>
      <c r="D7" s="15">
        <f>B2*16%</f>
        <v>36538.673600000002</v>
      </c>
      <c r="E7" s="10">
        <f t="shared" si="2"/>
        <v>0.15256677063630253</v>
      </c>
      <c r="F7" s="9">
        <f>D2*16%</f>
        <v>38318.879999999997</v>
      </c>
      <c r="G7" s="10">
        <f t="shared" si="3"/>
        <v>0.13823753250047835</v>
      </c>
      <c r="H7" s="15">
        <f>F2*16%</f>
        <v>44351.347199999997</v>
      </c>
      <c r="I7" s="10">
        <f t="shared" si="4"/>
        <v>0.14793848134270557</v>
      </c>
      <c r="J7" s="9">
        <f>H2*16%</f>
        <v>47967.340799999998</v>
      </c>
      <c r="K7" s="10">
        <f t="shared" si="5"/>
        <v>0.17776719145175915</v>
      </c>
      <c r="L7" s="15">
        <f>J2*16%</f>
        <v>43173.177599999995</v>
      </c>
      <c r="M7" s="10">
        <f t="shared" si="6"/>
        <v>0.14572883119632571</v>
      </c>
      <c r="N7" s="15">
        <f>L2*16%</f>
        <v>47401.110399999998</v>
      </c>
      <c r="O7" s="10">
        <f t="shared" si="7"/>
        <v>0.15953872444238565</v>
      </c>
      <c r="P7" s="9">
        <f>N2*16%</f>
        <v>47538.161599999999</v>
      </c>
      <c r="Q7" s="10">
        <f t="shared" si="8"/>
        <v>0.17110307696189378</v>
      </c>
      <c r="R7" s="9">
        <f>P2*16%</f>
        <v>44453.355199999998</v>
      </c>
      <c r="S7" s="10">
        <f t="shared" si="9"/>
        <v>0.14520264840093158</v>
      </c>
      <c r="T7" s="15">
        <f>R2*16%</f>
        <v>48983.520000000004</v>
      </c>
      <c r="U7" s="10">
        <f t="shared" si="10"/>
        <v>0.16430036469846093</v>
      </c>
      <c r="V7" s="15">
        <f>T2*16%</f>
        <v>47701.4352</v>
      </c>
      <c r="W7" s="10">
        <f t="shared" si="11"/>
        <v>0.15951002135865211</v>
      </c>
      <c r="X7" s="15">
        <f>V2*16%</f>
        <v>47847.963200000006</v>
      </c>
      <c r="Y7" s="10">
        <f t="shared" si="12"/>
        <v>0.16458613098669272</v>
      </c>
      <c r="Z7" s="11">
        <f t="shared" si="0"/>
        <v>44212.043733333332</v>
      </c>
      <c r="AA7" s="10">
        <f>Z7/Z$2</f>
        <v>0.1569688362593227</v>
      </c>
      <c r="AB7" s="121">
        <f>L7+N7+P7+R7+T7+V7+X7+J7+H7+F7+D7+B7</f>
        <v>530544.52480000001</v>
      </c>
      <c r="AC7" s="122">
        <f>AB7/AB$2</f>
        <v>0.1569688362593227</v>
      </c>
      <c r="AD7" s="5"/>
      <c r="AE7" s="5"/>
    </row>
    <row r="8" spans="1:130" x14ac:dyDescent="0.2">
      <c r="A8" s="15" t="s">
        <v>136</v>
      </c>
      <c r="B8" s="9">
        <v>750</v>
      </c>
      <c r="C8" s="10"/>
      <c r="D8" s="15">
        <v>750</v>
      </c>
      <c r="E8" s="10">
        <f t="shared" si="2"/>
        <v>3.1316155378236523E-3</v>
      </c>
      <c r="F8" s="9">
        <v>750</v>
      </c>
      <c r="G8" s="10">
        <f t="shared" si="3"/>
        <v>2.7056675293056264E-3</v>
      </c>
      <c r="H8" s="15">
        <v>750</v>
      </c>
      <c r="I8" s="10">
        <f t="shared" si="4"/>
        <v>2.5017021581484043E-3</v>
      </c>
      <c r="J8" s="9">
        <v>750</v>
      </c>
      <c r="K8" s="10">
        <f t="shared" si="5"/>
        <v>2.7795035406427905E-3</v>
      </c>
      <c r="L8" s="15">
        <v>750</v>
      </c>
      <c r="M8" s="10">
        <f t="shared" si="6"/>
        <v>2.5315862642745178E-3</v>
      </c>
      <c r="N8" s="15">
        <v>750</v>
      </c>
      <c r="O8" s="10">
        <f t="shared" si="7"/>
        <v>2.5242877713638804E-3</v>
      </c>
      <c r="P8" s="9">
        <v>750</v>
      </c>
      <c r="Q8" s="10">
        <f t="shared" si="8"/>
        <v>2.6994587801102586E-3</v>
      </c>
      <c r="R8" s="9">
        <v>750</v>
      </c>
      <c r="S8" s="10">
        <f t="shared" si="9"/>
        <v>2.4498035257572342E-3</v>
      </c>
      <c r="T8" s="15">
        <v>750</v>
      </c>
      <c r="U8" s="10">
        <f t="shared" si="10"/>
        <v>2.5156475795093062E-3</v>
      </c>
      <c r="V8" s="15">
        <v>750</v>
      </c>
      <c r="W8" s="10">
        <f t="shared" si="11"/>
        <v>2.5079437446148176E-3</v>
      </c>
      <c r="X8" s="15">
        <v>750</v>
      </c>
      <c r="Y8" s="10">
        <f t="shared" si="12"/>
        <v>2.5798297353651937E-3</v>
      </c>
      <c r="Z8" s="11">
        <f t="shared" si="0"/>
        <v>750</v>
      </c>
      <c r="AA8" s="10">
        <f t="shared" ref="AA8:AA18" si="15">Z8/Z$2</f>
        <v>2.6627727934172142E-3</v>
      </c>
      <c r="AB8" s="12">
        <f>L8+N8+P8+R8+T8+V8+X8+J8+H8+F8+D8+B8</f>
        <v>9000</v>
      </c>
      <c r="AC8" s="122">
        <f t="shared" ref="AC8:AC18" si="16">AB8/AB$2</f>
        <v>2.6627727934172142E-3</v>
      </c>
      <c r="AD8" s="5"/>
      <c r="AE8" s="5"/>
    </row>
    <row r="9" spans="1:130" x14ac:dyDescent="0.2">
      <c r="A9" s="9" t="s">
        <v>20</v>
      </c>
      <c r="B9" s="9">
        <f>SUBTOTAL(9,B10:B18)</f>
        <v>12000</v>
      </c>
      <c r="C9" s="10">
        <f>B9/B$2</f>
        <v>5.2547063448958917E-2</v>
      </c>
      <c r="D9" s="15">
        <f>SUBTOTAL(9,D10:D18)</f>
        <v>15000</v>
      </c>
      <c r="E9" s="10">
        <f t="shared" si="2"/>
        <v>6.2632310756473047E-2</v>
      </c>
      <c r="F9" s="15">
        <f>SUBTOTAL(9,F10:F18)</f>
        <v>12000</v>
      </c>
      <c r="G9" s="10">
        <f t="shared" si="3"/>
        <v>4.3290680468890022E-2</v>
      </c>
      <c r="H9" s="15">
        <f>SUBTOTAL(9,H10:H18)</f>
        <v>12500</v>
      </c>
      <c r="I9" s="10">
        <f t="shared" si="4"/>
        <v>4.1695035969140072E-2</v>
      </c>
      <c r="J9" s="9">
        <f>SUBTOTAL(9,J10:J18)</f>
        <v>12500</v>
      </c>
      <c r="K9" s="10">
        <f t="shared" si="5"/>
        <v>4.6325059010713175E-2</v>
      </c>
      <c r="L9" s="15">
        <f>SUBTOTAL(9,L10:L18)</f>
        <v>12500</v>
      </c>
      <c r="M9" s="10">
        <f t="shared" si="6"/>
        <v>4.2193104404575299E-2</v>
      </c>
      <c r="N9" s="15">
        <f>SUBTOTAL(9,N10:N18)</f>
        <v>13000</v>
      </c>
      <c r="O9" s="10">
        <f t="shared" si="7"/>
        <v>4.3754321370307256E-2</v>
      </c>
      <c r="P9" s="9">
        <f>SUBTOTAL(9,P10:P18)</f>
        <v>13000</v>
      </c>
      <c r="Q9" s="10">
        <f t="shared" si="8"/>
        <v>4.6790618855244479E-2</v>
      </c>
      <c r="R9" s="9">
        <f>SUBTOTAL(9,R10:R18)</f>
        <v>13000</v>
      </c>
      <c r="S9" s="10">
        <f t="shared" si="9"/>
        <v>4.2463261113125393E-2</v>
      </c>
      <c r="T9" s="15">
        <f>SUBTOTAL(9,T10:T18)</f>
        <v>13000</v>
      </c>
      <c r="U9" s="10">
        <f t="shared" si="10"/>
        <v>4.3604558044827969E-2</v>
      </c>
      <c r="V9" s="15">
        <f>SUBTOTAL(9,V10:V18)</f>
        <v>12500</v>
      </c>
      <c r="W9" s="10">
        <f t="shared" si="11"/>
        <v>4.1799062410246959E-2</v>
      </c>
      <c r="X9" s="15">
        <f>SUBTOTAL(9,X10:X18)</f>
        <v>12500</v>
      </c>
      <c r="Y9" s="10">
        <f t="shared" si="12"/>
        <v>4.299716225608656E-2</v>
      </c>
      <c r="Z9" s="11">
        <f t="shared" si="0"/>
        <v>12791.666666666666</v>
      </c>
      <c r="AA9" s="10">
        <f t="shared" si="15"/>
        <v>4.5415069309949152E-2</v>
      </c>
      <c r="AB9" s="12">
        <f>SUBTOTAL(9,AB10:AB18)</f>
        <v>153500</v>
      </c>
      <c r="AC9" s="122">
        <f t="shared" si="16"/>
        <v>4.5415069309949152E-2</v>
      </c>
      <c r="AD9" s="63"/>
      <c r="AE9" s="5"/>
    </row>
    <row r="10" spans="1:130" s="59" customFormat="1" x14ac:dyDescent="0.2">
      <c r="A10" s="9" t="s">
        <v>21</v>
      </c>
      <c r="B10" s="9">
        <v>2500</v>
      </c>
      <c r="C10" s="10">
        <f t="shared" ref="C10:C18" si="17">B10/B$2</f>
        <v>1.0947304885199774E-2</v>
      </c>
      <c r="D10" s="9">
        <v>2500</v>
      </c>
      <c r="E10" s="10">
        <f t="shared" si="2"/>
        <v>1.0438718459412175E-2</v>
      </c>
      <c r="F10" s="9">
        <v>2500</v>
      </c>
      <c r="G10" s="10">
        <f t="shared" si="3"/>
        <v>9.0188917643520879E-3</v>
      </c>
      <c r="H10" s="9">
        <v>2500</v>
      </c>
      <c r="I10" s="10">
        <f t="shared" si="4"/>
        <v>8.3390071938280134E-3</v>
      </c>
      <c r="J10" s="9">
        <v>2500</v>
      </c>
      <c r="K10" s="10">
        <f t="shared" si="5"/>
        <v>9.2650118021426354E-3</v>
      </c>
      <c r="L10" s="9">
        <v>2500</v>
      </c>
      <c r="M10" s="10">
        <f t="shared" si="6"/>
        <v>8.4386208809150605E-3</v>
      </c>
      <c r="N10" s="9">
        <v>2500</v>
      </c>
      <c r="O10" s="10">
        <f t="shared" si="7"/>
        <v>8.4142925712129349E-3</v>
      </c>
      <c r="P10" s="9">
        <v>2500</v>
      </c>
      <c r="Q10" s="10">
        <f t="shared" si="8"/>
        <v>8.9981959337008619E-3</v>
      </c>
      <c r="R10" s="9">
        <v>2500</v>
      </c>
      <c r="S10" s="10">
        <f t="shared" si="9"/>
        <v>8.166011752524115E-3</v>
      </c>
      <c r="T10" s="9">
        <v>2500</v>
      </c>
      <c r="U10" s="10">
        <f t="shared" si="10"/>
        <v>8.3854919316976861E-3</v>
      </c>
      <c r="V10" s="9">
        <v>2500</v>
      </c>
      <c r="W10" s="10">
        <f t="shared" si="11"/>
        <v>8.3598124820493929E-3</v>
      </c>
      <c r="X10" s="9">
        <v>2500</v>
      </c>
      <c r="Y10" s="10">
        <f t="shared" si="12"/>
        <v>8.5994324512173124E-3</v>
      </c>
      <c r="Z10" s="11">
        <f t="shared" si="0"/>
        <v>2500</v>
      </c>
      <c r="AA10" s="10">
        <f t="shared" si="15"/>
        <v>8.8759093113907131E-3</v>
      </c>
      <c r="AB10" s="12">
        <f t="shared" ref="AB10:AB18" si="18">L10+N10+P10+R10+T10+V10+X10+J10+H10+F10+D10+B10</f>
        <v>30000</v>
      </c>
      <c r="AC10" s="122">
        <f t="shared" si="16"/>
        <v>8.8759093113907131E-3</v>
      </c>
      <c r="AD10" s="5"/>
      <c r="AE10" s="5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</row>
    <row r="11" spans="1:130" s="59" customFormat="1" x14ac:dyDescent="0.2">
      <c r="A11" s="9" t="s">
        <v>138</v>
      </c>
      <c r="B11" s="9">
        <v>3000</v>
      </c>
      <c r="C11" s="10">
        <f t="shared" si="17"/>
        <v>1.3136765862239729E-2</v>
      </c>
      <c r="D11" s="9">
        <v>3000</v>
      </c>
      <c r="E11" s="10">
        <f t="shared" si="2"/>
        <v>1.2526462151294609E-2</v>
      </c>
      <c r="F11" s="9">
        <v>3000</v>
      </c>
      <c r="G11" s="10">
        <f t="shared" si="3"/>
        <v>1.0822670117222506E-2</v>
      </c>
      <c r="H11" s="9">
        <v>3000</v>
      </c>
      <c r="I11" s="10">
        <f t="shared" si="4"/>
        <v>1.0006808632593617E-2</v>
      </c>
      <c r="J11" s="9">
        <v>3000</v>
      </c>
      <c r="K11" s="10">
        <f t="shared" si="5"/>
        <v>1.1118014162571162E-2</v>
      </c>
      <c r="L11" s="9">
        <v>3000</v>
      </c>
      <c r="M11" s="10">
        <f t="shared" si="6"/>
        <v>1.0126345057098071E-2</v>
      </c>
      <c r="N11" s="9">
        <v>3000</v>
      </c>
      <c r="O11" s="10">
        <f t="shared" si="7"/>
        <v>1.0097151085455522E-2</v>
      </c>
      <c r="P11" s="9">
        <v>3000</v>
      </c>
      <c r="Q11" s="10">
        <f t="shared" si="8"/>
        <v>1.0797835120441034E-2</v>
      </c>
      <c r="R11" s="9">
        <v>3000</v>
      </c>
      <c r="S11" s="10">
        <f t="shared" si="9"/>
        <v>9.7992141030289366E-3</v>
      </c>
      <c r="T11" s="9">
        <v>3000</v>
      </c>
      <c r="U11" s="10">
        <f t="shared" si="10"/>
        <v>1.0062590318037225E-2</v>
      </c>
      <c r="V11" s="9">
        <v>3000</v>
      </c>
      <c r="W11" s="10">
        <f t="shared" si="11"/>
        <v>1.003177497845927E-2</v>
      </c>
      <c r="X11" s="9">
        <v>3000</v>
      </c>
      <c r="Y11" s="10">
        <f t="shared" si="12"/>
        <v>1.0319318941460775E-2</v>
      </c>
      <c r="Z11" s="11">
        <f t="shared" si="0"/>
        <v>3000</v>
      </c>
      <c r="AA11" s="10">
        <f t="shared" si="15"/>
        <v>1.0651091173668857E-2</v>
      </c>
      <c r="AB11" s="12">
        <f t="shared" si="18"/>
        <v>36000</v>
      </c>
      <c r="AC11" s="122">
        <f t="shared" si="16"/>
        <v>1.0651091173668857E-2</v>
      </c>
      <c r="AD11" s="5"/>
      <c r="AE11" s="5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</row>
    <row r="12" spans="1:130" x14ac:dyDescent="0.2">
      <c r="A12" s="9" t="s">
        <v>129</v>
      </c>
      <c r="B12" s="9">
        <v>1000</v>
      </c>
      <c r="C12" s="10">
        <f t="shared" si="17"/>
        <v>4.3789219540799097E-3</v>
      </c>
      <c r="D12" s="15">
        <v>1000</v>
      </c>
      <c r="E12" s="10">
        <f t="shared" si="2"/>
        <v>4.17548738376487E-3</v>
      </c>
      <c r="F12" s="15">
        <v>1000</v>
      </c>
      <c r="G12" s="10">
        <f t="shared" si="3"/>
        <v>3.6075567057408352E-3</v>
      </c>
      <c r="H12" s="15">
        <v>1000</v>
      </c>
      <c r="I12" s="10">
        <f t="shared" si="4"/>
        <v>3.3356028775312057E-3</v>
      </c>
      <c r="J12" s="15">
        <v>1000</v>
      </c>
      <c r="K12" s="10">
        <f t="shared" si="5"/>
        <v>3.7060047208570539E-3</v>
      </c>
      <c r="L12" s="15">
        <v>1000</v>
      </c>
      <c r="M12" s="10">
        <f t="shared" si="6"/>
        <v>3.375448352366024E-3</v>
      </c>
      <c r="N12" s="15">
        <v>1000</v>
      </c>
      <c r="O12" s="10">
        <f t="shared" si="7"/>
        <v>3.3657170284851737E-3</v>
      </c>
      <c r="P12" s="15">
        <v>1000</v>
      </c>
      <c r="Q12" s="10">
        <f t="shared" si="8"/>
        <v>3.5992783734803443E-3</v>
      </c>
      <c r="R12" s="15">
        <v>1000</v>
      </c>
      <c r="S12" s="10">
        <f t="shared" si="9"/>
        <v>3.2664047010096458E-3</v>
      </c>
      <c r="T12" s="15">
        <v>1000</v>
      </c>
      <c r="U12" s="10">
        <f t="shared" si="10"/>
        <v>3.3541967726790746E-3</v>
      </c>
      <c r="V12" s="15">
        <v>1000</v>
      </c>
      <c r="W12" s="10">
        <f t="shared" si="11"/>
        <v>3.3439249928197568E-3</v>
      </c>
      <c r="X12" s="15">
        <v>1000</v>
      </c>
      <c r="Y12" s="10">
        <f t="shared" si="12"/>
        <v>3.439772980486925E-3</v>
      </c>
      <c r="Z12" s="11">
        <f t="shared" si="0"/>
        <v>1000</v>
      </c>
      <c r="AA12" s="10">
        <f t="shared" si="15"/>
        <v>3.5503637245562856E-3</v>
      </c>
      <c r="AB12" s="12">
        <f t="shared" si="18"/>
        <v>12000</v>
      </c>
      <c r="AC12" s="122">
        <f t="shared" si="16"/>
        <v>3.5503637245562856E-3</v>
      </c>
      <c r="AD12" s="5"/>
      <c r="AE12" s="5"/>
    </row>
    <row r="13" spans="1:130" x14ac:dyDescent="0.2">
      <c r="A13" s="9" t="s">
        <v>134</v>
      </c>
      <c r="B13" s="9">
        <v>2000</v>
      </c>
      <c r="C13" s="10">
        <f t="shared" si="17"/>
        <v>8.7578439081598194E-3</v>
      </c>
      <c r="D13" s="15">
        <v>2000</v>
      </c>
      <c r="E13" s="10">
        <f t="shared" si="2"/>
        <v>8.35097476752974E-3</v>
      </c>
      <c r="F13" s="15">
        <v>2000</v>
      </c>
      <c r="G13" s="10">
        <f t="shared" si="3"/>
        <v>7.2151134114816703E-3</v>
      </c>
      <c r="H13" s="15">
        <v>2000</v>
      </c>
      <c r="I13" s="10">
        <f t="shared" si="4"/>
        <v>6.6712057550624114E-3</v>
      </c>
      <c r="J13" s="15">
        <v>2000</v>
      </c>
      <c r="K13" s="10">
        <f t="shared" si="5"/>
        <v>7.4120094417141078E-3</v>
      </c>
      <c r="L13" s="15">
        <v>2000</v>
      </c>
      <c r="M13" s="10">
        <f t="shared" si="6"/>
        <v>6.750896704732048E-3</v>
      </c>
      <c r="N13" s="15">
        <v>2000</v>
      </c>
      <c r="O13" s="10">
        <f t="shared" si="7"/>
        <v>6.7314340569703474E-3</v>
      </c>
      <c r="P13" s="15">
        <v>2000</v>
      </c>
      <c r="Q13" s="10">
        <f t="shared" si="8"/>
        <v>7.1985567469606887E-3</v>
      </c>
      <c r="R13" s="15">
        <v>2000</v>
      </c>
      <c r="S13" s="10">
        <f t="shared" si="9"/>
        <v>6.5328094020192917E-3</v>
      </c>
      <c r="T13" s="15">
        <v>2000</v>
      </c>
      <c r="U13" s="10">
        <f t="shared" si="10"/>
        <v>6.7083935453581493E-3</v>
      </c>
      <c r="V13" s="15">
        <v>2000</v>
      </c>
      <c r="W13" s="10">
        <f t="shared" si="11"/>
        <v>6.6878499856395136E-3</v>
      </c>
      <c r="X13" s="15">
        <v>2000</v>
      </c>
      <c r="Y13" s="10">
        <f t="shared" si="12"/>
        <v>6.8795459609738499E-3</v>
      </c>
      <c r="Z13" s="11">
        <f t="shared" si="0"/>
        <v>2000</v>
      </c>
      <c r="AA13" s="10">
        <f t="shared" si="15"/>
        <v>7.1007274491125712E-3</v>
      </c>
      <c r="AB13" s="12">
        <f t="shared" si="18"/>
        <v>24000</v>
      </c>
      <c r="AC13" s="122">
        <f t="shared" si="16"/>
        <v>7.1007274491125712E-3</v>
      </c>
      <c r="AD13" s="5"/>
      <c r="AE13" s="5"/>
    </row>
    <row r="14" spans="1:130" x14ac:dyDescent="0.2">
      <c r="A14" s="9" t="s">
        <v>137</v>
      </c>
      <c r="B14" s="9">
        <v>2000</v>
      </c>
      <c r="C14" s="10">
        <f t="shared" si="17"/>
        <v>8.7578439081598194E-3</v>
      </c>
      <c r="D14" s="15">
        <v>2000</v>
      </c>
      <c r="E14" s="10">
        <f t="shared" si="2"/>
        <v>8.35097476752974E-3</v>
      </c>
      <c r="F14" s="15">
        <v>2000</v>
      </c>
      <c r="G14" s="10">
        <f t="shared" si="3"/>
        <v>7.2151134114816703E-3</v>
      </c>
      <c r="H14" s="15">
        <v>2500</v>
      </c>
      <c r="I14" s="10">
        <f t="shared" si="4"/>
        <v>8.3390071938280134E-3</v>
      </c>
      <c r="J14" s="15">
        <v>2500</v>
      </c>
      <c r="K14" s="10">
        <f t="shared" si="5"/>
        <v>9.2650118021426354E-3</v>
      </c>
      <c r="L14" s="15">
        <v>2500</v>
      </c>
      <c r="M14" s="10">
        <f t="shared" si="6"/>
        <v>8.4386208809150605E-3</v>
      </c>
      <c r="N14" s="15">
        <v>3000</v>
      </c>
      <c r="O14" s="10">
        <f t="shared" si="7"/>
        <v>1.0097151085455522E-2</v>
      </c>
      <c r="P14" s="15">
        <v>3000</v>
      </c>
      <c r="Q14" s="10">
        <f t="shared" si="8"/>
        <v>1.0797835120441034E-2</v>
      </c>
      <c r="R14" s="15">
        <v>3000</v>
      </c>
      <c r="S14" s="10">
        <f t="shared" si="9"/>
        <v>9.7992141030289366E-3</v>
      </c>
      <c r="T14" s="15">
        <v>3000</v>
      </c>
      <c r="U14" s="10">
        <f t="shared" si="10"/>
        <v>1.0062590318037225E-2</v>
      </c>
      <c r="V14" s="15">
        <v>3500</v>
      </c>
      <c r="W14" s="10">
        <f t="shared" si="11"/>
        <v>1.170373747486915E-2</v>
      </c>
      <c r="X14" s="15">
        <v>3500</v>
      </c>
      <c r="Y14" s="10">
        <f t="shared" si="12"/>
        <v>1.2039205431704237E-2</v>
      </c>
      <c r="Z14" s="11">
        <f>(B14+D14+F14+H14+J14+L14+N14+P14+R14+T14+V14+X14)/AE$2</f>
        <v>2708.3333333333335</v>
      </c>
      <c r="AA14" s="10">
        <f t="shared" si="15"/>
        <v>9.6155684206732737E-3</v>
      </c>
      <c r="AB14" s="12">
        <f t="shared" si="18"/>
        <v>32500</v>
      </c>
      <c r="AC14" s="122">
        <f t="shared" si="16"/>
        <v>9.6155684206732737E-3</v>
      </c>
      <c r="AD14" s="5"/>
      <c r="AE14" s="5"/>
    </row>
    <row r="15" spans="1:130" x14ac:dyDescent="0.2">
      <c r="A15" s="9" t="s">
        <v>22</v>
      </c>
      <c r="B15" s="9">
        <v>1000</v>
      </c>
      <c r="C15" s="10">
        <f t="shared" si="17"/>
        <v>4.3789219540799097E-3</v>
      </c>
      <c r="D15" s="15">
        <v>1000</v>
      </c>
      <c r="E15" s="10">
        <f t="shared" si="2"/>
        <v>4.17548738376487E-3</v>
      </c>
      <c r="F15" s="15">
        <v>1000</v>
      </c>
      <c r="G15" s="10">
        <f t="shared" si="3"/>
        <v>3.6075567057408352E-3</v>
      </c>
      <c r="H15" s="15">
        <v>1000</v>
      </c>
      <c r="I15" s="10">
        <f t="shared" si="4"/>
        <v>3.3356028775312057E-3</v>
      </c>
      <c r="J15" s="15">
        <v>1000</v>
      </c>
      <c r="K15" s="10">
        <f t="shared" si="5"/>
        <v>3.7060047208570539E-3</v>
      </c>
      <c r="L15" s="15">
        <v>1000</v>
      </c>
      <c r="M15" s="10">
        <f t="shared" si="6"/>
        <v>3.375448352366024E-3</v>
      </c>
      <c r="N15" s="15">
        <v>1000</v>
      </c>
      <c r="O15" s="10">
        <f t="shared" si="7"/>
        <v>3.3657170284851737E-3</v>
      </c>
      <c r="P15" s="15">
        <v>1000</v>
      </c>
      <c r="Q15" s="10">
        <f t="shared" si="8"/>
        <v>3.5992783734803443E-3</v>
      </c>
      <c r="R15" s="15">
        <v>1000</v>
      </c>
      <c r="S15" s="10">
        <f t="shared" si="9"/>
        <v>3.2664047010096458E-3</v>
      </c>
      <c r="T15" s="15">
        <v>1000</v>
      </c>
      <c r="U15" s="10">
        <f t="shared" si="10"/>
        <v>3.3541967726790746E-3</v>
      </c>
      <c r="V15" s="15"/>
      <c r="W15" s="10">
        <f t="shared" si="11"/>
        <v>0</v>
      </c>
      <c r="X15" s="15"/>
      <c r="Y15" s="10">
        <f t="shared" si="12"/>
        <v>0</v>
      </c>
      <c r="Z15" s="11">
        <f t="shared" si="0"/>
        <v>833.33333333333337</v>
      </c>
      <c r="AA15" s="10">
        <f t="shared" si="15"/>
        <v>2.958636437130238E-3</v>
      </c>
      <c r="AB15" s="12">
        <f t="shared" si="18"/>
        <v>10000</v>
      </c>
      <c r="AC15" s="122">
        <f t="shared" si="16"/>
        <v>2.958636437130238E-3</v>
      </c>
      <c r="AD15" s="5"/>
      <c r="AE15" s="5"/>
    </row>
    <row r="16" spans="1:130" x14ac:dyDescent="0.2">
      <c r="A16" s="132" t="s">
        <v>139</v>
      </c>
      <c r="B16" s="9">
        <v>500</v>
      </c>
      <c r="C16" s="10">
        <f t="shared" si="17"/>
        <v>2.1894609770399549E-3</v>
      </c>
      <c r="D16" s="15">
        <v>500</v>
      </c>
      <c r="E16" s="10">
        <f t="shared" si="2"/>
        <v>2.087743691882435E-3</v>
      </c>
      <c r="F16" s="15">
        <v>500</v>
      </c>
      <c r="G16" s="10">
        <f t="shared" si="3"/>
        <v>1.8037783528704176E-3</v>
      </c>
      <c r="H16" s="15">
        <v>500</v>
      </c>
      <c r="I16" s="10">
        <f t="shared" si="4"/>
        <v>1.6678014387656028E-3</v>
      </c>
      <c r="J16" s="15">
        <v>500</v>
      </c>
      <c r="K16" s="10">
        <f t="shared" si="5"/>
        <v>1.8530023604285269E-3</v>
      </c>
      <c r="L16" s="15">
        <v>500</v>
      </c>
      <c r="M16" s="10">
        <f t="shared" si="6"/>
        <v>1.687724176183012E-3</v>
      </c>
      <c r="N16" s="15">
        <v>500</v>
      </c>
      <c r="O16" s="10">
        <f t="shared" si="7"/>
        <v>1.6828585142425868E-3</v>
      </c>
      <c r="P16" s="15">
        <v>500</v>
      </c>
      <c r="Q16" s="10">
        <f t="shared" si="8"/>
        <v>1.7996391867401722E-3</v>
      </c>
      <c r="R16" s="15">
        <v>500</v>
      </c>
      <c r="S16" s="10">
        <f t="shared" si="9"/>
        <v>1.6332023505048229E-3</v>
      </c>
      <c r="T16" s="15">
        <v>500</v>
      </c>
      <c r="U16" s="10">
        <f t="shared" si="10"/>
        <v>1.6770983863395373E-3</v>
      </c>
      <c r="V16" s="15">
        <v>500</v>
      </c>
      <c r="W16" s="10">
        <f t="shared" si="11"/>
        <v>1.6719624964098784E-3</v>
      </c>
      <c r="X16" s="15">
        <v>500</v>
      </c>
      <c r="Y16" s="10">
        <f t="shared" si="12"/>
        <v>1.7198864902434625E-3</v>
      </c>
      <c r="Z16" s="11">
        <f t="shared" si="0"/>
        <v>500</v>
      </c>
      <c r="AA16" s="10">
        <f t="shared" si="15"/>
        <v>1.7751818622781428E-3</v>
      </c>
      <c r="AB16" s="12">
        <f t="shared" si="18"/>
        <v>6000</v>
      </c>
      <c r="AC16" s="122">
        <f t="shared" si="16"/>
        <v>1.7751818622781428E-3</v>
      </c>
      <c r="AD16" s="5"/>
      <c r="AE16" s="5"/>
    </row>
    <row r="17" spans="1:31" x14ac:dyDescent="0.2">
      <c r="A17" s="16" t="s">
        <v>135</v>
      </c>
      <c r="B17" s="9"/>
      <c r="C17" s="10">
        <f t="shared" si="17"/>
        <v>0</v>
      </c>
      <c r="D17" s="15">
        <v>3000</v>
      </c>
      <c r="E17" s="10">
        <f t="shared" si="2"/>
        <v>1.2526462151294609E-2</v>
      </c>
      <c r="F17" s="9"/>
      <c r="G17" s="10">
        <f t="shared" si="3"/>
        <v>0</v>
      </c>
      <c r="H17" s="15"/>
      <c r="I17" s="10">
        <f t="shared" si="4"/>
        <v>0</v>
      </c>
      <c r="J17" s="9"/>
      <c r="K17" s="10">
        <f t="shared" si="5"/>
        <v>0</v>
      </c>
      <c r="L17" s="15"/>
      <c r="M17" s="10">
        <f t="shared" si="6"/>
        <v>0</v>
      </c>
      <c r="N17" s="15"/>
      <c r="O17" s="10">
        <f t="shared" si="7"/>
        <v>0</v>
      </c>
      <c r="P17" s="9"/>
      <c r="Q17" s="10">
        <f t="shared" si="8"/>
        <v>0</v>
      </c>
      <c r="R17" s="9"/>
      <c r="S17" s="10">
        <f t="shared" si="9"/>
        <v>0</v>
      </c>
      <c r="T17" s="15"/>
      <c r="U17" s="10">
        <f t="shared" si="10"/>
        <v>0</v>
      </c>
      <c r="V17" s="15"/>
      <c r="W17" s="10">
        <f t="shared" si="11"/>
        <v>0</v>
      </c>
      <c r="X17" s="15"/>
      <c r="Y17" s="10">
        <f t="shared" si="12"/>
        <v>0</v>
      </c>
      <c r="Z17" s="11">
        <f t="shared" si="0"/>
        <v>250</v>
      </c>
      <c r="AA17" s="10">
        <f t="shared" si="15"/>
        <v>8.875909311390714E-4</v>
      </c>
      <c r="AB17" s="12">
        <f t="shared" si="18"/>
        <v>3000</v>
      </c>
      <c r="AC17" s="122">
        <f t="shared" si="16"/>
        <v>8.875909311390714E-4</v>
      </c>
      <c r="AD17" s="5"/>
      <c r="AE17" s="5"/>
    </row>
    <row r="18" spans="1:31" x14ac:dyDescent="0.2">
      <c r="A18" s="16" t="s">
        <v>142</v>
      </c>
      <c r="B18" s="9"/>
      <c r="C18" s="10">
        <f t="shared" si="17"/>
        <v>0</v>
      </c>
      <c r="D18" s="15"/>
      <c r="E18" s="10">
        <f t="shared" si="2"/>
        <v>0</v>
      </c>
      <c r="F18" s="15"/>
      <c r="G18" s="10">
        <f t="shared" si="3"/>
        <v>0</v>
      </c>
      <c r="H18" s="15"/>
      <c r="I18" s="10">
        <f t="shared" si="4"/>
        <v>0</v>
      </c>
      <c r="J18" s="9"/>
      <c r="K18" s="10">
        <f t="shared" si="5"/>
        <v>0</v>
      </c>
      <c r="L18" s="15"/>
      <c r="M18" s="10">
        <f t="shared" si="6"/>
        <v>0</v>
      </c>
      <c r="N18" s="15"/>
      <c r="O18" s="10">
        <f t="shared" si="7"/>
        <v>0</v>
      </c>
      <c r="P18" s="9"/>
      <c r="Q18" s="10">
        <f t="shared" si="8"/>
        <v>0</v>
      </c>
      <c r="R18" s="15"/>
      <c r="S18" s="10">
        <f t="shared" si="9"/>
        <v>0</v>
      </c>
      <c r="T18" s="15"/>
      <c r="U18" s="10">
        <f t="shared" si="10"/>
        <v>0</v>
      </c>
      <c r="V18" s="15"/>
      <c r="W18" s="10">
        <f t="shared" si="11"/>
        <v>0</v>
      </c>
      <c r="X18" s="15"/>
      <c r="Y18" s="10">
        <f t="shared" si="12"/>
        <v>0</v>
      </c>
      <c r="Z18" s="11">
        <f t="shared" si="0"/>
        <v>0</v>
      </c>
      <c r="AA18" s="10">
        <f t="shared" si="15"/>
        <v>0</v>
      </c>
      <c r="AB18" s="12">
        <f t="shared" si="18"/>
        <v>0</v>
      </c>
      <c r="AC18" s="122">
        <f t="shared" si="16"/>
        <v>0</v>
      </c>
      <c r="AD18" s="5"/>
      <c r="AE18" s="118"/>
    </row>
    <row r="19" spans="1:31" x14ac:dyDescent="0.2">
      <c r="A19" s="73" t="s">
        <v>23</v>
      </c>
      <c r="B19" s="71">
        <f>B2-B6</f>
        <v>179347.15</v>
      </c>
      <c r="C19" s="6">
        <f t="shared" si="1"/>
        <v>0.78534717253666264</v>
      </c>
      <c r="D19" s="71">
        <f>D2-D6</f>
        <v>187204.32639999999</v>
      </c>
      <c r="E19" s="6">
        <f>D19/D$2</f>
        <v>0.78166930306940074</v>
      </c>
      <c r="F19" s="71">
        <f>F2-F6</f>
        <v>226127.03999999998</v>
      </c>
      <c r="G19" s="6">
        <f t="shared" si="3"/>
        <v>0.81576611950132594</v>
      </c>
      <c r="H19" s="71">
        <f>H2-H6</f>
        <v>242194.53280000002</v>
      </c>
      <c r="I19" s="6">
        <f t="shared" si="4"/>
        <v>0.80786478053000599</v>
      </c>
      <c r="J19" s="71">
        <f>J2-J6</f>
        <v>208615.01919999998</v>
      </c>
      <c r="K19" s="6">
        <f t="shared" si="5"/>
        <v>0.7731282459968849</v>
      </c>
      <c r="L19" s="71">
        <f>L2-L6</f>
        <v>239833.76240000001</v>
      </c>
      <c r="M19" s="6">
        <f>L19/L$2</f>
        <v>0.8095464781348245</v>
      </c>
      <c r="N19" s="71">
        <f>N2-N6</f>
        <v>235962.3996</v>
      </c>
      <c r="O19" s="6">
        <f t="shared" si="7"/>
        <v>0.79418266641594315</v>
      </c>
      <c r="P19" s="71">
        <f>P2-P6</f>
        <v>216545.30839999998</v>
      </c>
      <c r="Q19" s="6">
        <f t="shared" si="8"/>
        <v>0.77940684540275151</v>
      </c>
      <c r="R19" s="71">
        <f>R2-R6</f>
        <v>247943.64480000001</v>
      </c>
      <c r="S19" s="6">
        <f t="shared" si="9"/>
        <v>0.80988428696018577</v>
      </c>
      <c r="T19" s="71">
        <f>T2-T6</f>
        <v>235400.44999999995</v>
      </c>
      <c r="U19" s="6">
        <f t="shared" si="10"/>
        <v>0.78957942967720174</v>
      </c>
      <c r="V19" s="71">
        <f>V2-V6</f>
        <v>238098.33480000001</v>
      </c>
      <c r="W19" s="6">
        <f t="shared" si="11"/>
        <v>0.79618297248648606</v>
      </c>
      <c r="X19" s="71">
        <f>X2-X6</f>
        <v>229618.89679999999</v>
      </c>
      <c r="Y19" s="6">
        <f t="shared" si="12"/>
        <v>0.78983687702185557</v>
      </c>
      <c r="Z19" s="70">
        <f t="shared" si="0"/>
        <v>223907.57209999999</v>
      </c>
      <c r="AA19" s="6">
        <f t="shared" si="13"/>
        <v>0.79495332163731103</v>
      </c>
      <c r="AB19" s="71">
        <f>SUM(AB2-AB6)</f>
        <v>2686890.8651999999</v>
      </c>
      <c r="AC19" s="124">
        <f>AB19/AB$2</f>
        <v>0.79495332163731103</v>
      </c>
      <c r="AD19" s="5"/>
      <c r="AE19" s="5"/>
    </row>
    <row r="20" spans="1:31" x14ac:dyDescent="0.2">
      <c r="A20" s="73" t="s">
        <v>24</v>
      </c>
      <c r="B20" s="71">
        <f>SUBTOTAL(9,B21:B67)</f>
        <v>134861.78999999998</v>
      </c>
      <c r="C20" s="6">
        <f t="shared" si="1"/>
        <v>0.59054925299751437</v>
      </c>
      <c r="D20" s="71">
        <f>SUBTOTAL(9,D21:D67)</f>
        <v>120762.53</v>
      </c>
      <c r="E20" s="6">
        <f t="shared" ref="E20:E79" si="19">D20/D$2</f>
        <v>0.50424242044652656</v>
      </c>
      <c r="F20" s="71">
        <f>SUBTOTAL(9,F21:F67)</f>
        <v>126887.85</v>
      </c>
      <c r="G20" s="6">
        <f t="shared" si="3"/>
        <v>0.45775511414453723</v>
      </c>
      <c r="H20" s="71">
        <f>SUBTOTAL(9,H21:H67)</f>
        <v>138316.39000000001</v>
      </c>
      <c r="I20" s="6">
        <f t="shared" si="4"/>
        <v>0.46136854849372849</v>
      </c>
      <c r="J20" s="71">
        <f>SUBTOTAL(9,J21:J67)</f>
        <v>125960.89000000001</v>
      </c>
      <c r="K20" s="6">
        <f t="shared" si="5"/>
        <v>0.46681165298335608</v>
      </c>
      <c r="L20" s="71">
        <f>SUBTOTAL(9,L21:L67)</f>
        <v>120007.31999999999</v>
      </c>
      <c r="M20" s="6">
        <f t="shared" ref="M20:M79" si="20">L20/L$2</f>
        <v>0.40507851056586214</v>
      </c>
      <c r="N20" s="71">
        <f>SUBTOTAL(9,N21:N67)</f>
        <v>133958.36000000002</v>
      </c>
      <c r="O20" s="6">
        <f t="shared" si="7"/>
        <v>0.45086593335994724</v>
      </c>
      <c r="P20" s="71">
        <f>SUBTOTAL(9,P21:P67)</f>
        <v>132792.62</v>
      </c>
      <c r="Q20" s="6">
        <f t="shared" si="8"/>
        <v>0.47795760532379344</v>
      </c>
      <c r="R20" s="71">
        <f>SUBTOTAL(9,R21:R67)</f>
        <v>126321.51</v>
      </c>
      <c r="S20" s="6">
        <f t="shared" si="9"/>
        <v>0.41261717410263693</v>
      </c>
      <c r="T20" s="71">
        <f>SUBTOTAL(9,T21:T67)</f>
        <v>137095.06000000003</v>
      </c>
      <c r="U20" s="6">
        <f t="shared" si="10"/>
        <v>0.45984380780224421</v>
      </c>
      <c r="V20" s="71">
        <f>SUBTOTAL(9,V21:V67)</f>
        <v>139478.82</v>
      </c>
      <c r="W20" s="6">
        <f t="shared" si="11"/>
        <v>0.46640671216700819</v>
      </c>
      <c r="X20" s="71">
        <f>SUBTOTAL(9,X21:X67)</f>
        <v>156228.82</v>
      </c>
      <c r="Y20" s="6">
        <f t="shared" si="12"/>
        <v>0.53739167380935526</v>
      </c>
      <c r="Z20" s="70">
        <f>(B20+D20+F20+H20+J20+L20+N20+P20+R20+T20+V20+X20)/AE$2</f>
        <v>132722.66333333333</v>
      </c>
      <c r="AA20" s="6">
        <f t="shared" si="13"/>
        <v>0.47121372932516326</v>
      </c>
      <c r="AB20" s="72">
        <f>SUBTOTAL(9,AB21:AB67)</f>
        <v>1592671.9600000002</v>
      </c>
      <c r="AC20" s="125">
        <f>AB20/AB$2</f>
        <v>0.47121372932516331</v>
      </c>
      <c r="AD20" s="63"/>
      <c r="AE20" s="5"/>
    </row>
    <row r="21" spans="1:31" x14ac:dyDescent="0.2">
      <c r="A21" s="9" t="s">
        <v>25</v>
      </c>
      <c r="B21" s="9">
        <v>1600</v>
      </c>
      <c r="C21" s="10">
        <f t="shared" si="1"/>
        <v>7.0062751265278552E-3</v>
      </c>
      <c r="D21" s="9">
        <v>1600</v>
      </c>
      <c r="E21" s="10">
        <f t="shared" si="19"/>
        <v>6.6807798140237924E-3</v>
      </c>
      <c r="F21" s="9">
        <v>1600</v>
      </c>
      <c r="G21" s="10">
        <f t="shared" si="3"/>
        <v>5.7720907291853359E-3</v>
      </c>
      <c r="H21" s="9">
        <v>1600</v>
      </c>
      <c r="I21" s="10">
        <f t="shared" si="4"/>
        <v>5.3369646040499286E-3</v>
      </c>
      <c r="J21" s="9">
        <v>1600</v>
      </c>
      <c r="K21" s="10">
        <f t="shared" si="5"/>
        <v>5.9296075533712862E-3</v>
      </c>
      <c r="L21" s="9">
        <v>1600</v>
      </c>
      <c r="M21" s="10">
        <f t="shared" si="20"/>
        <v>5.4007173637856381E-3</v>
      </c>
      <c r="N21" s="9">
        <v>1600</v>
      </c>
      <c r="O21" s="10">
        <f t="shared" si="7"/>
        <v>5.3851472455762779E-3</v>
      </c>
      <c r="P21" s="9">
        <v>1600</v>
      </c>
      <c r="Q21" s="10">
        <f t="shared" si="8"/>
        <v>5.7588453975685513E-3</v>
      </c>
      <c r="R21" s="9">
        <v>1600</v>
      </c>
      <c r="S21" s="10">
        <f t="shared" si="9"/>
        <v>5.226247521615433E-3</v>
      </c>
      <c r="T21" s="9">
        <v>1600</v>
      </c>
      <c r="U21" s="10">
        <f t="shared" si="10"/>
        <v>5.3667148362865199E-3</v>
      </c>
      <c r="V21" s="9">
        <v>1600</v>
      </c>
      <c r="W21" s="10">
        <f t="shared" si="11"/>
        <v>5.3502799885116106E-3</v>
      </c>
      <c r="X21" s="9">
        <v>1600</v>
      </c>
      <c r="Y21" s="10">
        <f t="shared" si="12"/>
        <v>5.5036367687790796E-3</v>
      </c>
      <c r="Z21" s="11">
        <f t="shared" si="0"/>
        <v>1600</v>
      </c>
      <c r="AA21" s="10">
        <f t="shared" si="13"/>
        <v>5.6805819592900568E-3</v>
      </c>
      <c r="AB21" s="12">
        <f>L21+N21+P21+R21+T21+V21+X21+J21+H21+F21+D21+B21</f>
        <v>19200</v>
      </c>
      <c r="AC21" s="122">
        <f>AB21/AB$2</f>
        <v>5.6805819592900568E-3</v>
      </c>
      <c r="AD21" s="5"/>
      <c r="AE21" s="5"/>
    </row>
    <row r="22" spans="1:31" x14ac:dyDescent="0.2">
      <c r="A22" s="9" t="s">
        <v>26</v>
      </c>
      <c r="B22" s="9">
        <v>750</v>
      </c>
      <c r="C22" s="10">
        <f t="shared" si="1"/>
        <v>3.2841914655599323E-3</v>
      </c>
      <c r="D22" s="15">
        <v>750</v>
      </c>
      <c r="E22" s="10">
        <f t="shared" si="19"/>
        <v>3.1316155378236523E-3</v>
      </c>
      <c r="F22" s="9">
        <f>750+250</f>
        <v>1000</v>
      </c>
      <c r="G22" s="17">
        <f t="shared" si="3"/>
        <v>3.6075567057408352E-3</v>
      </c>
      <c r="H22" s="15">
        <v>750</v>
      </c>
      <c r="I22" s="10">
        <f t="shared" si="4"/>
        <v>2.5017021581484043E-3</v>
      </c>
      <c r="J22" s="9">
        <v>750</v>
      </c>
      <c r="K22" s="10">
        <f t="shared" si="5"/>
        <v>2.7795035406427905E-3</v>
      </c>
      <c r="L22" s="15">
        <v>750</v>
      </c>
      <c r="M22" s="10">
        <f t="shared" si="20"/>
        <v>2.5315862642745178E-3</v>
      </c>
      <c r="N22" s="15">
        <v>750</v>
      </c>
      <c r="O22" s="10">
        <f t="shared" si="7"/>
        <v>2.5242877713638804E-3</v>
      </c>
      <c r="P22" s="9">
        <v>750</v>
      </c>
      <c r="Q22" s="10">
        <f t="shared" si="8"/>
        <v>2.6994587801102586E-3</v>
      </c>
      <c r="R22" s="9">
        <v>750</v>
      </c>
      <c r="S22" s="10">
        <f t="shared" si="9"/>
        <v>2.4498035257572342E-3</v>
      </c>
      <c r="T22" s="15">
        <v>750</v>
      </c>
      <c r="U22" s="10">
        <f t="shared" si="10"/>
        <v>2.5156475795093062E-3</v>
      </c>
      <c r="V22" s="15">
        <v>750</v>
      </c>
      <c r="W22" s="10">
        <f t="shared" si="11"/>
        <v>2.5079437446148176E-3</v>
      </c>
      <c r="X22" s="15">
        <v>750</v>
      </c>
      <c r="Y22" s="10">
        <f t="shared" si="12"/>
        <v>2.5798297353651937E-3</v>
      </c>
      <c r="Z22" s="11">
        <f>(B22+D22+F22+H22+J22+L22+N22+P22+R22+T22+V22+X22)/AE$2</f>
        <v>770.83333333333337</v>
      </c>
      <c r="AA22" s="10">
        <f t="shared" si="13"/>
        <v>2.7367387043454702E-3</v>
      </c>
      <c r="AB22" s="12">
        <f>L22+N22+P22+R22+T22+V22+X22+J22+H22+F22+D22+B22</f>
        <v>9250</v>
      </c>
      <c r="AC22" s="122">
        <f t="shared" ref="AC22:AC67" si="21">AB22/AB$2</f>
        <v>2.7367387043454698E-3</v>
      </c>
      <c r="AD22" s="5"/>
      <c r="AE22" s="5"/>
    </row>
    <row r="23" spans="1:31" x14ac:dyDescent="0.2">
      <c r="A23" s="9" t="s">
        <v>127</v>
      </c>
      <c r="B23" s="9">
        <v>950</v>
      </c>
      <c r="C23" s="10">
        <f t="shared" si="1"/>
        <v>4.1599758563759144E-3</v>
      </c>
      <c r="D23" s="15">
        <v>950</v>
      </c>
      <c r="E23" s="10">
        <f t="shared" si="19"/>
        <v>3.9667130145766265E-3</v>
      </c>
      <c r="F23" s="9">
        <v>950</v>
      </c>
      <c r="G23" s="17">
        <f t="shared" si="3"/>
        <v>3.4271788704537932E-3</v>
      </c>
      <c r="H23" s="15">
        <v>950</v>
      </c>
      <c r="I23" s="10">
        <f t="shared" si="4"/>
        <v>3.1688227336546452E-3</v>
      </c>
      <c r="J23" s="9">
        <v>950</v>
      </c>
      <c r="K23" s="10">
        <f t="shared" si="5"/>
        <v>3.5207044848142013E-3</v>
      </c>
      <c r="L23" s="15">
        <v>950</v>
      </c>
      <c r="M23" s="10">
        <f t="shared" si="20"/>
        <v>3.2066759347477228E-3</v>
      </c>
      <c r="N23" s="15">
        <v>950</v>
      </c>
      <c r="O23" s="10">
        <f t="shared" si="7"/>
        <v>3.1974311770609151E-3</v>
      </c>
      <c r="P23" s="9">
        <v>950</v>
      </c>
      <c r="Q23" s="10">
        <f t="shared" si="8"/>
        <v>3.4193144548063273E-3</v>
      </c>
      <c r="R23" s="9">
        <v>950</v>
      </c>
      <c r="S23" s="10">
        <f t="shared" si="9"/>
        <v>3.1030844659591635E-3</v>
      </c>
      <c r="T23" s="15">
        <v>950</v>
      </c>
      <c r="U23" s="10">
        <f t="shared" si="10"/>
        <v>3.1864869340451209E-3</v>
      </c>
      <c r="V23" s="15">
        <v>950</v>
      </c>
      <c r="W23" s="10">
        <f t="shared" si="11"/>
        <v>3.1767287431787691E-3</v>
      </c>
      <c r="X23" s="15">
        <v>950</v>
      </c>
      <c r="Y23" s="10">
        <f t="shared" si="12"/>
        <v>3.2677843314625784E-3</v>
      </c>
      <c r="Z23" s="11">
        <f>(B23+D23+F23+H23+J23+L23+N23+P23+R23+T23+V23+X23)/AE$2</f>
        <v>950</v>
      </c>
      <c r="AA23" s="10">
        <f t="shared" si="13"/>
        <v>3.372845538328471E-3</v>
      </c>
      <c r="AB23" s="12">
        <f>L23+N23+P23+R23+T23+V23+X23+J23+H23+F23+D23+B23</f>
        <v>11400</v>
      </c>
      <c r="AC23" s="122">
        <f t="shared" si="21"/>
        <v>3.372845538328471E-3</v>
      </c>
      <c r="AD23" s="5"/>
      <c r="AE23" s="5"/>
    </row>
    <row r="24" spans="1:31" x14ac:dyDescent="0.2">
      <c r="A24" s="15" t="s">
        <v>27</v>
      </c>
      <c r="B24" s="9">
        <v>338.99</v>
      </c>
      <c r="C24" s="10">
        <f t="shared" si="1"/>
        <v>1.4844107532135486E-3</v>
      </c>
      <c r="D24" s="9">
        <v>438.39</v>
      </c>
      <c r="E24" s="10">
        <f t="shared" si="19"/>
        <v>1.8304919141686814E-3</v>
      </c>
      <c r="F24" s="9">
        <v>654</v>
      </c>
      <c r="G24" s="17">
        <f t="shared" si="3"/>
        <v>2.3593420855545061E-3</v>
      </c>
      <c r="H24" s="9">
        <v>476.28</v>
      </c>
      <c r="I24" s="10">
        <f t="shared" si="4"/>
        <v>1.5886809385105625E-3</v>
      </c>
      <c r="J24" s="9">
        <v>470.04</v>
      </c>
      <c r="K24" s="10">
        <f t="shared" si="5"/>
        <v>1.7419704589916496E-3</v>
      </c>
      <c r="L24" s="9">
        <v>354.06</v>
      </c>
      <c r="M24" s="10">
        <f t="shared" si="20"/>
        <v>1.1951112436387145E-3</v>
      </c>
      <c r="N24" s="9">
        <v>194.01</v>
      </c>
      <c r="O24" s="10">
        <f t="shared" si="7"/>
        <v>6.5298276069640851E-4</v>
      </c>
      <c r="P24" s="9">
        <v>252.24</v>
      </c>
      <c r="Q24" s="10">
        <f t="shared" si="8"/>
        <v>9.0788197692668216E-4</v>
      </c>
      <c r="R24" s="9">
        <v>243.41</v>
      </c>
      <c r="S24" s="10">
        <f t="shared" si="9"/>
        <v>7.9507556827275786E-4</v>
      </c>
      <c r="T24" s="9">
        <v>230.7</v>
      </c>
      <c r="U24" s="10">
        <f t="shared" si="10"/>
        <v>7.7381319545706247E-4</v>
      </c>
      <c r="V24" s="9">
        <v>500</v>
      </c>
      <c r="W24" s="10">
        <f t="shared" si="11"/>
        <v>1.6719624964098784E-3</v>
      </c>
      <c r="X24" s="9">
        <v>500</v>
      </c>
      <c r="Y24" s="10">
        <f t="shared" si="12"/>
        <v>1.7198864902434625E-3</v>
      </c>
      <c r="Z24" s="11">
        <f t="shared" si="0"/>
        <v>387.67666666666668</v>
      </c>
      <c r="AA24" s="10">
        <f t="shared" si="13"/>
        <v>1.3763931741902322E-3</v>
      </c>
      <c r="AB24" s="12">
        <f>L24+N24+P24+R24+T24+V24+X24+J24+H24+F24+D24+B24</f>
        <v>4652.12</v>
      </c>
      <c r="AC24" s="122">
        <f t="shared" si="21"/>
        <v>1.3763931741902322E-3</v>
      </c>
      <c r="AD24" s="5"/>
      <c r="AE24" s="5"/>
    </row>
    <row r="25" spans="1:31" x14ac:dyDescent="0.2">
      <c r="A25" s="9" t="s">
        <v>28</v>
      </c>
      <c r="B25" s="9">
        <f>SUBTOTAL(9,B26:B40)</f>
        <v>84784</v>
      </c>
      <c r="C25" s="10">
        <f>B25/B$2</f>
        <v>0.37126251895471107</v>
      </c>
      <c r="D25" s="9">
        <f>SUBTOTAL(9,D26:D41)</f>
        <v>71284</v>
      </c>
      <c r="E25" s="10">
        <f t="shared" si="19"/>
        <v>0.29764544266429499</v>
      </c>
      <c r="F25" s="9">
        <f>SUBTOTAL(9,F26:F41)</f>
        <v>77284</v>
      </c>
      <c r="G25" s="17">
        <f t="shared" si="3"/>
        <v>0.27880641244647469</v>
      </c>
      <c r="H25" s="9">
        <f>SUBTOTAL(9,H26:H40)</f>
        <v>86931</v>
      </c>
      <c r="I25" s="10">
        <f t="shared" si="4"/>
        <v>0.28996729374666524</v>
      </c>
      <c r="J25" s="9">
        <f>SUBTOTAL(9,J26:J41)</f>
        <v>76431</v>
      </c>
      <c r="K25" s="10">
        <f t="shared" si="5"/>
        <v>0.28325364681982546</v>
      </c>
      <c r="L25" s="9">
        <f>SUBTOTAL(9,L26:L40)</f>
        <v>69931</v>
      </c>
      <c r="M25" s="10">
        <f t="shared" si="20"/>
        <v>0.23604847872930843</v>
      </c>
      <c r="N25" s="9">
        <f>SUBTOTAL(9,N26:N41)</f>
        <v>85381</v>
      </c>
      <c r="O25" s="10">
        <f t="shared" si="7"/>
        <v>0.28736828560909261</v>
      </c>
      <c r="P25" s="9">
        <f>SUBTOTAL(9,P26:P41)</f>
        <v>83851</v>
      </c>
      <c r="Q25" s="10">
        <f t="shared" si="8"/>
        <v>0.30180309089470037</v>
      </c>
      <c r="R25" s="9">
        <f>SUBTOTAL(9,R26:R41)</f>
        <v>78057.459999999992</v>
      </c>
      <c r="S25" s="10">
        <f t="shared" si="9"/>
        <v>0.25496725429287237</v>
      </c>
      <c r="T25" s="9">
        <f>SUBTOTAL(9,T26:T41)</f>
        <v>87851</v>
      </c>
      <c r="U25" s="10">
        <f t="shared" si="10"/>
        <v>0.29466954067662937</v>
      </c>
      <c r="V25" s="9">
        <f>SUBTOTAL(9,V26:V41)</f>
        <v>89542</v>
      </c>
      <c r="W25" s="10">
        <f t="shared" si="11"/>
        <v>0.29942173170706665</v>
      </c>
      <c r="X25" s="9">
        <f>SUBTOTAL(9,X26:X41)</f>
        <v>106542</v>
      </c>
      <c r="Y25" s="10">
        <f t="shared" si="12"/>
        <v>0.36648029288703793</v>
      </c>
      <c r="Z25" s="11">
        <f>(B25+D25+F25+H25+J25+L25+N25+P25+R25+T25+V25+X25)/AE$2</f>
        <v>83155.78833333333</v>
      </c>
      <c r="AA25" s="10">
        <f t="shared" si="13"/>
        <v>0.29523329438554741</v>
      </c>
      <c r="AB25" s="12">
        <f>SUBTOTAL(9,AB26:AB41)</f>
        <v>1002369.46</v>
      </c>
      <c r="AC25" s="122">
        <f t="shared" si="21"/>
        <v>0.29656468078225606</v>
      </c>
      <c r="AD25" s="5"/>
      <c r="AE25" s="5"/>
    </row>
    <row r="26" spans="1:31" x14ac:dyDescent="0.2">
      <c r="A26" s="9" t="s">
        <v>29</v>
      </c>
      <c r="B26" s="9">
        <f>26000*1.057</f>
        <v>27482</v>
      </c>
      <c r="C26" s="10">
        <f>B26/B$2</f>
        <v>0.12034153314202407</v>
      </c>
      <c r="D26" s="9">
        <f>26000*1.057</f>
        <v>27482</v>
      </c>
      <c r="E26" s="10">
        <f t="shared" si="19"/>
        <v>0.11475074428062616</v>
      </c>
      <c r="F26" s="9">
        <f>D26</f>
        <v>27482</v>
      </c>
      <c r="G26" s="17">
        <f t="shared" si="3"/>
        <v>9.9142873387169636E-2</v>
      </c>
      <c r="H26" s="9">
        <f>F26</f>
        <v>27482</v>
      </c>
      <c r="I26" s="10">
        <f t="shared" si="4"/>
        <v>9.1669038280312587E-2</v>
      </c>
      <c r="J26" s="9">
        <f>H26</f>
        <v>27482</v>
      </c>
      <c r="K26" s="10">
        <f t="shared" si="5"/>
        <v>0.10184842173859356</v>
      </c>
      <c r="L26" s="9">
        <f>J26</f>
        <v>27482</v>
      </c>
      <c r="M26" s="10">
        <f t="shared" si="20"/>
        <v>9.2764071619723068E-2</v>
      </c>
      <c r="N26" s="9">
        <f>L26</f>
        <v>27482</v>
      </c>
      <c r="O26" s="10">
        <f t="shared" si="7"/>
        <v>9.2496635376829547E-2</v>
      </c>
      <c r="P26" s="9">
        <f>N26</f>
        <v>27482</v>
      </c>
      <c r="Q26" s="10">
        <f t="shared" si="8"/>
        <v>9.8915368259986827E-2</v>
      </c>
      <c r="R26" s="9">
        <f>P26</f>
        <v>27482</v>
      </c>
      <c r="S26" s="10">
        <f t="shared" si="9"/>
        <v>8.9767333993147083E-2</v>
      </c>
      <c r="T26" s="9">
        <f>R26</f>
        <v>27482</v>
      </c>
      <c r="U26" s="10">
        <f t="shared" si="10"/>
        <v>9.2180035706766333E-2</v>
      </c>
      <c r="V26" s="9">
        <f>T26</f>
        <v>27482</v>
      </c>
      <c r="W26" s="10">
        <f t="shared" si="11"/>
        <v>9.1897746652672557E-2</v>
      </c>
      <c r="X26" s="9">
        <f>V26</f>
        <v>27482</v>
      </c>
      <c r="Y26" s="10">
        <f t="shared" si="12"/>
        <v>9.4531841049741661E-2</v>
      </c>
      <c r="Z26" s="11">
        <f>(B26+D26+F26+H26+J26+L26+N26+P26+R26+T26+V26+X26)/AE$2</f>
        <v>27482</v>
      </c>
      <c r="AA26" s="10">
        <f t="shared" si="13"/>
        <v>9.757109587825584E-2</v>
      </c>
      <c r="AB26" s="12">
        <f>L26+N26+P26+R26+T26+V26+X26+J26+H26+F26+D26+B26</f>
        <v>329784</v>
      </c>
      <c r="AC26" s="122">
        <f t="shared" si="21"/>
        <v>9.757109587825584E-2</v>
      </c>
      <c r="AD26" s="5"/>
      <c r="AE26" s="5"/>
    </row>
    <row r="27" spans="1:31" x14ac:dyDescent="0.2">
      <c r="A27" s="9" t="s">
        <v>133</v>
      </c>
      <c r="B27" s="9">
        <v>7500</v>
      </c>
      <c r="C27" s="10">
        <f t="shared" ref="C27:C67" si="22">B27/B$2</f>
        <v>3.2841914655599325E-2</v>
      </c>
      <c r="D27" s="9">
        <v>7500</v>
      </c>
      <c r="E27" s="10">
        <f t="shared" si="19"/>
        <v>3.1316155378236524E-2</v>
      </c>
      <c r="F27" s="9">
        <v>7500</v>
      </c>
      <c r="G27" s="17">
        <f t="shared" si="3"/>
        <v>2.7056675293056262E-2</v>
      </c>
      <c r="H27" s="9">
        <v>7500</v>
      </c>
      <c r="I27" s="10">
        <f t="shared" si="4"/>
        <v>2.5017021581484042E-2</v>
      </c>
      <c r="J27" s="9">
        <v>7500</v>
      </c>
      <c r="K27" s="10">
        <f t="shared" si="5"/>
        <v>2.7795035406427904E-2</v>
      </c>
      <c r="L27" s="9">
        <v>7500</v>
      </c>
      <c r="M27" s="10">
        <f t="shared" si="20"/>
        <v>2.5315862642745178E-2</v>
      </c>
      <c r="N27" s="9">
        <v>7500</v>
      </c>
      <c r="O27" s="10">
        <f t="shared" si="7"/>
        <v>2.5242877713638805E-2</v>
      </c>
      <c r="P27" s="9">
        <v>7500</v>
      </c>
      <c r="Q27" s="10">
        <f t="shared" si="8"/>
        <v>2.6994587801102584E-2</v>
      </c>
      <c r="R27" s="9">
        <v>7500</v>
      </c>
      <c r="S27" s="10">
        <f t="shared" si="9"/>
        <v>2.4498035257572343E-2</v>
      </c>
      <c r="T27" s="9">
        <v>7500</v>
      </c>
      <c r="U27" s="10">
        <f t="shared" si="10"/>
        <v>2.5156475795093062E-2</v>
      </c>
      <c r="V27" s="9">
        <v>7500</v>
      </c>
      <c r="W27" s="10">
        <f t="shared" si="11"/>
        <v>2.5079437446148177E-2</v>
      </c>
      <c r="X27" s="9">
        <v>7500</v>
      </c>
      <c r="Y27" s="10">
        <f t="shared" si="12"/>
        <v>2.5798297353651935E-2</v>
      </c>
      <c r="Z27" s="11">
        <f>(B27+D27+F27+H27+J27+L27+N27+P27+R27+T27+V27+X27)/AE$2</f>
        <v>7500</v>
      </c>
      <c r="AA27" s="10">
        <f t="shared" si="13"/>
        <v>2.6627727934172139E-2</v>
      </c>
      <c r="AB27" s="12">
        <f>L27+N27+P27+R27+T27+V27+X27+J27+H27+F27+D27+B27</f>
        <v>90000</v>
      </c>
      <c r="AC27" s="122">
        <f t="shared" si="21"/>
        <v>2.6627727934172139E-2</v>
      </c>
      <c r="AD27" s="5"/>
      <c r="AE27" s="5"/>
    </row>
    <row r="28" spans="1:31" x14ac:dyDescent="0.2">
      <c r="A28" s="9" t="s">
        <v>140</v>
      </c>
      <c r="B28" s="9">
        <v>6600</v>
      </c>
      <c r="C28" s="10">
        <f t="shared" si="22"/>
        <v>2.8900884896927402E-2</v>
      </c>
      <c r="D28" s="9">
        <v>6600</v>
      </c>
      <c r="E28" s="10">
        <f t="shared" si="19"/>
        <v>2.7558216732848143E-2</v>
      </c>
      <c r="F28" s="9">
        <v>6600</v>
      </c>
      <c r="G28" s="17">
        <f t="shared" si="3"/>
        <v>2.380987425788951E-2</v>
      </c>
      <c r="H28" s="9">
        <v>6600</v>
      </c>
      <c r="I28" s="10">
        <f t="shared" si="4"/>
        <v>2.2014978991705958E-2</v>
      </c>
      <c r="J28" s="9">
        <v>6600</v>
      </c>
      <c r="K28" s="10">
        <f t="shared" si="5"/>
        <v>2.4459631157656554E-2</v>
      </c>
      <c r="L28" s="9">
        <v>6600</v>
      </c>
      <c r="M28" s="10">
        <f t="shared" si="20"/>
        <v>2.2277959125615757E-2</v>
      </c>
      <c r="N28" s="9">
        <v>6600</v>
      </c>
      <c r="O28" s="10">
        <f t="shared" si="7"/>
        <v>2.2213732388002148E-2</v>
      </c>
      <c r="P28" s="9">
        <v>6600</v>
      </c>
      <c r="Q28" s="10">
        <f t="shared" si="8"/>
        <v>2.3755237264970273E-2</v>
      </c>
      <c r="R28" s="9">
        <v>6600</v>
      </c>
      <c r="S28" s="10">
        <f t="shared" si="9"/>
        <v>2.1558271026663661E-2</v>
      </c>
      <c r="T28" s="9">
        <v>6600</v>
      </c>
      <c r="U28" s="10">
        <f t="shared" si="10"/>
        <v>2.2137698699681893E-2</v>
      </c>
      <c r="V28" s="9">
        <v>6600</v>
      </c>
      <c r="W28" s="10">
        <f t="shared" si="11"/>
        <v>2.2069904952610395E-2</v>
      </c>
      <c r="X28" s="9">
        <v>6600</v>
      </c>
      <c r="Y28" s="10">
        <f t="shared" si="12"/>
        <v>2.2702501671213703E-2</v>
      </c>
      <c r="Z28" s="11">
        <f t="shared" ref="Z28:Z29" si="23">(B28+D28+F28+H28+J28+L28+N28+P28+R28+T28+V28+X28)/AE$2</f>
        <v>6600</v>
      </c>
      <c r="AA28" s="10">
        <f t="shared" si="13"/>
        <v>2.3432400582071484E-2</v>
      </c>
      <c r="AB28" s="12">
        <f t="shared" ref="AB28:AB29" si="24">L28+N28+P28+R28+T28+V28+X28+J28+H28+F28+D28+B28</f>
        <v>79200</v>
      </c>
      <c r="AC28" s="122">
        <f t="shared" si="21"/>
        <v>2.3432400582071484E-2</v>
      </c>
      <c r="AD28" s="5"/>
      <c r="AE28" s="5"/>
    </row>
    <row r="29" spans="1:31" x14ac:dyDescent="0.2">
      <c r="A29" s="9" t="s">
        <v>30</v>
      </c>
      <c r="B29" s="9">
        <f>12000+1942</f>
        <v>13942</v>
      </c>
      <c r="C29" s="10">
        <f t="shared" si="22"/>
        <v>6.10509298837821E-2</v>
      </c>
      <c r="D29" s="9">
        <v>1942</v>
      </c>
      <c r="E29" s="10">
        <f t="shared" si="19"/>
        <v>8.1087964992713774E-3</v>
      </c>
      <c r="F29" s="9">
        <f>D29</f>
        <v>1942</v>
      </c>
      <c r="G29" s="10">
        <f t="shared" si="3"/>
        <v>7.005875122548702E-3</v>
      </c>
      <c r="H29" s="9">
        <f>12000+2039</f>
        <v>14039</v>
      </c>
      <c r="I29" s="10">
        <f t="shared" si="4"/>
        <v>4.6828528797660592E-2</v>
      </c>
      <c r="J29" s="9">
        <v>2039</v>
      </c>
      <c r="K29" s="10">
        <f t="shared" si="5"/>
        <v>7.5565436258275328E-3</v>
      </c>
      <c r="L29" s="9">
        <v>2039</v>
      </c>
      <c r="M29" s="10">
        <f t="shared" si="20"/>
        <v>6.882539190474323E-3</v>
      </c>
      <c r="N29" s="9">
        <v>14039</v>
      </c>
      <c r="O29" s="10">
        <f t="shared" si="7"/>
        <v>4.7251301362903356E-2</v>
      </c>
      <c r="P29" s="9">
        <v>2039</v>
      </c>
      <c r="Q29" s="10">
        <f t="shared" si="8"/>
        <v>7.3389286035264222E-3</v>
      </c>
      <c r="R29" s="9">
        <v>2039</v>
      </c>
      <c r="S29" s="10">
        <f t="shared" si="9"/>
        <v>6.660199185358668E-3</v>
      </c>
      <c r="T29" s="9">
        <v>14039</v>
      </c>
      <c r="U29" s="10">
        <f t="shared" si="10"/>
        <v>4.7089568491641531E-2</v>
      </c>
      <c r="V29" s="9">
        <v>2039</v>
      </c>
      <c r="W29" s="10">
        <f t="shared" si="11"/>
        <v>6.8182630603594845E-3</v>
      </c>
      <c r="X29" s="9">
        <v>2039</v>
      </c>
      <c r="Y29" s="10">
        <f t="shared" si="12"/>
        <v>7.0136971072128395E-3</v>
      </c>
      <c r="Z29" s="11">
        <f t="shared" si="23"/>
        <v>6014.75</v>
      </c>
      <c r="AA29" s="10">
        <f t="shared" si="13"/>
        <v>2.1354550212274916E-2</v>
      </c>
      <c r="AB29" s="12">
        <f t="shared" si="24"/>
        <v>72177</v>
      </c>
      <c r="AC29" s="122">
        <f t="shared" si="21"/>
        <v>2.1354550212274916E-2</v>
      </c>
      <c r="AD29" s="5"/>
      <c r="AE29" s="5"/>
    </row>
    <row r="30" spans="1:31" x14ac:dyDescent="0.2">
      <c r="A30" s="9" t="s">
        <v>106</v>
      </c>
      <c r="B30" s="9"/>
      <c r="C30" s="10">
        <f t="shared" si="22"/>
        <v>0</v>
      </c>
      <c r="D30" s="9"/>
      <c r="E30" s="10">
        <f t="shared" si="19"/>
        <v>0</v>
      </c>
      <c r="F30" s="9"/>
      <c r="G30" s="10">
        <f t="shared" si="3"/>
        <v>0</v>
      </c>
      <c r="H30" s="9"/>
      <c r="I30" s="10">
        <f t="shared" si="4"/>
        <v>0</v>
      </c>
      <c r="J30" s="9"/>
      <c r="K30" s="10">
        <f t="shared" si="5"/>
        <v>0</v>
      </c>
      <c r="L30" s="9"/>
      <c r="M30" s="10">
        <f t="shared" si="20"/>
        <v>0</v>
      </c>
      <c r="N30" s="9"/>
      <c r="O30" s="10">
        <f t="shared" si="7"/>
        <v>0</v>
      </c>
      <c r="P30" s="9">
        <v>8000</v>
      </c>
      <c r="Q30" s="10">
        <f t="shared" si="8"/>
        <v>2.8794226987842755E-2</v>
      </c>
      <c r="R30" s="9"/>
      <c r="S30" s="10">
        <f t="shared" si="9"/>
        <v>0</v>
      </c>
      <c r="T30" s="9"/>
      <c r="U30" s="10">
        <f t="shared" si="10"/>
        <v>0</v>
      </c>
      <c r="V30" s="9"/>
      <c r="W30" s="10">
        <f t="shared" si="11"/>
        <v>0</v>
      </c>
      <c r="X30" s="9">
        <v>8000</v>
      </c>
      <c r="Y30" s="10">
        <f t="shared" si="12"/>
        <v>2.75181838438954E-2</v>
      </c>
      <c r="Z30" s="11">
        <f t="shared" ref="Z30:Z74" si="25">(B30+D30+F30+H30+J30+L30+N30+P30+R30+T30+V30+X30)/AE$2</f>
        <v>1333.3333333333333</v>
      </c>
      <c r="AA30" s="10">
        <f t="shared" si="13"/>
        <v>4.7338182994083799E-3</v>
      </c>
      <c r="AB30" s="12">
        <f t="shared" ref="AB30:AB41" si="26">L30+N30+P30+R30+T30+V30+X30+J30+H30+F30+D30+B30</f>
        <v>16000</v>
      </c>
      <c r="AC30" s="122">
        <f t="shared" si="21"/>
        <v>4.7338182994083808E-3</v>
      </c>
      <c r="AD30" s="5"/>
      <c r="AE30" s="5"/>
    </row>
    <row r="31" spans="1:31" x14ac:dyDescent="0.2">
      <c r="A31" s="9" t="s">
        <v>31</v>
      </c>
      <c r="B31" s="9">
        <v>3000</v>
      </c>
      <c r="C31" s="10">
        <f t="shared" si="22"/>
        <v>1.3136765862239729E-2</v>
      </c>
      <c r="D31" s="9"/>
      <c r="E31" s="10">
        <f t="shared" si="19"/>
        <v>0</v>
      </c>
      <c r="F31" s="9">
        <v>2000</v>
      </c>
      <c r="G31" s="10">
        <f t="shared" si="3"/>
        <v>7.2151134114816703E-3</v>
      </c>
      <c r="H31" s="9">
        <v>5000</v>
      </c>
      <c r="I31" s="10">
        <f t="shared" si="4"/>
        <v>1.6678014387656027E-2</v>
      </c>
      <c r="J31" s="9">
        <v>5000</v>
      </c>
      <c r="K31" s="10">
        <f t="shared" si="5"/>
        <v>1.8530023604285271E-2</v>
      </c>
      <c r="L31" s="9"/>
      <c r="M31" s="10">
        <f t="shared" si="20"/>
        <v>0</v>
      </c>
      <c r="N31" s="9">
        <v>2000</v>
      </c>
      <c r="O31" s="10">
        <f t="shared" si="7"/>
        <v>6.7314340569703474E-3</v>
      </c>
      <c r="P31" s="9"/>
      <c r="Q31" s="10">
        <f t="shared" si="8"/>
        <v>0</v>
      </c>
      <c r="R31" s="9">
        <f>1351.76+854.7</f>
        <v>2206.46</v>
      </c>
      <c r="S31" s="10">
        <f t="shared" si="9"/>
        <v>7.2071913165897431E-3</v>
      </c>
      <c r="T31" s="9"/>
      <c r="U31" s="10">
        <f t="shared" si="10"/>
        <v>0</v>
      </c>
      <c r="V31" s="9"/>
      <c r="W31" s="10">
        <f t="shared" si="11"/>
        <v>0</v>
      </c>
      <c r="X31" s="9">
        <v>9000</v>
      </c>
      <c r="Y31" s="10">
        <f t="shared" si="12"/>
        <v>3.0957956824382325E-2</v>
      </c>
      <c r="Z31" s="11">
        <f t="shared" si="25"/>
        <v>2350.5383333333334</v>
      </c>
      <c r="AA31" s="10">
        <f t="shared" si="13"/>
        <v>8.3452660318456568E-3</v>
      </c>
      <c r="AB31" s="12">
        <f t="shared" si="26"/>
        <v>28206.46</v>
      </c>
      <c r="AC31" s="122">
        <f t="shared" si="21"/>
        <v>8.3452660318456568E-3</v>
      </c>
      <c r="AD31" s="5"/>
      <c r="AE31" s="5"/>
    </row>
    <row r="32" spans="1:31" x14ac:dyDescent="0.2">
      <c r="A32" s="9" t="s">
        <v>32</v>
      </c>
      <c r="B32" s="9"/>
      <c r="C32" s="10">
        <f t="shared" si="22"/>
        <v>0</v>
      </c>
      <c r="D32" s="9"/>
      <c r="E32" s="10">
        <f t="shared" si="19"/>
        <v>0</v>
      </c>
      <c r="F32" s="9"/>
      <c r="G32" s="10">
        <f t="shared" si="3"/>
        <v>0</v>
      </c>
      <c r="H32" s="9"/>
      <c r="I32" s="10">
        <f t="shared" si="4"/>
        <v>0</v>
      </c>
      <c r="J32" s="9"/>
      <c r="K32" s="10">
        <f t="shared" si="5"/>
        <v>0</v>
      </c>
      <c r="L32" s="9"/>
      <c r="M32" s="10">
        <f t="shared" si="20"/>
        <v>0</v>
      </c>
      <c r="N32" s="9"/>
      <c r="O32" s="10">
        <f t="shared" si="7"/>
        <v>0</v>
      </c>
      <c r="P32" s="9"/>
      <c r="Q32" s="10">
        <f t="shared" si="8"/>
        <v>0</v>
      </c>
      <c r="R32" s="9"/>
      <c r="S32" s="10">
        <f t="shared" si="9"/>
        <v>0</v>
      </c>
      <c r="T32" s="9"/>
      <c r="U32" s="10">
        <f t="shared" si="10"/>
        <v>0</v>
      </c>
      <c r="V32" s="9">
        <f>V26/2</f>
        <v>13741</v>
      </c>
      <c r="W32" s="10">
        <f t="shared" si="11"/>
        <v>4.5948873326336279E-2</v>
      </c>
      <c r="X32" s="9">
        <f>X26/2</f>
        <v>13741</v>
      </c>
      <c r="Y32" s="10">
        <f t="shared" si="12"/>
        <v>4.726592052487083E-2</v>
      </c>
      <c r="Z32" s="11">
        <f t="shared" si="25"/>
        <v>2290.1666666666665</v>
      </c>
      <c r="AA32" s="10">
        <f t="shared" si="13"/>
        <v>8.1309246565213194E-3</v>
      </c>
      <c r="AB32" s="12">
        <f t="shared" si="26"/>
        <v>27482</v>
      </c>
      <c r="AC32" s="122">
        <f t="shared" si="21"/>
        <v>8.1309246565213194E-3</v>
      </c>
      <c r="AD32" s="5"/>
      <c r="AE32" s="5"/>
    </row>
    <row r="33" spans="1:31" x14ac:dyDescent="0.2">
      <c r="A33" s="9" t="s">
        <v>33</v>
      </c>
      <c r="B33" s="9">
        <v>12600</v>
      </c>
      <c r="C33" s="10">
        <f t="shared" si="22"/>
        <v>5.517441662140686E-2</v>
      </c>
      <c r="D33" s="9">
        <v>12600</v>
      </c>
      <c r="E33" s="10">
        <f t="shared" si="19"/>
        <v>5.2611141035437362E-2</v>
      </c>
      <c r="F33" s="9">
        <v>12600</v>
      </c>
      <c r="G33" s="17">
        <f t="shared" si="3"/>
        <v>4.5455214492334521E-2</v>
      </c>
      <c r="H33" s="9">
        <v>12600</v>
      </c>
      <c r="I33" s="10">
        <f t="shared" si="4"/>
        <v>4.2028596256893189E-2</v>
      </c>
      <c r="J33" s="9">
        <v>12600</v>
      </c>
      <c r="K33" s="10">
        <f t="shared" si="5"/>
        <v>4.6695659482798878E-2</v>
      </c>
      <c r="L33" s="9">
        <v>12600</v>
      </c>
      <c r="M33" s="10">
        <f t="shared" si="20"/>
        <v>4.2530649239811903E-2</v>
      </c>
      <c r="N33" s="9">
        <v>12600</v>
      </c>
      <c r="O33" s="10">
        <f t="shared" si="7"/>
        <v>4.2408034558913191E-2</v>
      </c>
      <c r="P33" s="9">
        <v>12600</v>
      </c>
      <c r="Q33" s="10">
        <f t="shared" si="8"/>
        <v>4.5350907505852342E-2</v>
      </c>
      <c r="R33" s="9">
        <v>12600</v>
      </c>
      <c r="S33" s="10">
        <f t="shared" si="9"/>
        <v>4.1156699232721534E-2</v>
      </c>
      <c r="T33" s="9">
        <v>12600</v>
      </c>
      <c r="U33" s="10">
        <f t="shared" si="10"/>
        <v>4.2262879335756343E-2</v>
      </c>
      <c r="V33" s="9">
        <v>12600</v>
      </c>
      <c r="W33" s="10">
        <f t="shared" si="11"/>
        <v>4.2133454909528939E-2</v>
      </c>
      <c r="X33" s="9">
        <v>12600</v>
      </c>
      <c r="Y33" s="10">
        <f t="shared" si="12"/>
        <v>4.3341139554135252E-2</v>
      </c>
      <c r="Z33" s="11">
        <f t="shared" si="25"/>
        <v>12600</v>
      </c>
      <c r="AA33" s="10">
        <f t="shared" si="13"/>
        <v>4.4734582929409197E-2</v>
      </c>
      <c r="AB33" s="12">
        <f t="shared" si="26"/>
        <v>151200</v>
      </c>
      <c r="AC33" s="122">
        <f t="shared" si="21"/>
        <v>4.4734582929409197E-2</v>
      </c>
      <c r="AD33" s="5"/>
      <c r="AE33" s="5"/>
    </row>
    <row r="34" spans="1:31" x14ac:dyDescent="0.2">
      <c r="A34" s="9" t="s">
        <v>34</v>
      </c>
      <c r="B34" s="9">
        <v>2000</v>
      </c>
      <c r="C34" s="10">
        <f t="shared" si="22"/>
        <v>8.7578439081598194E-3</v>
      </c>
      <c r="D34" s="9">
        <v>2000</v>
      </c>
      <c r="E34" s="10">
        <f t="shared" si="19"/>
        <v>8.35097476752974E-3</v>
      </c>
      <c r="F34" s="9">
        <f>D34</f>
        <v>2000</v>
      </c>
      <c r="G34" s="17">
        <f t="shared" si="3"/>
        <v>7.2151134114816703E-3</v>
      </c>
      <c r="H34" s="9">
        <f>F34</f>
        <v>2000</v>
      </c>
      <c r="I34" s="10">
        <f t="shared" si="4"/>
        <v>6.6712057550624114E-3</v>
      </c>
      <c r="J34" s="9">
        <f>H34</f>
        <v>2000</v>
      </c>
      <c r="K34" s="10">
        <f t="shared" si="5"/>
        <v>7.4120094417141078E-3</v>
      </c>
      <c r="L34" s="9">
        <f>J34</f>
        <v>2000</v>
      </c>
      <c r="M34" s="10">
        <f t="shared" si="20"/>
        <v>6.750896704732048E-3</v>
      </c>
      <c r="N34" s="9">
        <f>L34</f>
        <v>2000</v>
      </c>
      <c r="O34" s="17">
        <f t="shared" si="7"/>
        <v>6.7314340569703474E-3</v>
      </c>
      <c r="P34" s="9">
        <f>N34</f>
        <v>2000</v>
      </c>
      <c r="Q34" s="10">
        <f t="shared" si="8"/>
        <v>7.1985567469606887E-3</v>
      </c>
      <c r="R34" s="9">
        <f>P34</f>
        <v>2000</v>
      </c>
      <c r="S34" s="10">
        <f t="shared" si="9"/>
        <v>6.5328094020192917E-3</v>
      </c>
      <c r="T34" s="9">
        <f>R34</f>
        <v>2000</v>
      </c>
      <c r="U34" s="10">
        <f t="shared" si="10"/>
        <v>6.7083935453581493E-3</v>
      </c>
      <c r="V34" s="9">
        <f>T34</f>
        <v>2000</v>
      </c>
      <c r="W34" s="10">
        <f t="shared" si="11"/>
        <v>6.6878499856395136E-3</v>
      </c>
      <c r="X34" s="9">
        <f>V34</f>
        <v>2000</v>
      </c>
      <c r="Y34" s="10">
        <f t="shared" si="12"/>
        <v>6.8795459609738499E-3</v>
      </c>
      <c r="Z34" s="11">
        <f t="shared" si="25"/>
        <v>2000</v>
      </c>
      <c r="AA34" s="10">
        <f t="shared" si="13"/>
        <v>7.1007274491125712E-3</v>
      </c>
      <c r="AB34" s="12">
        <f t="shared" si="26"/>
        <v>24000</v>
      </c>
      <c r="AC34" s="122">
        <f t="shared" si="21"/>
        <v>7.1007274491125712E-3</v>
      </c>
      <c r="AD34" s="5"/>
      <c r="AE34" s="5"/>
    </row>
    <row r="35" spans="1:31" x14ac:dyDescent="0.2">
      <c r="A35" s="9" t="s">
        <v>35</v>
      </c>
      <c r="B35" s="9"/>
      <c r="C35" s="10">
        <f t="shared" si="22"/>
        <v>0</v>
      </c>
      <c r="D35" s="9"/>
      <c r="E35" s="10">
        <f t="shared" si="19"/>
        <v>0</v>
      </c>
      <c r="F35" s="9">
        <v>4000</v>
      </c>
      <c r="G35" s="17">
        <f t="shared" si="3"/>
        <v>1.4430226822963341E-2</v>
      </c>
      <c r="H35" s="9"/>
      <c r="I35" s="10">
        <f t="shared" si="4"/>
        <v>0</v>
      </c>
      <c r="J35" s="9"/>
      <c r="K35" s="17">
        <f t="shared" ref="K35:K79" si="27">J35/J$2</f>
        <v>0</v>
      </c>
      <c r="L35" s="9"/>
      <c r="M35" s="17">
        <f t="shared" si="20"/>
        <v>0</v>
      </c>
      <c r="N35" s="9"/>
      <c r="O35" s="17">
        <f t="shared" si="7"/>
        <v>0</v>
      </c>
      <c r="P35" s="9">
        <v>4000</v>
      </c>
      <c r="Q35" s="10">
        <f t="shared" si="8"/>
        <v>1.4397113493921377E-2</v>
      </c>
      <c r="R35" s="9">
        <v>4000</v>
      </c>
      <c r="S35" s="10">
        <f t="shared" si="9"/>
        <v>1.3065618804038583E-2</v>
      </c>
      <c r="T35" s="9">
        <v>4000</v>
      </c>
      <c r="U35" s="10">
        <f t="shared" si="10"/>
        <v>1.3416787090716299E-2</v>
      </c>
      <c r="V35" s="9">
        <v>4000</v>
      </c>
      <c r="W35" s="10">
        <f t="shared" si="11"/>
        <v>1.3375699971279027E-2</v>
      </c>
      <c r="X35" s="9">
        <v>4000</v>
      </c>
      <c r="Y35" s="10">
        <f t="shared" si="12"/>
        <v>1.37590919219477E-2</v>
      </c>
      <c r="Z35" s="11">
        <f t="shared" si="25"/>
        <v>2000</v>
      </c>
      <c r="AA35" s="10">
        <f t="shared" si="13"/>
        <v>7.1007274491125712E-3</v>
      </c>
      <c r="AB35" s="12">
        <f t="shared" si="26"/>
        <v>24000</v>
      </c>
      <c r="AC35" s="122">
        <f t="shared" si="21"/>
        <v>7.1007274491125712E-3</v>
      </c>
      <c r="AD35" s="5"/>
      <c r="AE35" s="5"/>
    </row>
    <row r="36" spans="1:31" x14ac:dyDescent="0.2">
      <c r="A36" s="9" t="s">
        <v>36</v>
      </c>
      <c r="B36" s="9">
        <v>3500</v>
      </c>
      <c r="C36" s="10">
        <f t="shared" si="22"/>
        <v>1.5326226839279684E-2</v>
      </c>
      <c r="D36" s="9">
        <v>3500</v>
      </c>
      <c r="E36" s="10">
        <f t="shared" si="19"/>
        <v>1.4614205843177045E-2</v>
      </c>
      <c r="F36" s="9">
        <v>3500</v>
      </c>
      <c r="G36" s="17">
        <f t="shared" si="3"/>
        <v>1.2626448470092923E-2</v>
      </c>
      <c r="H36" s="9">
        <v>3500</v>
      </c>
      <c r="I36" s="10">
        <f t="shared" si="4"/>
        <v>1.1674610071359219E-2</v>
      </c>
      <c r="J36" s="9">
        <v>3500</v>
      </c>
      <c r="K36" s="17">
        <f t="shared" si="27"/>
        <v>1.2971016522999689E-2</v>
      </c>
      <c r="L36" s="9">
        <v>3500</v>
      </c>
      <c r="M36" s="17">
        <f t="shared" si="20"/>
        <v>1.1814069233281084E-2</v>
      </c>
      <c r="N36" s="9">
        <v>3500</v>
      </c>
      <c r="O36" s="17">
        <f t="shared" si="7"/>
        <v>1.1780009599698108E-2</v>
      </c>
      <c r="P36" s="9">
        <v>3500</v>
      </c>
      <c r="Q36" s="10">
        <f t="shared" si="8"/>
        <v>1.2597474307181207E-2</v>
      </c>
      <c r="R36" s="9">
        <v>3500</v>
      </c>
      <c r="S36" s="10">
        <f t="shared" si="9"/>
        <v>1.143241645353376E-2</v>
      </c>
      <c r="T36" s="9">
        <v>3500</v>
      </c>
      <c r="U36" s="10">
        <f t="shared" si="10"/>
        <v>1.1739688704376762E-2</v>
      </c>
      <c r="V36" s="9">
        <v>3500</v>
      </c>
      <c r="W36" s="10">
        <f t="shared" si="11"/>
        <v>1.170373747486915E-2</v>
      </c>
      <c r="X36" s="9">
        <v>3500</v>
      </c>
      <c r="Y36" s="10">
        <f t="shared" si="12"/>
        <v>1.2039205431704237E-2</v>
      </c>
      <c r="Z36" s="11">
        <f t="shared" si="25"/>
        <v>3500</v>
      </c>
      <c r="AA36" s="10">
        <f t="shared" si="13"/>
        <v>1.2426273035946999E-2</v>
      </c>
      <c r="AB36" s="12">
        <f t="shared" si="26"/>
        <v>42000</v>
      </c>
      <c r="AC36" s="122">
        <f t="shared" si="21"/>
        <v>1.2426273035946999E-2</v>
      </c>
      <c r="AD36" s="5"/>
      <c r="AE36" s="5"/>
    </row>
    <row r="37" spans="1:31" x14ac:dyDescent="0.2">
      <c r="A37" s="9" t="s">
        <v>37</v>
      </c>
      <c r="B37" s="9">
        <v>4000</v>
      </c>
      <c r="C37" s="10">
        <f t="shared" si="22"/>
        <v>1.7515687816319639E-2</v>
      </c>
      <c r="D37" s="9">
        <f>B37</f>
        <v>4000</v>
      </c>
      <c r="E37" s="10">
        <f t="shared" si="19"/>
        <v>1.670194953505948E-2</v>
      </c>
      <c r="F37" s="9">
        <f>D37</f>
        <v>4000</v>
      </c>
      <c r="G37" s="10">
        <f t="shared" si="3"/>
        <v>1.4430226822963341E-2</v>
      </c>
      <c r="H37" s="9">
        <f>F37</f>
        <v>4000</v>
      </c>
      <c r="I37" s="10">
        <f t="shared" si="4"/>
        <v>1.3342411510124823E-2</v>
      </c>
      <c r="J37" s="9">
        <f>H37</f>
        <v>4000</v>
      </c>
      <c r="K37" s="10">
        <f t="shared" si="27"/>
        <v>1.4824018883428216E-2</v>
      </c>
      <c r="L37" s="9">
        <f>J37</f>
        <v>4000</v>
      </c>
      <c r="M37" s="10">
        <f t="shared" si="20"/>
        <v>1.3501793409464096E-2</v>
      </c>
      <c r="N37" s="9">
        <f>L37</f>
        <v>4000</v>
      </c>
      <c r="O37" s="10">
        <f t="shared" si="7"/>
        <v>1.3462868113940695E-2</v>
      </c>
      <c r="P37" s="9">
        <f>N37</f>
        <v>4000</v>
      </c>
      <c r="Q37" s="10">
        <f t="shared" si="8"/>
        <v>1.4397113493921377E-2</v>
      </c>
      <c r="R37" s="9">
        <f>P37</f>
        <v>4000</v>
      </c>
      <c r="S37" s="10">
        <f t="shared" si="9"/>
        <v>1.3065618804038583E-2</v>
      </c>
      <c r="T37" s="9">
        <f>R37</f>
        <v>4000</v>
      </c>
      <c r="U37" s="10">
        <f t="shared" si="10"/>
        <v>1.3416787090716299E-2</v>
      </c>
      <c r="V37" s="9">
        <v>4000</v>
      </c>
      <c r="W37" s="10">
        <f t="shared" si="11"/>
        <v>1.3375699971279027E-2</v>
      </c>
      <c r="X37" s="9">
        <v>4000</v>
      </c>
      <c r="Y37" s="10">
        <f t="shared" si="12"/>
        <v>1.37590919219477E-2</v>
      </c>
      <c r="Z37" s="11">
        <f t="shared" si="25"/>
        <v>4000</v>
      </c>
      <c r="AA37" s="10">
        <f t="shared" si="13"/>
        <v>1.4201454898225142E-2</v>
      </c>
      <c r="AB37" s="12">
        <f t="shared" si="26"/>
        <v>48000</v>
      </c>
      <c r="AC37" s="122">
        <f t="shared" si="21"/>
        <v>1.4201454898225142E-2</v>
      </c>
      <c r="AD37" s="5"/>
      <c r="AE37" s="5"/>
    </row>
    <row r="38" spans="1:31" x14ac:dyDescent="0.2">
      <c r="A38" s="9" t="s">
        <v>38</v>
      </c>
      <c r="B38" s="9">
        <v>380</v>
      </c>
      <c r="C38" s="10">
        <f t="shared" si="22"/>
        <v>1.6639903425503656E-3</v>
      </c>
      <c r="D38" s="9">
        <v>380</v>
      </c>
      <c r="E38" s="10">
        <f t="shared" si="19"/>
        <v>1.5866852058306505E-3</v>
      </c>
      <c r="F38" s="9">
        <f t="shared" ref="F38:F39" si="28">D38</f>
        <v>380</v>
      </c>
      <c r="G38" s="10">
        <f t="shared" si="3"/>
        <v>1.3708715481815174E-3</v>
      </c>
      <c r="H38" s="9">
        <f>F38</f>
        <v>380</v>
      </c>
      <c r="I38" s="10">
        <f t="shared" si="4"/>
        <v>1.2675290934618581E-3</v>
      </c>
      <c r="J38" s="9">
        <f>H38</f>
        <v>380</v>
      </c>
      <c r="K38" s="10">
        <f t="shared" si="27"/>
        <v>1.4082817939256803E-3</v>
      </c>
      <c r="L38" s="9">
        <f>J38</f>
        <v>380</v>
      </c>
      <c r="M38" s="10">
        <f t="shared" si="20"/>
        <v>1.2826703738990891E-3</v>
      </c>
      <c r="N38" s="9">
        <f>L38</f>
        <v>380</v>
      </c>
      <c r="O38" s="10">
        <f t="shared" si="7"/>
        <v>1.278972470824366E-3</v>
      </c>
      <c r="P38" s="9">
        <f>N38</f>
        <v>380</v>
      </c>
      <c r="Q38" s="10">
        <f t="shared" si="8"/>
        <v>1.3677257819225308E-3</v>
      </c>
      <c r="R38" s="9">
        <f>P38</f>
        <v>380</v>
      </c>
      <c r="S38" s="10">
        <f t="shared" si="9"/>
        <v>1.2412337863836654E-3</v>
      </c>
      <c r="T38" s="9">
        <f>R38</f>
        <v>380</v>
      </c>
      <c r="U38" s="10">
        <f t="shared" si="10"/>
        <v>1.2745947736180485E-3</v>
      </c>
      <c r="V38" s="9">
        <f>T38</f>
        <v>380</v>
      </c>
      <c r="W38" s="10">
        <f t="shared" si="11"/>
        <v>1.2706914972715076E-3</v>
      </c>
      <c r="X38" s="9">
        <v>380</v>
      </c>
      <c r="Y38" s="10">
        <f t="shared" si="12"/>
        <v>1.3071137325850314E-3</v>
      </c>
      <c r="Z38" s="11">
        <f t="shared" si="25"/>
        <v>380</v>
      </c>
      <c r="AA38" s="10">
        <f t="shared" si="13"/>
        <v>1.3491382153313885E-3</v>
      </c>
      <c r="AB38" s="12">
        <f t="shared" si="26"/>
        <v>4560</v>
      </c>
      <c r="AC38" s="122">
        <f t="shared" si="21"/>
        <v>1.3491382153313885E-3</v>
      </c>
      <c r="AD38" s="5"/>
      <c r="AE38" s="5"/>
    </row>
    <row r="39" spans="1:31" x14ac:dyDescent="0.2">
      <c r="A39" s="9" t="s">
        <v>108</v>
      </c>
      <c r="B39" s="9">
        <v>3780</v>
      </c>
      <c r="C39" s="10">
        <f t="shared" si="22"/>
        <v>1.6552324986422059E-2</v>
      </c>
      <c r="D39" s="9">
        <v>3780</v>
      </c>
      <c r="E39" s="10">
        <f t="shared" si="19"/>
        <v>1.5783342310631207E-2</v>
      </c>
      <c r="F39" s="9">
        <f t="shared" si="28"/>
        <v>3780</v>
      </c>
      <c r="G39" s="10">
        <f t="shared" si="3"/>
        <v>1.3636564347700357E-2</v>
      </c>
      <c r="H39" s="9">
        <v>3780</v>
      </c>
      <c r="I39" s="10">
        <f>H39/H$2</f>
        <v>1.2608578877067957E-2</v>
      </c>
      <c r="J39" s="9">
        <v>3780</v>
      </c>
      <c r="K39" s="10">
        <f t="shared" si="27"/>
        <v>1.4008697844839664E-2</v>
      </c>
      <c r="L39" s="9">
        <v>3780</v>
      </c>
      <c r="M39" s="10">
        <f t="shared" si="20"/>
        <v>1.275919477194357E-2</v>
      </c>
      <c r="N39" s="9">
        <v>3780</v>
      </c>
      <c r="O39" s="10">
        <f t="shared" si="7"/>
        <v>1.2722410367673957E-2</v>
      </c>
      <c r="P39" s="9">
        <v>4200</v>
      </c>
      <c r="Q39" s="10">
        <f t="shared" si="8"/>
        <v>1.5116969168617447E-2</v>
      </c>
      <c r="R39" s="9">
        <v>4200</v>
      </c>
      <c r="S39" s="10">
        <f t="shared" si="9"/>
        <v>1.3718899744240513E-2</v>
      </c>
      <c r="T39" s="9">
        <v>4200</v>
      </c>
      <c r="U39" s="10">
        <f t="shared" si="10"/>
        <v>1.4087626445252114E-2</v>
      </c>
      <c r="V39" s="9">
        <v>4200</v>
      </c>
      <c r="W39" s="10">
        <f t="shared" si="11"/>
        <v>1.4044484969842978E-2</v>
      </c>
      <c r="X39" s="9">
        <v>4200</v>
      </c>
      <c r="Y39" s="10">
        <f t="shared" si="12"/>
        <v>1.4447046518045084E-2</v>
      </c>
      <c r="Z39" s="11">
        <f t="shared" si="25"/>
        <v>3955</v>
      </c>
      <c r="AA39" s="10">
        <f t="shared" si="13"/>
        <v>1.4041688530620109E-2</v>
      </c>
      <c r="AB39" s="12">
        <f t="shared" si="26"/>
        <v>47460</v>
      </c>
      <c r="AC39" s="122">
        <f t="shared" si="21"/>
        <v>1.4041688530620109E-2</v>
      </c>
      <c r="AD39" s="5"/>
      <c r="AE39" s="5"/>
    </row>
    <row r="40" spans="1:31" x14ac:dyDescent="0.2">
      <c r="A40" s="9" t="s">
        <v>39</v>
      </c>
      <c r="B40" s="9"/>
      <c r="C40" s="10">
        <f t="shared" si="22"/>
        <v>0</v>
      </c>
      <c r="D40" s="9"/>
      <c r="E40" s="10">
        <f t="shared" si="19"/>
        <v>0</v>
      </c>
      <c r="F40" s="9"/>
      <c r="G40" s="10">
        <f t="shared" si="3"/>
        <v>0</v>
      </c>
      <c r="H40" s="9">
        <v>50</v>
      </c>
      <c r="I40" s="10">
        <f t="shared" si="4"/>
        <v>1.6678014387656027E-4</v>
      </c>
      <c r="J40" s="9">
        <v>50</v>
      </c>
      <c r="K40" s="10">
        <f t="shared" si="27"/>
        <v>1.8530023604285269E-4</v>
      </c>
      <c r="L40" s="9">
        <v>50</v>
      </c>
      <c r="M40" s="10">
        <f t="shared" si="20"/>
        <v>1.6877241761830119E-4</v>
      </c>
      <c r="N40" s="9"/>
      <c r="O40" s="10">
        <f t="shared" si="7"/>
        <v>0</v>
      </c>
      <c r="P40" s="9">
        <v>50</v>
      </c>
      <c r="Q40" s="10">
        <f t="shared" si="8"/>
        <v>1.7996391867401723E-4</v>
      </c>
      <c r="R40" s="9">
        <v>50</v>
      </c>
      <c r="S40" s="10">
        <f t="shared" si="9"/>
        <v>1.6332023505048228E-4</v>
      </c>
      <c r="T40" s="9">
        <v>50</v>
      </c>
      <c r="U40" s="10">
        <f t="shared" si="10"/>
        <v>1.6770983863395375E-4</v>
      </c>
      <c r="V40" s="9"/>
      <c r="W40" s="10">
        <f t="shared" si="11"/>
        <v>0</v>
      </c>
      <c r="X40" s="9"/>
      <c r="Y40" s="10">
        <f t="shared" si="12"/>
        <v>0</v>
      </c>
      <c r="Z40" s="11">
        <f t="shared" si="25"/>
        <v>25</v>
      </c>
      <c r="AA40" s="10">
        <f t="shared" si="13"/>
        <v>8.8759093113907137E-5</v>
      </c>
      <c r="AB40" s="12">
        <f t="shared" si="26"/>
        <v>300</v>
      </c>
      <c r="AC40" s="122">
        <f t="shared" si="21"/>
        <v>8.8759093113907137E-5</v>
      </c>
      <c r="AD40" s="5"/>
      <c r="AE40" s="5"/>
    </row>
    <row r="41" spans="1:31" x14ac:dyDescent="0.2">
      <c r="A41" s="9" t="s">
        <v>145</v>
      </c>
      <c r="B41" s="9">
        <v>1500</v>
      </c>
      <c r="C41" s="10">
        <f t="shared" si="22"/>
        <v>6.5683829311198646E-3</v>
      </c>
      <c r="D41" s="9">
        <v>1500</v>
      </c>
      <c r="E41" s="10">
        <f t="shared" si="19"/>
        <v>6.2632310756473046E-3</v>
      </c>
      <c r="F41" s="9">
        <v>1500</v>
      </c>
      <c r="G41" s="10">
        <f t="shared" si="3"/>
        <v>5.4113350586112528E-3</v>
      </c>
      <c r="H41" s="9">
        <v>1500</v>
      </c>
      <c r="I41" s="10">
        <f t="shared" si="4"/>
        <v>5.0034043162968085E-3</v>
      </c>
      <c r="J41" s="9">
        <v>1500</v>
      </c>
      <c r="K41" s="10">
        <f t="shared" si="27"/>
        <v>5.5590070812855811E-3</v>
      </c>
      <c r="L41" s="9">
        <v>1500</v>
      </c>
      <c r="M41" s="10">
        <f t="shared" si="20"/>
        <v>5.0631725285490356E-3</v>
      </c>
      <c r="N41" s="9">
        <v>1500</v>
      </c>
      <c r="O41" s="10">
        <f t="shared" si="7"/>
        <v>5.0485755427277608E-3</v>
      </c>
      <c r="P41" s="9">
        <v>1500</v>
      </c>
      <c r="Q41" s="10">
        <f t="shared" si="8"/>
        <v>5.3989175602205172E-3</v>
      </c>
      <c r="R41" s="9">
        <v>1500</v>
      </c>
      <c r="S41" s="10">
        <f t="shared" si="9"/>
        <v>4.8996070515144683E-3</v>
      </c>
      <c r="T41" s="9">
        <v>1500</v>
      </c>
      <c r="U41" s="10">
        <f t="shared" si="10"/>
        <v>5.0312951590186124E-3</v>
      </c>
      <c r="V41" s="9">
        <v>1500</v>
      </c>
      <c r="W41" s="10">
        <f t="shared" si="11"/>
        <v>5.0158874892296352E-3</v>
      </c>
      <c r="X41" s="9">
        <v>1500</v>
      </c>
      <c r="Y41" s="10">
        <f t="shared" si="12"/>
        <v>5.1596594707303874E-3</v>
      </c>
      <c r="Z41" s="11">
        <f t="shared" si="25"/>
        <v>1500</v>
      </c>
      <c r="AA41" s="10">
        <f t="shared" si="13"/>
        <v>5.3255455868344284E-3</v>
      </c>
      <c r="AB41" s="12">
        <f t="shared" si="26"/>
        <v>18000</v>
      </c>
      <c r="AC41" s="122">
        <f t="shared" si="21"/>
        <v>5.3255455868344284E-3</v>
      </c>
      <c r="AD41" s="5"/>
      <c r="AE41" s="5"/>
    </row>
    <row r="42" spans="1:31" x14ac:dyDescent="0.2">
      <c r="A42" s="9" t="s">
        <v>40</v>
      </c>
      <c r="B42" s="9">
        <f>SUBTOTAL(9,B43:B46)</f>
        <v>5277.72</v>
      </c>
      <c r="C42" s="10">
        <f t="shared" si="22"/>
        <v>2.3110723975486622E-2</v>
      </c>
      <c r="D42" s="9">
        <f>SUBTOTAL(9,D43:D46)</f>
        <v>5241.82</v>
      </c>
      <c r="E42" s="10">
        <f t="shared" si="19"/>
        <v>2.1887153277966368E-2</v>
      </c>
      <c r="F42" s="9">
        <f>SUBTOTAL(9,F43:F46)</f>
        <v>5241.82</v>
      </c>
      <c r="G42" s="10">
        <f t="shared" si="3"/>
        <v>1.8910162891286424E-2</v>
      </c>
      <c r="H42" s="9">
        <f>SUBTOTAL(9,H43:H46)</f>
        <v>5241.82</v>
      </c>
      <c r="I42" s="10">
        <f t="shared" si="4"/>
        <v>1.7484629875500621E-2</v>
      </c>
      <c r="J42" s="9">
        <f>SUBTOTAL(9,J43:J46)</f>
        <v>5241.82</v>
      </c>
      <c r="K42" s="10">
        <f t="shared" si="27"/>
        <v>1.9426209665882922E-2</v>
      </c>
      <c r="L42" s="9">
        <f>SUBTOTAL(9,L43:L46)</f>
        <v>5241.82</v>
      </c>
      <c r="M42" s="10">
        <f t="shared" si="20"/>
        <v>1.7693492682399271E-2</v>
      </c>
      <c r="N42" s="9">
        <f>SUBTOTAL(9,N43:N46)</f>
        <v>5241.82</v>
      </c>
      <c r="O42" s="10">
        <f t="shared" si="7"/>
        <v>1.7642482834254153E-2</v>
      </c>
      <c r="P42" s="9">
        <f>SUBTOTAL(9,P43:P46)</f>
        <v>5241.82</v>
      </c>
      <c r="Q42" s="10">
        <f t="shared" si="8"/>
        <v>1.886676936367674E-2</v>
      </c>
      <c r="R42" s="9">
        <f>SUBTOTAL(9,R43:R46)</f>
        <v>5241.82</v>
      </c>
      <c r="S42" s="10">
        <f t="shared" si="9"/>
        <v>1.7121905489846379E-2</v>
      </c>
      <c r="T42" s="9">
        <f>SUBTOTAL(9,T43:T46)</f>
        <v>5241.82</v>
      </c>
      <c r="U42" s="10">
        <f t="shared" si="10"/>
        <v>1.7582095726964626E-2</v>
      </c>
      <c r="V42" s="9">
        <f>SUBTOTAL(9,V43:V46)</f>
        <v>5241.82</v>
      </c>
      <c r="W42" s="10">
        <f t="shared" si="11"/>
        <v>1.7528252905862456E-2</v>
      </c>
      <c r="X42" s="9">
        <f>SUBTOTAL(9,X43:X46)</f>
        <v>5241.82</v>
      </c>
      <c r="Y42" s="10">
        <f t="shared" si="12"/>
        <v>1.803067080457597E-2</v>
      </c>
      <c r="Z42" s="11">
        <f t="shared" si="25"/>
        <v>5244.8116666666665</v>
      </c>
      <c r="AA42" s="10">
        <f t="shared" si="13"/>
        <v>1.8620989083462925E-2</v>
      </c>
      <c r="AB42" s="12">
        <f>SUBTOTAL(9,AB43:AB46)</f>
        <v>62937.740000000005</v>
      </c>
      <c r="AC42" s="122">
        <f t="shared" si="21"/>
        <v>1.8620989083462929E-2</v>
      </c>
      <c r="AD42" s="5"/>
      <c r="AE42" s="5"/>
    </row>
    <row r="43" spans="1:31" x14ac:dyDescent="0.2">
      <c r="A43" s="14" t="s">
        <v>29</v>
      </c>
      <c r="B43" s="9">
        <v>2690</v>
      </c>
      <c r="C43" s="10">
        <f t="shared" si="22"/>
        <v>1.1779300056474956E-2</v>
      </c>
      <c r="D43" s="9">
        <v>2690</v>
      </c>
      <c r="E43" s="10">
        <f t="shared" si="19"/>
        <v>1.1232061062327501E-2</v>
      </c>
      <c r="F43" s="9">
        <v>2690</v>
      </c>
      <c r="G43" s="10">
        <f t="shared" si="3"/>
        <v>9.7043275384428463E-3</v>
      </c>
      <c r="H43" s="9">
        <v>2690</v>
      </c>
      <c r="I43" s="10">
        <f t="shared" si="4"/>
        <v>8.9727717405589432E-3</v>
      </c>
      <c r="J43" s="9">
        <v>2690</v>
      </c>
      <c r="K43" s="10">
        <f t="shared" si="27"/>
        <v>9.9691526991054751E-3</v>
      </c>
      <c r="L43" s="9">
        <v>2690</v>
      </c>
      <c r="M43" s="10">
        <f t="shared" si="20"/>
        <v>9.0799560678646047E-3</v>
      </c>
      <c r="N43" s="9">
        <v>2690</v>
      </c>
      <c r="O43" s="17">
        <f t="shared" si="7"/>
        <v>9.0537788066251176E-3</v>
      </c>
      <c r="P43" s="9">
        <v>2690</v>
      </c>
      <c r="Q43" s="10">
        <f t="shared" si="8"/>
        <v>9.6820588246621271E-3</v>
      </c>
      <c r="R43" s="9">
        <v>2690</v>
      </c>
      <c r="S43" s="10">
        <f t="shared" si="9"/>
        <v>8.7866286457159472E-3</v>
      </c>
      <c r="T43" s="9">
        <v>2690</v>
      </c>
      <c r="U43" s="10">
        <f t="shared" si="10"/>
        <v>9.0227893185067104E-3</v>
      </c>
      <c r="V43" s="9">
        <v>2690</v>
      </c>
      <c r="W43" s="10">
        <f t="shared" si="11"/>
        <v>8.995158230685146E-3</v>
      </c>
      <c r="X43" s="9">
        <v>2690</v>
      </c>
      <c r="Y43" s="10">
        <f t="shared" si="12"/>
        <v>9.2529893175098271E-3</v>
      </c>
      <c r="Z43" s="11">
        <f t="shared" si="25"/>
        <v>2690</v>
      </c>
      <c r="AA43" s="10">
        <f t="shared" si="13"/>
        <v>9.550478419056407E-3</v>
      </c>
      <c r="AB43" s="12">
        <f t="shared" ref="AB43:AB67" si="29">L43+N43+P43+R43+T43+V43+X43+J43+H43+F43+D43+B43</f>
        <v>32280</v>
      </c>
      <c r="AC43" s="122">
        <f t="shared" si="21"/>
        <v>9.550478419056407E-3</v>
      </c>
      <c r="AD43" s="5"/>
      <c r="AE43" s="5"/>
    </row>
    <row r="44" spans="1:31" x14ac:dyDescent="0.2">
      <c r="A44" s="5" t="s">
        <v>41</v>
      </c>
      <c r="B44" s="9">
        <f>B43*11%</f>
        <v>295.89999999999998</v>
      </c>
      <c r="C44" s="10">
        <f t="shared" si="22"/>
        <v>1.2957230062122451E-3</v>
      </c>
      <c r="D44" s="9">
        <v>260</v>
      </c>
      <c r="E44" s="10">
        <f t="shared" si="19"/>
        <v>1.0856267197788662E-3</v>
      </c>
      <c r="F44" s="9">
        <v>260</v>
      </c>
      <c r="G44" s="17">
        <f t="shared" si="3"/>
        <v>9.3796474349261709E-4</v>
      </c>
      <c r="H44" s="9">
        <v>260</v>
      </c>
      <c r="I44" s="10">
        <f t="shared" si="4"/>
        <v>8.6725674815811343E-4</v>
      </c>
      <c r="J44" s="9">
        <v>260</v>
      </c>
      <c r="K44" s="10">
        <f t="shared" si="27"/>
        <v>9.6356122742283397E-4</v>
      </c>
      <c r="L44" s="9">
        <v>260</v>
      </c>
      <c r="M44" s="10">
        <f t="shared" si="20"/>
        <v>8.7761657161516623E-4</v>
      </c>
      <c r="N44" s="9">
        <v>260</v>
      </c>
      <c r="O44" s="17">
        <f t="shared" si="7"/>
        <v>8.7508642740614516E-4</v>
      </c>
      <c r="P44" s="9">
        <v>260</v>
      </c>
      <c r="Q44" s="10">
        <f t="shared" si="8"/>
        <v>9.3581237710488958E-4</v>
      </c>
      <c r="R44" s="9">
        <v>260</v>
      </c>
      <c r="S44" s="10">
        <f t="shared" si="9"/>
        <v>8.4926522226250786E-4</v>
      </c>
      <c r="T44" s="9">
        <v>260</v>
      </c>
      <c r="U44" s="10">
        <f t="shared" si="10"/>
        <v>8.7209116089655939E-4</v>
      </c>
      <c r="V44" s="9">
        <v>260</v>
      </c>
      <c r="W44" s="10">
        <f t="shared" si="11"/>
        <v>8.6942049813313682E-4</v>
      </c>
      <c r="X44" s="9">
        <v>260</v>
      </c>
      <c r="Y44" s="10">
        <f t="shared" si="12"/>
        <v>8.9434097492660047E-4</v>
      </c>
      <c r="Z44" s="11">
        <f t="shared" si="25"/>
        <v>262.99166666666667</v>
      </c>
      <c r="AA44" s="10">
        <f t="shared" si="13"/>
        <v>9.3371607319393183E-4</v>
      </c>
      <c r="AB44" s="12">
        <f t="shared" si="29"/>
        <v>3155.9</v>
      </c>
      <c r="AC44" s="122">
        <f t="shared" si="21"/>
        <v>9.3371607319393183E-4</v>
      </c>
      <c r="AD44" s="5"/>
      <c r="AE44" s="5"/>
    </row>
    <row r="45" spans="1:31" x14ac:dyDescent="0.2">
      <c r="A45" s="5" t="s">
        <v>42</v>
      </c>
      <c r="B45" s="9">
        <v>50</v>
      </c>
      <c r="C45" s="10">
        <f t="shared" si="22"/>
        <v>2.1894609770399548E-4</v>
      </c>
      <c r="D45" s="9">
        <v>50</v>
      </c>
      <c r="E45" s="10">
        <f t="shared" si="19"/>
        <v>2.0877436918824351E-4</v>
      </c>
      <c r="F45" s="9">
        <v>50</v>
      </c>
      <c r="G45" s="17">
        <f t="shared" si="3"/>
        <v>1.8037783528704175E-4</v>
      </c>
      <c r="H45" s="9">
        <v>50</v>
      </c>
      <c r="I45" s="10">
        <f t="shared" si="4"/>
        <v>1.6678014387656027E-4</v>
      </c>
      <c r="J45" s="9">
        <v>50</v>
      </c>
      <c r="K45" s="10">
        <f t="shared" si="27"/>
        <v>1.8530023604285269E-4</v>
      </c>
      <c r="L45" s="9">
        <v>50</v>
      </c>
      <c r="M45" s="10">
        <f t="shared" si="20"/>
        <v>1.6877241761830119E-4</v>
      </c>
      <c r="N45" s="9">
        <v>50</v>
      </c>
      <c r="O45" s="17">
        <f t="shared" si="7"/>
        <v>1.6828585142425868E-4</v>
      </c>
      <c r="P45" s="9">
        <v>50</v>
      </c>
      <c r="Q45" s="17">
        <f t="shared" si="8"/>
        <v>1.7996391867401723E-4</v>
      </c>
      <c r="R45" s="9">
        <v>50</v>
      </c>
      <c r="S45" s="10">
        <f t="shared" si="9"/>
        <v>1.6332023505048228E-4</v>
      </c>
      <c r="T45" s="9">
        <v>50</v>
      </c>
      <c r="U45" s="10">
        <f t="shared" si="10"/>
        <v>1.6770983863395375E-4</v>
      </c>
      <c r="V45" s="9">
        <v>50</v>
      </c>
      <c r="W45" s="10">
        <f t="shared" si="11"/>
        <v>1.6719624964098783E-4</v>
      </c>
      <c r="X45" s="9">
        <v>50</v>
      </c>
      <c r="Y45" s="10">
        <f t="shared" si="12"/>
        <v>1.7198864902434624E-4</v>
      </c>
      <c r="Z45" s="11">
        <f t="shared" si="25"/>
        <v>50</v>
      </c>
      <c r="AA45" s="10">
        <f t="shared" si="13"/>
        <v>1.7751818622781427E-4</v>
      </c>
      <c r="AB45" s="12">
        <f t="shared" si="29"/>
        <v>600</v>
      </c>
      <c r="AC45" s="122">
        <f t="shared" si="21"/>
        <v>1.7751818622781427E-4</v>
      </c>
      <c r="AD45" s="5"/>
      <c r="AE45" s="5"/>
    </row>
    <row r="46" spans="1:31" x14ac:dyDescent="0.2">
      <c r="A46" s="9" t="s">
        <v>43</v>
      </c>
      <c r="B46" s="9">
        <v>2241.8200000000002</v>
      </c>
      <c r="C46" s="10">
        <f t="shared" si="22"/>
        <v>9.8167548150954239E-3</v>
      </c>
      <c r="D46" s="15">
        <v>2241.8200000000002</v>
      </c>
      <c r="E46" s="10">
        <f t="shared" si="19"/>
        <v>9.3606911266717607E-3</v>
      </c>
      <c r="F46" s="9">
        <v>2241.8200000000002</v>
      </c>
      <c r="G46" s="17">
        <f t="shared" si="3"/>
        <v>8.0874927740639188E-3</v>
      </c>
      <c r="H46" s="15">
        <v>2241.8200000000002</v>
      </c>
      <c r="I46" s="10">
        <f t="shared" si="4"/>
        <v>7.4778212429070078E-3</v>
      </c>
      <c r="J46" s="9">
        <v>2241.8200000000002</v>
      </c>
      <c r="K46" s="10">
        <f t="shared" si="27"/>
        <v>8.3081955033117612E-3</v>
      </c>
      <c r="L46" s="15">
        <v>2241.8200000000002</v>
      </c>
      <c r="M46" s="10">
        <f t="shared" si="20"/>
        <v>7.5671476253012003E-3</v>
      </c>
      <c r="N46" s="15">
        <v>2241.8200000000002</v>
      </c>
      <c r="O46" s="17">
        <f t="shared" si="7"/>
        <v>7.5453317487986331E-3</v>
      </c>
      <c r="P46" s="9">
        <v>2241.8200000000002</v>
      </c>
      <c r="Q46" s="17">
        <f t="shared" si="8"/>
        <v>8.0689342432357074E-3</v>
      </c>
      <c r="R46" s="9">
        <v>2241.8200000000002</v>
      </c>
      <c r="S46" s="10">
        <f t="shared" si="9"/>
        <v>7.3226913868174445E-3</v>
      </c>
      <c r="T46" s="15">
        <v>2241.8200000000002</v>
      </c>
      <c r="U46" s="10">
        <f t="shared" si="10"/>
        <v>7.5195054089274042E-3</v>
      </c>
      <c r="V46" s="15">
        <v>2241.8200000000002</v>
      </c>
      <c r="W46" s="10">
        <f t="shared" si="11"/>
        <v>7.4964779274031878E-3</v>
      </c>
      <c r="X46" s="15">
        <v>2241.8200000000002</v>
      </c>
      <c r="Y46" s="10">
        <f t="shared" si="12"/>
        <v>7.7113518631151982E-3</v>
      </c>
      <c r="Z46" s="11">
        <f t="shared" si="25"/>
        <v>2241.8200000000002</v>
      </c>
      <c r="AA46" s="10">
        <f t="shared" si="13"/>
        <v>7.9592764049847727E-3</v>
      </c>
      <c r="AB46" s="12">
        <f t="shared" si="29"/>
        <v>26901.84</v>
      </c>
      <c r="AC46" s="122">
        <f t="shared" si="21"/>
        <v>7.9592764049847727E-3</v>
      </c>
      <c r="AD46" s="5"/>
      <c r="AE46" s="5"/>
    </row>
    <row r="47" spans="1:31" x14ac:dyDescent="0.2">
      <c r="A47" s="9" t="s">
        <v>44</v>
      </c>
      <c r="B47" s="9"/>
      <c r="C47" s="10">
        <f t="shared" si="22"/>
        <v>0</v>
      </c>
      <c r="D47" s="9"/>
      <c r="E47" s="10">
        <f t="shared" si="19"/>
        <v>0</v>
      </c>
      <c r="F47" s="9"/>
      <c r="G47" s="10">
        <f t="shared" si="3"/>
        <v>0</v>
      </c>
      <c r="H47" s="9"/>
      <c r="I47" s="10">
        <f t="shared" si="4"/>
        <v>0</v>
      </c>
      <c r="J47" s="9"/>
      <c r="K47" s="10">
        <f t="shared" si="27"/>
        <v>0</v>
      </c>
      <c r="L47" s="9"/>
      <c r="M47" s="10">
        <f t="shared" si="20"/>
        <v>0</v>
      </c>
      <c r="N47" s="9"/>
      <c r="O47" s="17">
        <f t="shared" si="7"/>
        <v>0</v>
      </c>
      <c r="P47" s="9"/>
      <c r="Q47" s="17">
        <f t="shared" si="8"/>
        <v>0</v>
      </c>
      <c r="R47" s="9"/>
      <c r="S47" s="10">
        <f t="shared" si="9"/>
        <v>0</v>
      </c>
      <c r="T47" s="9"/>
      <c r="U47" s="10">
        <f t="shared" si="10"/>
        <v>0</v>
      </c>
      <c r="V47" s="9"/>
      <c r="W47" s="10">
        <f t="shared" si="11"/>
        <v>0</v>
      </c>
      <c r="X47" s="9"/>
      <c r="Y47" s="10">
        <f t="shared" si="12"/>
        <v>0</v>
      </c>
      <c r="Z47" s="11">
        <f t="shared" si="25"/>
        <v>0</v>
      </c>
      <c r="AA47" s="10">
        <f t="shared" si="13"/>
        <v>0</v>
      </c>
      <c r="AB47" s="12">
        <f t="shared" si="29"/>
        <v>0</v>
      </c>
      <c r="AC47" s="122">
        <f t="shared" si="21"/>
        <v>0</v>
      </c>
      <c r="AD47" s="5"/>
      <c r="AE47" s="5"/>
    </row>
    <row r="48" spans="1:31" x14ac:dyDescent="0.2">
      <c r="A48" s="9" t="s">
        <v>45</v>
      </c>
      <c r="B48" s="9">
        <v>27500</v>
      </c>
      <c r="C48" s="10">
        <f t="shared" si="22"/>
        <v>0.12042035373719752</v>
      </c>
      <c r="D48" s="9">
        <v>27500</v>
      </c>
      <c r="E48" s="10">
        <f t="shared" si="19"/>
        <v>0.11482590305353392</v>
      </c>
      <c r="F48" s="9">
        <v>27500</v>
      </c>
      <c r="G48" s="10">
        <f t="shared" si="3"/>
        <v>9.9207809407872966E-2</v>
      </c>
      <c r="H48" s="9">
        <v>27500</v>
      </c>
      <c r="I48" s="10">
        <f t="shared" si="4"/>
        <v>9.1729079132108149E-2</v>
      </c>
      <c r="J48" s="9">
        <v>27500</v>
      </c>
      <c r="K48" s="10">
        <f t="shared" si="27"/>
        <v>0.10191512982356898</v>
      </c>
      <c r="L48" s="9">
        <v>27500</v>
      </c>
      <c r="M48" s="10">
        <f t="shared" si="20"/>
        <v>9.2824829690065655E-2</v>
      </c>
      <c r="N48" s="9">
        <v>27500</v>
      </c>
      <c r="O48" s="17">
        <f t="shared" si="7"/>
        <v>9.2557218283342277E-2</v>
      </c>
      <c r="P48" s="9">
        <v>27500</v>
      </c>
      <c r="Q48" s="17">
        <f t="shared" si="8"/>
        <v>9.8980155270709469E-2</v>
      </c>
      <c r="R48" s="9">
        <v>27500</v>
      </c>
      <c r="S48" s="10">
        <f t="shared" si="9"/>
        <v>8.982612927776526E-2</v>
      </c>
      <c r="T48" s="9">
        <v>27500</v>
      </c>
      <c r="U48" s="10">
        <f t="shared" si="10"/>
        <v>9.2240411248674561E-2</v>
      </c>
      <c r="V48" s="9">
        <v>27500</v>
      </c>
      <c r="W48" s="10">
        <f t="shared" si="11"/>
        <v>9.1957937302543313E-2</v>
      </c>
      <c r="X48" s="9">
        <v>27500</v>
      </c>
      <c r="Y48" s="10">
        <f t="shared" si="12"/>
        <v>9.4593756963390438E-2</v>
      </c>
      <c r="Z48" s="11">
        <f t="shared" si="25"/>
        <v>27500</v>
      </c>
      <c r="AA48" s="10">
        <f t="shared" si="13"/>
        <v>9.7635002425297851E-2</v>
      </c>
      <c r="AB48" s="12">
        <f t="shared" si="29"/>
        <v>330000</v>
      </c>
      <c r="AC48" s="122">
        <f t="shared" si="21"/>
        <v>9.7635002425297851E-2</v>
      </c>
      <c r="AD48" s="5"/>
      <c r="AE48" s="5"/>
    </row>
    <row r="49" spans="1:31" x14ac:dyDescent="0.2">
      <c r="A49" s="9" t="s">
        <v>46</v>
      </c>
      <c r="B49" s="9">
        <v>864.05</v>
      </c>
      <c r="C49" s="10">
        <f t="shared" si="22"/>
        <v>3.7836075144227457E-3</v>
      </c>
      <c r="D49" s="9">
        <f>237.61+292.53+571.51</f>
        <v>1101.6500000000001</v>
      </c>
      <c r="E49" s="10">
        <f t="shared" si="19"/>
        <v>4.5999256763245696E-3</v>
      </c>
      <c r="F49" s="9">
        <v>809.12</v>
      </c>
      <c r="G49" s="10">
        <f t="shared" si="3"/>
        <v>2.9189462817490247E-3</v>
      </c>
      <c r="H49" s="9">
        <v>809.12</v>
      </c>
      <c r="I49" s="10">
        <f t="shared" si="4"/>
        <v>2.6989030002680489E-3</v>
      </c>
      <c r="J49" s="9">
        <v>810.4</v>
      </c>
      <c r="K49" s="10">
        <f t="shared" si="27"/>
        <v>3.0033462257825563E-3</v>
      </c>
      <c r="L49" s="9">
        <f>571.51+248.69</f>
        <v>820.2</v>
      </c>
      <c r="M49" s="10">
        <f t="shared" si="20"/>
        <v>2.7685427386106129E-3</v>
      </c>
      <c r="N49" s="9">
        <v>820.2</v>
      </c>
      <c r="O49" s="17">
        <f t="shared" si="7"/>
        <v>2.7605611067635398E-3</v>
      </c>
      <c r="P49" s="9">
        <v>850.27</v>
      </c>
      <c r="Q49" s="17">
        <f t="shared" si="8"/>
        <v>3.0603584226191324E-3</v>
      </c>
      <c r="R49" s="9">
        <v>855.18</v>
      </c>
      <c r="S49" s="10">
        <f t="shared" si="9"/>
        <v>2.7933639722094285E-3</v>
      </c>
      <c r="T49" s="9">
        <v>850.1</v>
      </c>
      <c r="U49" s="10">
        <f t="shared" si="10"/>
        <v>2.8514026764544817E-3</v>
      </c>
      <c r="V49" s="9">
        <v>805</v>
      </c>
      <c r="W49" s="10">
        <f t="shared" si="11"/>
        <v>2.6918596192199041E-3</v>
      </c>
      <c r="X49" s="9">
        <v>805</v>
      </c>
      <c r="Y49" s="10">
        <f t="shared" si="12"/>
        <v>2.7690172492919746E-3</v>
      </c>
      <c r="Z49" s="11">
        <f t="shared" si="25"/>
        <v>850.0241666666667</v>
      </c>
      <c r="AA49" s="10">
        <f t="shared" si="13"/>
        <v>3.0178949663295196E-3</v>
      </c>
      <c r="AB49" s="12">
        <f t="shared" si="29"/>
        <v>10200.289999999999</v>
      </c>
      <c r="AC49" s="122">
        <f t="shared" si="21"/>
        <v>3.0178949663295191E-3</v>
      </c>
      <c r="AD49" s="5"/>
      <c r="AE49" s="5"/>
    </row>
    <row r="50" spans="1:31" x14ac:dyDescent="0.2">
      <c r="A50" s="9" t="s">
        <v>47</v>
      </c>
      <c r="B50" s="9">
        <v>300</v>
      </c>
      <c r="C50" s="10">
        <f t="shared" si="22"/>
        <v>1.313676586223973E-3</v>
      </c>
      <c r="D50" s="9">
        <v>300</v>
      </c>
      <c r="E50" s="10">
        <f t="shared" si="19"/>
        <v>1.252646215129461E-3</v>
      </c>
      <c r="F50" s="9">
        <v>300</v>
      </c>
      <c r="G50" s="10">
        <f t="shared" si="3"/>
        <v>1.0822670117222506E-3</v>
      </c>
      <c r="H50" s="9">
        <v>300</v>
      </c>
      <c r="I50" s="10">
        <f t="shared" si="4"/>
        <v>1.0006808632593617E-3</v>
      </c>
      <c r="J50" s="9">
        <v>300</v>
      </c>
      <c r="K50" s="10">
        <f t="shared" si="27"/>
        <v>1.1118014162571162E-3</v>
      </c>
      <c r="L50" s="9">
        <v>300</v>
      </c>
      <c r="M50" s="10">
        <f t="shared" si="20"/>
        <v>1.0126345057098073E-3</v>
      </c>
      <c r="N50" s="9">
        <v>300</v>
      </c>
      <c r="O50" s="17">
        <f t="shared" si="7"/>
        <v>1.0097151085455521E-3</v>
      </c>
      <c r="P50" s="9">
        <v>300</v>
      </c>
      <c r="Q50" s="17">
        <f t="shared" si="8"/>
        <v>1.0797835120441033E-3</v>
      </c>
      <c r="R50" s="9">
        <v>300</v>
      </c>
      <c r="S50" s="10">
        <f t="shared" si="9"/>
        <v>9.7992141030289379E-4</v>
      </c>
      <c r="T50" s="9">
        <v>300</v>
      </c>
      <c r="U50" s="10">
        <f t="shared" si="10"/>
        <v>1.0062590318037224E-3</v>
      </c>
      <c r="V50" s="9">
        <v>300</v>
      </c>
      <c r="W50" s="10">
        <f t="shared" si="11"/>
        <v>1.0031774978459271E-3</v>
      </c>
      <c r="X50" s="9">
        <v>300</v>
      </c>
      <c r="Y50" s="10">
        <f t="shared" si="12"/>
        <v>1.0319318941460775E-3</v>
      </c>
      <c r="Z50" s="11">
        <f t="shared" si="25"/>
        <v>300</v>
      </c>
      <c r="AA50" s="10">
        <f t="shared" si="13"/>
        <v>1.0651091173668856E-3</v>
      </c>
      <c r="AB50" s="12">
        <f t="shared" si="29"/>
        <v>3600</v>
      </c>
      <c r="AC50" s="122">
        <f t="shared" si="21"/>
        <v>1.0651091173668856E-3</v>
      </c>
      <c r="AD50" s="5"/>
      <c r="AE50" s="5"/>
    </row>
    <row r="51" spans="1:31" x14ac:dyDescent="0.2">
      <c r="A51" s="9" t="s">
        <v>48</v>
      </c>
      <c r="B51" s="9">
        <v>2500</v>
      </c>
      <c r="C51" s="10">
        <f t="shared" si="22"/>
        <v>1.0947304885199774E-2</v>
      </c>
      <c r="D51" s="9">
        <v>2500</v>
      </c>
      <c r="E51" s="10">
        <f t="shared" si="19"/>
        <v>1.0438718459412175E-2</v>
      </c>
      <c r="F51" s="9">
        <v>2500</v>
      </c>
      <c r="G51" s="10">
        <f t="shared" si="3"/>
        <v>9.0188917643520879E-3</v>
      </c>
      <c r="H51" s="9">
        <v>2500</v>
      </c>
      <c r="I51" s="10">
        <f t="shared" si="4"/>
        <v>8.3390071938280134E-3</v>
      </c>
      <c r="J51" s="9">
        <v>2500</v>
      </c>
      <c r="K51" s="10">
        <f t="shared" si="27"/>
        <v>9.2650118021426354E-3</v>
      </c>
      <c r="L51" s="9">
        <v>2500</v>
      </c>
      <c r="M51" s="10">
        <f t="shared" si="20"/>
        <v>8.4386208809150605E-3</v>
      </c>
      <c r="N51" s="9">
        <v>2500</v>
      </c>
      <c r="O51" s="17">
        <f t="shared" si="7"/>
        <v>8.4142925712129349E-3</v>
      </c>
      <c r="P51" s="9">
        <v>2500</v>
      </c>
      <c r="Q51" s="17">
        <f t="shared" si="8"/>
        <v>8.9981959337008619E-3</v>
      </c>
      <c r="R51" s="9">
        <v>2500</v>
      </c>
      <c r="S51" s="10">
        <f t="shared" si="9"/>
        <v>8.166011752524115E-3</v>
      </c>
      <c r="T51" s="9">
        <v>2500</v>
      </c>
      <c r="U51" s="10">
        <f t="shared" si="10"/>
        <v>8.3854919316976861E-3</v>
      </c>
      <c r="V51" s="9">
        <v>2500</v>
      </c>
      <c r="W51" s="10">
        <f t="shared" si="11"/>
        <v>8.3598124820493929E-3</v>
      </c>
      <c r="X51" s="9">
        <v>2500</v>
      </c>
      <c r="Y51" s="10">
        <f t="shared" si="12"/>
        <v>8.5994324512173124E-3</v>
      </c>
      <c r="Z51" s="11">
        <f t="shared" si="25"/>
        <v>2500</v>
      </c>
      <c r="AA51" s="10">
        <f t="shared" si="13"/>
        <v>8.8759093113907131E-3</v>
      </c>
      <c r="AB51" s="12">
        <f>L51+N51+P51+R51+T51+V51+X51+J51+H51+F51+D51+B51</f>
        <v>30000</v>
      </c>
      <c r="AC51" s="122">
        <f t="shared" si="21"/>
        <v>8.8759093113907131E-3</v>
      </c>
      <c r="AD51" s="5"/>
      <c r="AE51" s="5"/>
    </row>
    <row r="52" spans="1:31" x14ac:dyDescent="0.2">
      <c r="A52" s="9" t="s">
        <v>49</v>
      </c>
      <c r="B52" s="9">
        <v>420.72</v>
      </c>
      <c r="C52" s="10">
        <f t="shared" si="22"/>
        <v>1.8423000445204998E-3</v>
      </c>
      <c r="D52" s="9">
        <v>620.36</v>
      </c>
      <c r="E52" s="10">
        <f t="shared" si="19"/>
        <v>2.5903053533923746E-3</v>
      </c>
      <c r="F52" s="9">
        <v>572.6</v>
      </c>
      <c r="G52" s="10">
        <f t="shared" si="3"/>
        <v>2.0656869697072023E-3</v>
      </c>
      <c r="H52" s="9">
        <v>571.46</v>
      </c>
      <c r="I52" s="10">
        <f t="shared" si="4"/>
        <v>1.9061636203939829E-3</v>
      </c>
      <c r="J52" s="9">
        <v>571.46</v>
      </c>
      <c r="K52" s="10">
        <f t="shared" si="27"/>
        <v>2.1178334577809719E-3</v>
      </c>
      <c r="L52" s="9">
        <v>583.92999999999995</v>
      </c>
      <c r="M52" s="10">
        <f t="shared" si="20"/>
        <v>1.971025556397092E-3</v>
      </c>
      <c r="N52" s="9">
        <v>416.61</v>
      </c>
      <c r="O52" s="17">
        <f t="shared" si="7"/>
        <v>1.4021913712372084E-3</v>
      </c>
      <c r="P52" s="9">
        <v>415.78</v>
      </c>
      <c r="Q52" s="17">
        <f t="shared" si="8"/>
        <v>1.4965079621256576E-3</v>
      </c>
      <c r="R52" s="9">
        <v>457.46</v>
      </c>
      <c r="S52" s="10">
        <f t="shared" si="9"/>
        <v>1.4942494945238724E-3</v>
      </c>
      <c r="T52" s="9">
        <v>482.38</v>
      </c>
      <c r="U52" s="10">
        <f t="shared" si="10"/>
        <v>1.6179974392049321E-3</v>
      </c>
      <c r="V52" s="9">
        <v>590</v>
      </c>
      <c r="W52" s="10">
        <f t="shared" si="11"/>
        <v>1.9729157457636566E-3</v>
      </c>
      <c r="X52" s="9">
        <v>590</v>
      </c>
      <c r="Y52" s="10">
        <f t="shared" si="12"/>
        <v>2.0294660584872855E-3</v>
      </c>
      <c r="Z52" s="11">
        <f t="shared" si="25"/>
        <v>524.39666666666665</v>
      </c>
      <c r="AA52" s="10">
        <f t="shared" si="13"/>
        <v>1.8617989026115675E-3</v>
      </c>
      <c r="AB52" s="12">
        <f t="shared" si="29"/>
        <v>6292.76</v>
      </c>
      <c r="AC52" s="122">
        <f t="shared" si="21"/>
        <v>1.8617989026115675E-3</v>
      </c>
      <c r="AD52" s="5"/>
      <c r="AE52" s="5"/>
    </row>
    <row r="53" spans="1:31" x14ac:dyDescent="0.2">
      <c r="A53" s="9" t="s">
        <v>50</v>
      </c>
      <c r="B53" s="9">
        <v>526.30999999999995</v>
      </c>
      <c r="C53" s="10">
        <f t="shared" si="22"/>
        <v>2.3046704136517968E-3</v>
      </c>
      <c r="D53" s="9">
        <v>526.30999999999995</v>
      </c>
      <c r="E53" s="10">
        <f t="shared" si="19"/>
        <v>2.1976007649492884E-3</v>
      </c>
      <c r="F53" s="9">
        <v>526.30999999999995</v>
      </c>
      <c r="G53" s="10">
        <f t="shared" si="3"/>
        <v>1.8986931697984586E-3</v>
      </c>
      <c r="H53" s="9">
        <v>526.30999999999995</v>
      </c>
      <c r="I53" s="10">
        <f t="shared" si="4"/>
        <v>1.7555611504734487E-3</v>
      </c>
      <c r="J53" s="9">
        <v>526.30999999999995</v>
      </c>
      <c r="K53" s="10">
        <f t="shared" si="27"/>
        <v>1.9505073446342757E-3</v>
      </c>
      <c r="L53" s="9">
        <v>526.30999999999995</v>
      </c>
      <c r="M53" s="10">
        <f t="shared" si="20"/>
        <v>1.7765322223337618E-3</v>
      </c>
      <c r="N53" s="9">
        <v>554.72</v>
      </c>
      <c r="O53" s="17">
        <f t="shared" si="7"/>
        <v>1.8670305500412957E-3</v>
      </c>
      <c r="P53" s="9">
        <v>187.25</v>
      </c>
      <c r="Q53" s="17">
        <f t="shared" si="8"/>
        <v>6.7396487543419452E-4</v>
      </c>
      <c r="R53" s="9">
        <v>416.18</v>
      </c>
      <c r="S53" s="10">
        <f t="shared" si="9"/>
        <v>1.3594123084661944E-3</v>
      </c>
      <c r="T53" s="9">
        <v>208.47</v>
      </c>
      <c r="U53" s="10">
        <f t="shared" si="10"/>
        <v>6.9924940120040676E-4</v>
      </c>
      <c r="V53" s="9">
        <v>500</v>
      </c>
      <c r="W53" s="10">
        <f t="shared" si="11"/>
        <v>1.6719624964098784E-3</v>
      </c>
      <c r="X53" s="9">
        <v>500</v>
      </c>
      <c r="Y53" s="10">
        <f t="shared" si="12"/>
        <v>1.7198864902434625E-3</v>
      </c>
      <c r="Z53" s="11">
        <f t="shared" si="25"/>
        <v>460.37333333333339</v>
      </c>
      <c r="AA53" s="10">
        <f t="shared" si="13"/>
        <v>1.6344927824197258E-3</v>
      </c>
      <c r="AB53" s="12">
        <f t="shared" si="29"/>
        <v>5524.48</v>
      </c>
      <c r="AC53" s="122">
        <f t="shared" si="21"/>
        <v>1.6344927824197256E-3</v>
      </c>
      <c r="AD53" s="5"/>
      <c r="AE53" s="5"/>
    </row>
    <row r="54" spans="1:31" x14ac:dyDescent="0.2">
      <c r="A54" s="9" t="s">
        <v>51</v>
      </c>
      <c r="B54" s="9">
        <v>250</v>
      </c>
      <c r="C54" s="10">
        <f t="shared" si="22"/>
        <v>1.0947304885199774E-3</v>
      </c>
      <c r="D54" s="9">
        <v>250</v>
      </c>
      <c r="E54" s="10">
        <f t="shared" si="19"/>
        <v>1.0438718459412175E-3</v>
      </c>
      <c r="F54" s="9">
        <f>D54</f>
        <v>250</v>
      </c>
      <c r="G54" s="10">
        <f t="shared" si="3"/>
        <v>9.0188917643520879E-4</v>
      </c>
      <c r="H54" s="9">
        <f>F54</f>
        <v>250</v>
      </c>
      <c r="I54" s="10">
        <f t="shared" si="4"/>
        <v>8.3390071938280142E-4</v>
      </c>
      <c r="J54" s="9">
        <f>H54</f>
        <v>250</v>
      </c>
      <c r="K54" s="10">
        <f t="shared" si="27"/>
        <v>9.2650118021426347E-4</v>
      </c>
      <c r="L54" s="9">
        <f>J54</f>
        <v>250</v>
      </c>
      <c r="M54" s="10">
        <f t="shared" si="20"/>
        <v>8.4386208809150601E-4</v>
      </c>
      <c r="N54" s="9">
        <f>L54</f>
        <v>250</v>
      </c>
      <c r="O54" s="17">
        <f t="shared" si="7"/>
        <v>8.4142925712129342E-4</v>
      </c>
      <c r="P54" s="9">
        <f>N54</f>
        <v>250</v>
      </c>
      <c r="Q54" s="10">
        <f t="shared" si="8"/>
        <v>8.9981959337008608E-4</v>
      </c>
      <c r="R54" s="9">
        <f>P54</f>
        <v>250</v>
      </c>
      <c r="S54" s="10">
        <f t="shared" si="9"/>
        <v>8.1660117525241146E-4</v>
      </c>
      <c r="T54" s="9">
        <f>R54</f>
        <v>250</v>
      </c>
      <c r="U54" s="10">
        <f t="shared" si="10"/>
        <v>8.3854919316976866E-4</v>
      </c>
      <c r="V54" s="9">
        <f>T54</f>
        <v>250</v>
      </c>
      <c r="W54" s="10">
        <f t="shared" si="11"/>
        <v>8.359812482049392E-4</v>
      </c>
      <c r="X54" s="9">
        <f>V54</f>
        <v>250</v>
      </c>
      <c r="Y54" s="10">
        <f t="shared" si="12"/>
        <v>8.5994324512173124E-4</v>
      </c>
      <c r="Z54" s="11">
        <f t="shared" si="25"/>
        <v>250</v>
      </c>
      <c r="AA54" s="10">
        <f t="shared" si="13"/>
        <v>8.875909311390714E-4</v>
      </c>
      <c r="AB54" s="12">
        <f t="shared" si="29"/>
        <v>3000</v>
      </c>
      <c r="AC54" s="122">
        <f t="shared" si="21"/>
        <v>8.875909311390714E-4</v>
      </c>
      <c r="AD54" s="5"/>
      <c r="AE54" s="5"/>
    </row>
    <row r="55" spans="1:31" x14ac:dyDescent="0.2">
      <c r="A55" s="9" t="s">
        <v>52</v>
      </c>
      <c r="B55" s="9"/>
      <c r="C55" s="10">
        <f t="shared" si="22"/>
        <v>0</v>
      </c>
      <c r="D55" s="9"/>
      <c r="E55" s="10">
        <f t="shared" si="19"/>
        <v>0</v>
      </c>
      <c r="F55" s="9"/>
      <c r="G55" s="10">
        <f t="shared" si="3"/>
        <v>0</v>
      </c>
      <c r="H55" s="9">
        <v>410.4</v>
      </c>
      <c r="I55" s="10">
        <f t="shared" si="4"/>
        <v>1.3689314209388067E-3</v>
      </c>
      <c r="J55" s="9">
        <f>359.86</f>
        <v>359.86</v>
      </c>
      <c r="K55" s="10">
        <f t="shared" si="27"/>
        <v>1.3336428588476194E-3</v>
      </c>
      <c r="L55" s="9"/>
      <c r="M55" s="10">
        <f t="shared" si="20"/>
        <v>0</v>
      </c>
      <c r="N55" s="9"/>
      <c r="O55" s="17">
        <f t="shared" si="7"/>
        <v>0</v>
      </c>
      <c r="P55" s="9">
        <v>359.86</v>
      </c>
      <c r="Q55" s="10">
        <f t="shared" si="8"/>
        <v>1.2952363154806368E-3</v>
      </c>
      <c r="R55" s="9"/>
      <c r="S55" s="10">
        <f t="shared" si="9"/>
        <v>0</v>
      </c>
      <c r="T55" s="9"/>
      <c r="U55" s="10">
        <f t="shared" si="10"/>
        <v>0</v>
      </c>
      <c r="V55" s="9"/>
      <c r="W55" s="10">
        <f t="shared" si="11"/>
        <v>0</v>
      </c>
      <c r="X55" s="9"/>
      <c r="Y55" s="10">
        <f t="shared" si="12"/>
        <v>0</v>
      </c>
      <c r="Z55" s="11">
        <f t="shared" si="25"/>
        <v>94.176666666666662</v>
      </c>
      <c r="AA55" s="10">
        <f t="shared" si="13"/>
        <v>3.3436142103296243E-4</v>
      </c>
      <c r="AB55" s="12">
        <f t="shared" si="29"/>
        <v>1130.1199999999999</v>
      </c>
      <c r="AC55" s="122">
        <f t="shared" si="21"/>
        <v>3.3436142103296243E-4</v>
      </c>
      <c r="AD55" s="5"/>
      <c r="AE55" s="5"/>
    </row>
    <row r="56" spans="1:31" x14ac:dyDescent="0.2">
      <c r="A56" s="9" t="s">
        <v>107</v>
      </c>
      <c r="B56" s="9">
        <v>750</v>
      </c>
      <c r="C56" s="10">
        <f t="shared" si="22"/>
        <v>3.2841914655599323E-3</v>
      </c>
      <c r="D56" s="9">
        <v>750</v>
      </c>
      <c r="E56" s="10">
        <f t="shared" si="19"/>
        <v>3.1316155378236523E-3</v>
      </c>
      <c r="F56" s="9">
        <v>750</v>
      </c>
      <c r="G56" s="10">
        <f t="shared" si="3"/>
        <v>2.7056675293056264E-3</v>
      </c>
      <c r="H56" s="9">
        <f>F56</f>
        <v>750</v>
      </c>
      <c r="I56" s="10">
        <f t="shared" si="4"/>
        <v>2.5017021581484043E-3</v>
      </c>
      <c r="J56" s="9">
        <f>H56</f>
        <v>750</v>
      </c>
      <c r="K56" s="10">
        <f t="shared" si="27"/>
        <v>2.7795035406427905E-3</v>
      </c>
      <c r="L56" s="9">
        <f>J56</f>
        <v>750</v>
      </c>
      <c r="M56" s="10">
        <f t="shared" si="20"/>
        <v>2.5315862642745178E-3</v>
      </c>
      <c r="N56" s="9">
        <v>750</v>
      </c>
      <c r="O56" s="10">
        <f t="shared" si="7"/>
        <v>2.5242877713638804E-3</v>
      </c>
      <c r="P56" s="9">
        <v>750</v>
      </c>
      <c r="Q56" s="10">
        <f t="shared" si="8"/>
        <v>2.6994587801102586E-3</v>
      </c>
      <c r="R56" s="9">
        <f>P56</f>
        <v>750</v>
      </c>
      <c r="S56" s="10">
        <f t="shared" si="9"/>
        <v>2.4498035257572342E-3</v>
      </c>
      <c r="T56" s="9">
        <v>750</v>
      </c>
      <c r="U56" s="10">
        <f t="shared" si="10"/>
        <v>2.5156475795093062E-3</v>
      </c>
      <c r="V56" s="9">
        <v>750</v>
      </c>
      <c r="W56" s="10">
        <f t="shared" si="11"/>
        <v>2.5079437446148176E-3</v>
      </c>
      <c r="X56" s="9">
        <v>750</v>
      </c>
      <c r="Y56" s="10">
        <f t="shared" si="12"/>
        <v>2.5798297353651937E-3</v>
      </c>
      <c r="Z56" s="11">
        <f t="shared" si="25"/>
        <v>750</v>
      </c>
      <c r="AA56" s="10">
        <f t="shared" si="13"/>
        <v>2.6627727934172142E-3</v>
      </c>
      <c r="AB56" s="12">
        <f t="shared" si="29"/>
        <v>9000</v>
      </c>
      <c r="AC56" s="122">
        <f t="shared" si="21"/>
        <v>2.6627727934172142E-3</v>
      </c>
      <c r="AD56" s="5"/>
      <c r="AE56" s="5"/>
    </row>
    <row r="57" spans="1:31" x14ac:dyDescent="0.2">
      <c r="A57" s="9" t="s">
        <v>53</v>
      </c>
      <c r="B57" s="9">
        <v>300</v>
      </c>
      <c r="C57" s="10">
        <f t="shared" si="22"/>
        <v>1.313676586223973E-3</v>
      </c>
      <c r="D57" s="9"/>
      <c r="E57" s="10">
        <f t="shared" si="19"/>
        <v>0</v>
      </c>
      <c r="F57" s="9"/>
      <c r="G57" s="10">
        <f t="shared" si="3"/>
        <v>0</v>
      </c>
      <c r="H57" s="9">
        <v>300</v>
      </c>
      <c r="I57" s="10">
        <f t="shared" si="4"/>
        <v>1.0006808632593617E-3</v>
      </c>
      <c r="J57" s="9"/>
      <c r="K57" s="10">
        <f t="shared" si="27"/>
        <v>0</v>
      </c>
      <c r="L57" s="9"/>
      <c r="M57" s="10">
        <f t="shared" si="20"/>
        <v>0</v>
      </c>
      <c r="N57" s="9">
        <v>300</v>
      </c>
      <c r="O57" s="10">
        <f t="shared" si="7"/>
        <v>1.0097151085455521E-3</v>
      </c>
      <c r="P57" s="9"/>
      <c r="Q57" s="10">
        <f t="shared" si="8"/>
        <v>0</v>
      </c>
      <c r="R57" s="9"/>
      <c r="S57" s="10">
        <f t="shared" si="9"/>
        <v>0</v>
      </c>
      <c r="T57" s="9">
        <v>300</v>
      </c>
      <c r="U57" s="10">
        <f t="shared" si="10"/>
        <v>1.0062590318037224E-3</v>
      </c>
      <c r="V57" s="9"/>
      <c r="W57" s="10">
        <f t="shared" si="11"/>
        <v>0</v>
      </c>
      <c r="X57" s="9"/>
      <c r="Y57" s="10">
        <f t="shared" si="12"/>
        <v>0</v>
      </c>
      <c r="Z57" s="11">
        <f t="shared" si="25"/>
        <v>100</v>
      </c>
      <c r="AA57" s="10">
        <f t="shared" si="13"/>
        <v>3.5503637245562855E-4</v>
      </c>
      <c r="AB57" s="12">
        <f t="shared" si="29"/>
        <v>1200</v>
      </c>
      <c r="AC57" s="122">
        <f t="shared" si="21"/>
        <v>3.5503637245562855E-4</v>
      </c>
      <c r="AD57" s="5"/>
      <c r="AE57" s="5"/>
    </row>
    <row r="58" spans="1:31" x14ac:dyDescent="0.2">
      <c r="A58" s="9" t="s">
        <v>54</v>
      </c>
      <c r="B58" s="9">
        <v>150</v>
      </c>
      <c r="C58" s="10">
        <f t="shared" si="22"/>
        <v>6.5683829311198648E-4</v>
      </c>
      <c r="D58" s="9">
        <f>B58</f>
        <v>150</v>
      </c>
      <c r="E58" s="10">
        <f t="shared" si="19"/>
        <v>6.2632310756473048E-4</v>
      </c>
      <c r="F58" s="9">
        <f>D58</f>
        <v>150</v>
      </c>
      <c r="G58" s="10">
        <f t="shared" si="3"/>
        <v>5.411335058611253E-4</v>
      </c>
      <c r="H58" s="9">
        <f>F58</f>
        <v>150</v>
      </c>
      <c r="I58" s="10">
        <f t="shared" si="4"/>
        <v>5.0034043162968083E-4</v>
      </c>
      <c r="J58" s="9">
        <f>H58</f>
        <v>150</v>
      </c>
      <c r="K58" s="10">
        <f t="shared" si="27"/>
        <v>5.5590070812855808E-4</v>
      </c>
      <c r="L58" s="9">
        <f>J58</f>
        <v>150</v>
      </c>
      <c r="M58" s="10">
        <f t="shared" si="20"/>
        <v>5.0631725285490363E-4</v>
      </c>
      <c r="N58" s="9">
        <f>L58</f>
        <v>150</v>
      </c>
      <c r="O58" s="10">
        <f t="shared" si="7"/>
        <v>5.0485755427277605E-4</v>
      </c>
      <c r="P58" s="9">
        <f>N58</f>
        <v>150</v>
      </c>
      <c r="Q58" s="10">
        <f t="shared" si="8"/>
        <v>5.3989175602205163E-4</v>
      </c>
      <c r="R58" s="9">
        <f>P58</f>
        <v>150</v>
      </c>
      <c r="S58" s="10">
        <f t="shared" si="9"/>
        <v>4.899607051514469E-4</v>
      </c>
      <c r="T58" s="9">
        <f>R58</f>
        <v>150</v>
      </c>
      <c r="U58" s="10">
        <f t="shared" si="10"/>
        <v>5.0312951590186122E-4</v>
      </c>
      <c r="V58" s="9">
        <f>T58</f>
        <v>150</v>
      </c>
      <c r="W58" s="10">
        <f t="shared" si="11"/>
        <v>5.0158874892296354E-4</v>
      </c>
      <c r="X58" s="9">
        <f>V58</f>
        <v>150</v>
      </c>
      <c r="Y58" s="10">
        <f t="shared" si="12"/>
        <v>5.1596594707303876E-4</v>
      </c>
      <c r="Z58" s="11">
        <f t="shared" si="25"/>
        <v>150</v>
      </c>
      <c r="AA58" s="10">
        <f t="shared" si="13"/>
        <v>5.3255455868344279E-4</v>
      </c>
      <c r="AB58" s="12">
        <f t="shared" si="29"/>
        <v>1800</v>
      </c>
      <c r="AC58" s="122">
        <f t="shared" si="21"/>
        <v>5.3255455868344279E-4</v>
      </c>
      <c r="AD58" s="5"/>
      <c r="AE58" s="5"/>
    </row>
    <row r="59" spans="1:31" x14ac:dyDescent="0.2">
      <c r="A59" s="9" t="s">
        <v>55</v>
      </c>
      <c r="B59" s="9">
        <v>150</v>
      </c>
      <c r="C59" s="10">
        <f t="shared" si="22"/>
        <v>6.5683829311198648E-4</v>
      </c>
      <c r="D59" s="9">
        <f t="shared" ref="D59:X61" si="30">B59</f>
        <v>150</v>
      </c>
      <c r="E59" s="10">
        <f t="shared" si="19"/>
        <v>6.2632310756473048E-4</v>
      </c>
      <c r="F59" s="9">
        <f t="shared" si="30"/>
        <v>150</v>
      </c>
      <c r="G59" s="10">
        <f t="shared" si="3"/>
        <v>5.411335058611253E-4</v>
      </c>
      <c r="H59" s="9">
        <f t="shared" si="30"/>
        <v>150</v>
      </c>
      <c r="I59" s="10">
        <f t="shared" si="4"/>
        <v>5.0034043162968083E-4</v>
      </c>
      <c r="J59" s="9">
        <f t="shared" si="30"/>
        <v>150</v>
      </c>
      <c r="K59" s="10">
        <f t="shared" si="27"/>
        <v>5.5590070812855808E-4</v>
      </c>
      <c r="L59" s="9">
        <f t="shared" si="30"/>
        <v>150</v>
      </c>
      <c r="M59" s="10">
        <f t="shared" si="20"/>
        <v>5.0631725285490363E-4</v>
      </c>
      <c r="N59" s="9">
        <f t="shared" si="30"/>
        <v>150</v>
      </c>
      <c r="O59" s="10">
        <f t="shared" si="7"/>
        <v>5.0485755427277605E-4</v>
      </c>
      <c r="P59" s="9">
        <f t="shared" si="30"/>
        <v>150</v>
      </c>
      <c r="Q59" s="10">
        <f t="shared" si="8"/>
        <v>5.3989175602205163E-4</v>
      </c>
      <c r="R59" s="9">
        <f t="shared" si="30"/>
        <v>150</v>
      </c>
      <c r="S59" s="10">
        <f t="shared" si="9"/>
        <v>4.899607051514469E-4</v>
      </c>
      <c r="T59" s="9">
        <f t="shared" si="30"/>
        <v>150</v>
      </c>
      <c r="U59" s="10">
        <f t="shared" si="10"/>
        <v>5.0312951590186122E-4</v>
      </c>
      <c r="V59" s="9">
        <f t="shared" si="30"/>
        <v>150</v>
      </c>
      <c r="W59" s="10">
        <f t="shared" si="11"/>
        <v>5.0158874892296354E-4</v>
      </c>
      <c r="X59" s="9">
        <f t="shared" si="30"/>
        <v>150</v>
      </c>
      <c r="Y59" s="10">
        <f t="shared" si="12"/>
        <v>5.1596594707303876E-4</v>
      </c>
      <c r="Z59" s="11">
        <f t="shared" si="25"/>
        <v>150</v>
      </c>
      <c r="AA59" s="10">
        <f t="shared" si="13"/>
        <v>5.3255455868344279E-4</v>
      </c>
      <c r="AB59" s="12">
        <f t="shared" si="29"/>
        <v>1800</v>
      </c>
      <c r="AC59" s="122">
        <f t="shared" si="21"/>
        <v>5.3255455868344279E-4</v>
      </c>
      <c r="AD59" s="5"/>
      <c r="AE59" s="5"/>
    </row>
    <row r="60" spans="1:31" x14ac:dyDescent="0.2">
      <c r="A60" s="9" t="s">
        <v>56</v>
      </c>
      <c r="B60" s="9"/>
      <c r="C60" s="10">
        <f t="shared" si="22"/>
        <v>0</v>
      </c>
      <c r="D60" s="9">
        <f t="shared" si="30"/>
        <v>0</v>
      </c>
      <c r="E60" s="10">
        <f t="shared" si="19"/>
        <v>0</v>
      </c>
      <c r="F60" s="9">
        <f t="shared" si="30"/>
        <v>0</v>
      </c>
      <c r="G60" s="10">
        <f t="shared" si="3"/>
        <v>0</v>
      </c>
      <c r="H60" s="9">
        <f t="shared" si="30"/>
        <v>0</v>
      </c>
      <c r="I60" s="10">
        <f t="shared" si="4"/>
        <v>0</v>
      </c>
      <c r="J60" s="9">
        <f t="shared" si="30"/>
        <v>0</v>
      </c>
      <c r="K60" s="10">
        <f t="shared" si="27"/>
        <v>0</v>
      </c>
      <c r="L60" s="9">
        <f t="shared" si="30"/>
        <v>0</v>
      </c>
      <c r="M60" s="10">
        <f t="shared" si="20"/>
        <v>0</v>
      </c>
      <c r="N60" s="9">
        <f t="shared" si="30"/>
        <v>0</v>
      </c>
      <c r="O60" s="10">
        <f t="shared" si="7"/>
        <v>0</v>
      </c>
      <c r="P60" s="9">
        <f t="shared" si="30"/>
        <v>0</v>
      </c>
      <c r="Q60" s="10">
        <f t="shared" si="8"/>
        <v>0</v>
      </c>
      <c r="R60" s="9">
        <f t="shared" si="30"/>
        <v>0</v>
      </c>
      <c r="S60" s="10">
        <f t="shared" si="9"/>
        <v>0</v>
      </c>
      <c r="T60" s="9">
        <f t="shared" si="30"/>
        <v>0</v>
      </c>
      <c r="U60" s="10">
        <f t="shared" si="10"/>
        <v>0</v>
      </c>
      <c r="V60" s="9">
        <f t="shared" si="30"/>
        <v>0</v>
      </c>
      <c r="W60" s="10">
        <f t="shared" si="11"/>
        <v>0</v>
      </c>
      <c r="X60" s="9">
        <f t="shared" si="30"/>
        <v>0</v>
      </c>
      <c r="Y60" s="10">
        <f t="shared" si="12"/>
        <v>0</v>
      </c>
      <c r="Z60" s="11">
        <f t="shared" si="25"/>
        <v>0</v>
      </c>
      <c r="AA60" s="10">
        <f t="shared" si="13"/>
        <v>0</v>
      </c>
      <c r="AB60" s="12">
        <f t="shared" si="29"/>
        <v>0</v>
      </c>
      <c r="AC60" s="122">
        <f t="shared" si="21"/>
        <v>0</v>
      </c>
      <c r="AD60" s="5"/>
      <c r="AE60" s="5"/>
    </row>
    <row r="61" spans="1:31" x14ac:dyDescent="0.2">
      <c r="A61" s="9" t="s">
        <v>57</v>
      </c>
      <c r="B61" s="9">
        <v>150</v>
      </c>
      <c r="C61" s="10">
        <f t="shared" si="22"/>
        <v>6.5683829311198648E-4</v>
      </c>
      <c r="D61" s="9">
        <f t="shared" si="30"/>
        <v>150</v>
      </c>
      <c r="E61" s="10">
        <f t="shared" si="19"/>
        <v>6.2632310756473048E-4</v>
      </c>
      <c r="F61" s="9">
        <f t="shared" si="30"/>
        <v>150</v>
      </c>
      <c r="G61" s="10">
        <f t="shared" si="3"/>
        <v>5.411335058611253E-4</v>
      </c>
      <c r="H61" s="9">
        <f t="shared" si="30"/>
        <v>150</v>
      </c>
      <c r="I61" s="10">
        <f t="shared" si="4"/>
        <v>5.0034043162968083E-4</v>
      </c>
      <c r="J61" s="9">
        <f t="shared" si="30"/>
        <v>150</v>
      </c>
      <c r="K61" s="10">
        <f t="shared" si="27"/>
        <v>5.5590070812855808E-4</v>
      </c>
      <c r="L61" s="9">
        <f t="shared" si="30"/>
        <v>150</v>
      </c>
      <c r="M61" s="10">
        <f t="shared" si="20"/>
        <v>5.0631725285490363E-4</v>
      </c>
      <c r="N61" s="9">
        <f t="shared" si="30"/>
        <v>150</v>
      </c>
      <c r="O61" s="10">
        <f t="shared" si="7"/>
        <v>5.0485755427277605E-4</v>
      </c>
      <c r="P61" s="9">
        <f t="shared" si="30"/>
        <v>150</v>
      </c>
      <c r="Q61" s="10">
        <f t="shared" si="8"/>
        <v>5.3989175602205163E-4</v>
      </c>
      <c r="R61" s="9">
        <f t="shared" si="30"/>
        <v>150</v>
      </c>
      <c r="S61" s="10">
        <f t="shared" si="9"/>
        <v>4.899607051514469E-4</v>
      </c>
      <c r="T61" s="9">
        <f t="shared" si="30"/>
        <v>150</v>
      </c>
      <c r="U61" s="10">
        <f t="shared" si="10"/>
        <v>5.0312951590186122E-4</v>
      </c>
      <c r="V61" s="9">
        <f t="shared" si="30"/>
        <v>150</v>
      </c>
      <c r="W61" s="10">
        <f t="shared" si="11"/>
        <v>5.0158874892296354E-4</v>
      </c>
      <c r="X61" s="9">
        <f t="shared" si="30"/>
        <v>150</v>
      </c>
      <c r="Y61" s="10">
        <f t="shared" si="12"/>
        <v>5.1596594707303876E-4</v>
      </c>
      <c r="Z61" s="11">
        <f t="shared" si="25"/>
        <v>150</v>
      </c>
      <c r="AA61" s="10">
        <f t="shared" si="13"/>
        <v>5.3255455868344279E-4</v>
      </c>
      <c r="AB61" s="12">
        <f t="shared" si="29"/>
        <v>1800</v>
      </c>
      <c r="AC61" s="122">
        <f t="shared" si="21"/>
        <v>5.3255455868344279E-4</v>
      </c>
      <c r="AD61" s="5"/>
      <c r="AE61" s="5"/>
    </row>
    <row r="62" spans="1:31" x14ac:dyDescent="0.2">
      <c r="A62" s="5" t="s">
        <v>58</v>
      </c>
      <c r="B62" s="9"/>
      <c r="C62" s="10">
        <f t="shared" si="22"/>
        <v>0</v>
      </c>
      <c r="D62" s="15"/>
      <c r="E62" s="10">
        <f t="shared" si="19"/>
        <v>0</v>
      </c>
      <c r="F62" s="9"/>
      <c r="G62" s="10">
        <f t="shared" si="3"/>
        <v>0</v>
      </c>
      <c r="H62" s="15"/>
      <c r="I62" s="10">
        <f t="shared" si="4"/>
        <v>0</v>
      </c>
      <c r="J62" s="9"/>
      <c r="K62" s="10">
        <f t="shared" si="27"/>
        <v>0</v>
      </c>
      <c r="L62" s="15"/>
      <c r="M62" s="10">
        <f t="shared" si="20"/>
        <v>0</v>
      </c>
      <c r="N62" s="15"/>
      <c r="O62" s="10">
        <f t="shared" si="7"/>
        <v>0</v>
      </c>
      <c r="P62" s="9"/>
      <c r="Q62" s="10">
        <f t="shared" si="8"/>
        <v>0</v>
      </c>
      <c r="R62" s="9"/>
      <c r="S62" s="10">
        <f t="shared" si="9"/>
        <v>0</v>
      </c>
      <c r="T62" s="15"/>
      <c r="U62" s="10">
        <f t="shared" si="10"/>
        <v>0</v>
      </c>
      <c r="V62" s="15"/>
      <c r="W62" s="10">
        <f t="shared" si="11"/>
        <v>0</v>
      </c>
      <c r="X62" s="15"/>
      <c r="Y62" s="10">
        <f t="shared" si="12"/>
        <v>0</v>
      </c>
      <c r="Z62" s="11">
        <f t="shared" si="25"/>
        <v>0</v>
      </c>
      <c r="AA62" s="10">
        <f t="shared" si="13"/>
        <v>0</v>
      </c>
      <c r="AB62" s="12">
        <f t="shared" si="29"/>
        <v>0</v>
      </c>
      <c r="AC62" s="122">
        <f t="shared" si="21"/>
        <v>0</v>
      </c>
      <c r="AD62" s="5"/>
      <c r="AE62" s="5"/>
    </row>
    <row r="63" spans="1:31" x14ac:dyDescent="0.2">
      <c r="A63" s="15" t="s">
        <v>59</v>
      </c>
      <c r="B63" s="9"/>
      <c r="C63" s="10">
        <f t="shared" si="22"/>
        <v>0</v>
      </c>
      <c r="D63" s="9"/>
      <c r="E63" s="10">
        <f t="shared" si="19"/>
        <v>0</v>
      </c>
      <c r="F63" s="9"/>
      <c r="G63" s="10">
        <f t="shared" si="3"/>
        <v>0</v>
      </c>
      <c r="H63" s="9"/>
      <c r="I63" s="10">
        <f t="shared" si="4"/>
        <v>0</v>
      </c>
      <c r="J63" s="9"/>
      <c r="K63" s="10">
        <f t="shared" si="27"/>
        <v>0</v>
      </c>
      <c r="L63" s="9"/>
      <c r="M63" s="10">
        <f t="shared" si="20"/>
        <v>0</v>
      </c>
      <c r="N63" s="9"/>
      <c r="O63" s="10">
        <f t="shared" si="7"/>
        <v>0</v>
      </c>
      <c r="P63" s="9">
        <v>584.4</v>
      </c>
      <c r="Q63" s="10">
        <f t="shared" si="8"/>
        <v>2.1034182814619134E-3</v>
      </c>
      <c r="R63" s="9"/>
      <c r="S63" s="10">
        <f t="shared" si="9"/>
        <v>0</v>
      </c>
      <c r="T63" s="9">
        <v>880.59</v>
      </c>
      <c r="U63" s="10">
        <f t="shared" si="10"/>
        <v>2.9536721360534667E-3</v>
      </c>
      <c r="V63" s="9">
        <v>1000</v>
      </c>
      <c r="W63" s="10">
        <f t="shared" si="11"/>
        <v>3.3439249928197568E-3</v>
      </c>
      <c r="X63" s="9"/>
      <c r="Y63" s="10">
        <f t="shared" si="12"/>
        <v>0</v>
      </c>
      <c r="Z63" s="11">
        <f t="shared" si="25"/>
        <v>205.41583333333332</v>
      </c>
      <c r="AA63" s="10">
        <f t="shared" si="13"/>
        <v>7.2930092311616652E-4</v>
      </c>
      <c r="AB63" s="12">
        <f t="shared" si="29"/>
        <v>2464.9899999999998</v>
      </c>
      <c r="AC63" s="122">
        <f t="shared" si="21"/>
        <v>7.2930092311616641E-4</v>
      </c>
      <c r="AD63" s="5"/>
      <c r="AE63" s="5"/>
    </row>
    <row r="64" spans="1:31" x14ac:dyDescent="0.2">
      <c r="A64" s="9" t="s">
        <v>60</v>
      </c>
      <c r="B64" s="9">
        <v>1800</v>
      </c>
      <c r="C64" s="10">
        <f t="shared" si="22"/>
        <v>7.8820595173438365E-3</v>
      </c>
      <c r="D64" s="9">
        <v>2500</v>
      </c>
      <c r="E64" s="10">
        <f t="shared" si="19"/>
        <v>1.0438718459412175E-2</v>
      </c>
      <c r="F64" s="9">
        <v>2500</v>
      </c>
      <c r="G64" s="10">
        <f t="shared" si="3"/>
        <v>9.0188917643520879E-3</v>
      </c>
      <c r="H64" s="9">
        <f>1000+1500</f>
        <v>2500</v>
      </c>
      <c r="I64" s="10">
        <f t="shared" si="4"/>
        <v>8.3390071938280134E-3</v>
      </c>
      <c r="J64" s="9">
        <v>2500</v>
      </c>
      <c r="K64" s="10">
        <f t="shared" si="27"/>
        <v>9.2650118021426354E-3</v>
      </c>
      <c r="L64" s="9">
        <v>2500</v>
      </c>
      <c r="M64" s="10">
        <f t="shared" si="20"/>
        <v>8.4386208809150605E-3</v>
      </c>
      <c r="N64" s="9">
        <v>2500</v>
      </c>
      <c r="O64" s="10">
        <f t="shared" si="7"/>
        <v>8.4142925712129349E-3</v>
      </c>
      <c r="P64" s="9">
        <v>2500</v>
      </c>
      <c r="Q64" s="10">
        <f t="shared" si="8"/>
        <v>8.9981959337008619E-3</v>
      </c>
      <c r="R64" s="9">
        <v>2500</v>
      </c>
      <c r="S64" s="10">
        <f t="shared" si="9"/>
        <v>8.166011752524115E-3</v>
      </c>
      <c r="T64" s="9">
        <v>2500</v>
      </c>
      <c r="U64" s="10">
        <f t="shared" si="10"/>
        <v>8.3854919316976861E-3</v>
      </c>
      <c r="V64" s="9">
        <v>2500</v>
      </c>
      <c r="W64" s="10">
        <f t="shared" si="11"/>
        <v>8.3598124820493929E-3</v>
      </c>
      <c r="X64" s="9">
        <v>2500</v>
      </c>
      <c r="Y64" s="10">
        <f t="shared" si="12"/>
        <v>8.5994324512173124E-3</v>
      </c>
      <c r="Z64" s="11">
        <f t="shared" si="25"/>
        <v>2441.6666666666665</v>
      </c>
      <c r="AA64" s="10">
        <f t="shared" si="13"/>
        <v>8.6688047607915968E-3</v>
      </c>
      <c r="AB64" s="12">
        <f t="shared" si="29"/>
        <v>29300</v>
      </c>
      <c r="AC64" s="122">
        <f t="shared" si="21"/>
        <v>8.6688047607915968E-3</v>
      </c>
      <c r="AD64" s="5"/>
      <c r="AE64" s="5"/>
    </row>
    <row r="65" spans="1:31" x14ac:dyDescent="0.2">
      <c r="A65" s="9" t="s">
        <v>130</v>
      </c>
      <c r="B65" s="9">
        <v>1200</v>
      </c>
      <c r="C65" s="10">
        <f t="shared" si="22"/>
        <v>5.2547063448958918E-3</v>
      </c>
      <c r="D65" s="9">
        <v>1200</v>
      </c>
      <c r="E65" s="10">
        <f t="shared" si="19"/>
        <v>5.0105848605178438E-3</v>
      </c>
      <c r="F65" s="9">
        <v>1200</v>
      </c>
      <c r="G65" s="10">
        <f t="shared" si="3"/>
        <v>4.3290680468890024E-3</v>
      </c>
      <c r="H65" s="9">
        <v>1200</v>
      </c>
      <c r="I65" s="10">
        <f t="shared" si="4"/>
        <v>4.0027234530374467E-3</v>
      </c>
      <c r="J65" s="9">
        <v>1200</v>
      </c>
      <c r="K65" s="10">
        <f t="shared" si="27"/>
        <v>4.4472056650284647E-3</v>
      </c>
      <c r="L65" s="9">
        <v>1200</v>
      </c>
      <c r="M65" s="10">
        <f t="shared" si="20"/>
        <v>4.050538022839229E-3</v>
      </c>
      <c r="N65" s="9">
        <v>1200</v>
      </c>
      <c r="O65" s="10">
        <f t="shared" si="7"/>
        <v>4.0388604341822084E-3</v>
      </c>
      <c r="P65" s="9">
        <v>1200</v>
      </c>
      <c r="Q65" s="10">
        <f t="shared" si="8"/>
        <v>4.319134048176413E-3</v>
      </c>
      <c r="R65" s="9">
        <v>1200</v>
      </c>
      <c r="S65" s="10">
        <f t="shared" si="9"/>
        <v>3.9196856412115752E-3</v>
      </c>
      <c r="T65" s="9">
        <v>1200</v>
      </c>
      <c r="U65" s="10">
        <f t="shared" si="10"/>
        <v>4.0250361272148897E-3</v>
      </c>
      <c r="V65" s="9">
        <v>1200</v>
      </c>
      <c r="W65" s="10">
        <f t="shared" si="11"/>
        <v>4.0127099913837084E-3</v>
      </c>
      <c r="X65" s="9">
        <v>1200</v>
      </c>
      <c r="Y65" s="10">
        <f t="shared" si="12"/>
        <v>4.1277275765843101E-3</v>
      </c>
      <c r="Z65" s="11">
        <f t="shared" si="25"/>
        <v>1200</v>
      </c>
      <c r="AA65" s="10">
        <f t="shared" si="13"/>
        <v>4.2604364694675424E-3</v>
      </c>
      <c r="AB65" s="12">
        <f t="shared" si="29"/>
        <v>14400</v>
      </c>
      <c r="AC65" s="122">
        <f t="shared" si="21"/>
        <v>4.2604364694675424E-3</v>
      </c>
      <c r="AD65" s="5"/>
      <c r="AE65" s="5"/>
    </row>
    <row r="66" spans="1:31" x14ac:dyDescent="0.2">
      <c r="A66" s="9" t="s">
        <v>131</v>
      </c>
      <c r="B66" s="9">
        <v>800</v>
      </c>
      <c r="C66" s="10">
        <f t="shared" si="22"/>
        <v>3.5031375632639276E-3</v>
      </c>
      <c r="D66" s="9">
        <v>800</v>
      </c>
      <c r="E66" s="10">
        <f t="shared" si="19"/>
        <v>3.3403899070118962E-3</v>
      </c>
      <c r="F66" s="9">
        <v>800</v>
      </c>
      <c r="G66" s="10"/>
      <c r="H66" s="9">
        <v>800</v>
      </c>
      <c r="I66" s="10">
        <f t="shared" si="4"/>
        <v>2.6684823020249643E-3</v>
      </c>
      <c r="J66" s="9">
        <v>800</v>
      </c>
      <c r="K66" s="10">
        <f t="shared" si="27"/>
        <v>2.9648037766856431E-3</v>
      </c>
      <c r="L66" s="9">
        <v>800</v>
      </c>
      <c r="M66" s="10">
        <f t="shared" si="20"/>
        <v>2.700358681892819E-3</v>
      </c>
      <c r="N66" s="9">
        <v>800</v>
      </c>
      <c r="O66" s="10">
        <f t="shared" si="7"/>
        <v>2.692573622788139E-3</v>
      </c>
      <c r="P66" s="9">
        <v>800</v>
      </c>
      <c r="Q66" s="10">
        <f t="shared" si="8"/>
        <v>2.8794226987842756E-3</v>
      </c>
      <c r="R66" s="9">
        <v>800</v>
      </c>
      <c r="S66" s="10">
        <f t="shared" si="9"/>
        <v>2.6131237608077165E-3</v>
      </c>
      <c r="T66" s="9">
        <v>800</v>
      </c>
      <c r="U66" s="10"/>
      <c r="V66" s="9">
        <v>1050</v>
      </c>
      <c r="W66" s="10">
        <f t="shared" si="11"/>
        <v>3.5111212424607445E-3</v>
      </c>
      <c r="X66" s="9">
        <v>1800</v>
      </c>
      <c r="Y66" s="10">
        <f t="shared" si="12"/>
        <v>6.1915913648764647E-3</v>
      </c>
      <c r="Z66" s="11">
        <f t="shared" si="25"/>
        <v>904.16666666666663</v>
      </c>
      <c r="AA66" s="10">
        <f t="shared" si="13"/>
        <v>3.2101205342863078E-3</v>
      </c>
      <c r="AB66" s="12">
        <f>L66+N66+P66+R66+T66+V66+X66+J66+H66+F66+D66+B66</f>
        <v>10850</v>
      </c>
      <c r="AC66" s="122">
        <f t="shared" si="21"/>
        <v>3.2101205342863082E-3</v>
      </c>
      <c r="AD66" s="5"/>
      <c r="AE66" s="5"/>
    </row>
    <row r="67" spans="1:31" x14ac:dyDescent="0.2">
      <c r="A67" s="9" t="s">
        <v>61</v>
      </c>
      <c r="B67" s="9">
        <v>2000</v>
      </c>
      <c r="C67" s="10">
        <f t="shared" si="22"/>
        <v>8.7578439081598194E-3</v>
      </c>
      <c r="D67" s="9">
        <f>B67</f>
        <v>2000</v>
      </c>
      <c r="E67" s="10">
        <f t="shared" si="19"/>
        <v>8.35097476752974E-3</v>
      </c>
      <c r="F67" s="9">
        <f>D67</f>
        <v>2000</v>
      </c>
      <c r="G67" s="10">
        <f t="shared" si="3"/>
        <v>7.2151134114816703E-3</v>
      </c>
      <c r="H67" s="9">
        <f>F67</f>
        <v>2000</v>
      </c>
      <c r="I67" s="10">
        <f t="shared" si="4"/>
        <v>6.6712057550624114E-3</v>
      </c>
      <c r="J67" s="9">
        <f>H67</f>
        <v>2000</v>
      </c>
      <c r="K67" s="10">
        <f t="shared" si="27"/>
        <v>7.4120094417141078E-3</v>
      </c>
      <c r="L67" s="9">
        <v>1500</v>
      </c>
      <c r="M67" s="10">
        <f t="shared" si="20"/>
        <v>5.0631725285490356E-3</v>
      </c>
      <c r="N67" s="9">
        <v>1500</v>
      </c>
      <c r="O67" s="10">
        <f t="shared" si="7"/>
        <v>5.0485755427277608E-3</v>
      </c>
      <c r="P67" s="9">
        <v>1500</v>
      </c>
      <c r="Q67" s="10">
        <f t="shared" si="8"/>
        <v>5.3989175602205172E-3</v>
      </c>
      <c r="R67" s="9">
        <v>1500</v>
      </c>
      <c r="S67" s="10">
        <f t="shared" si="9"/>
        <v>4.8996070515144683E-3</v>
      </c>
      <c r="T67" s="9">
        <v>1500</v>
      </c>
      <c r="U67" s="10">
        <f t="shared" si="10"/>
        <v>5.0312951590186124E-3</v>
      </c>
      <c r="V67" s="9">
        <v>1500</v>
      </c>
      <c r="W67" s="10">
        <f t="shared" si="11"/>
        <v>5.0158874892296352E-3</v>
      </c>
      <c r="X67" s="9">
        <v>1500</v>
      </c>
      <c r="Y67" s="10">
        <f t="shared" si="12"/>
        <v>5.1596594707303874E-3</v>
      </c>
      <c r="Z67" s="11">
        <f t="shared" si="25"/>
        <v>1708.3333333333333</v>
      </c>
      <c r="AA67" s="10">
        <f t="shared" si="13"/>
        <v>6.0652046961169872E-3</v>
      </c>
      <c r="AB67" s="12">
        <f t="shared" si="29"/>
        <v>20500</v>
      </c>
      <c r="AC67" s="122">
        <f t="shared" si="21"/>
        <v>6.0652046961169872E-3</v>
      </c>
      <c r="AD67" s="5"/>
      <c r="AE67" s="5"/>
    </row>
    <row r="68" spans="1:31" x14ac:dyDescent="0.2">
      <c r="A68" s="73" t="s">
        <v>62</v>
      </c>
      <c r="B68" s="71">
        <f>SUM(B69:B79)</f>
        <v>15079.83</v>
      </c>
      <c r="C68" s="6">
        <f t="shared" si="1"/>
        <v>6.6033398650792843E-2</v>
      </c>
      <c r="D68" s="71">
        <f>SUM(D69:D79)</f>
        <v>10079.83</v>
      </c>
      <c r="E68" s="6">
        <f t="shared" si="19"/>
        <v>4.208820299549465E-2</v>
      </c>
      <c r="F68" s="71">
        <f>SUM(F69:F79)</f>
        <v>15079.83</v>
      </c>
      <c r="G68" s="6">
        <f t="shared" si="3"/>
        <v>5.440134183793182E-2</v>
      </c>
      <c r="H68" s="71">
        <f>SUM(H69:H79)</f>
        <v>17579.830000000002</v>
      </c>
      <c r="I68" s="6">
        <f t="shared" si="4"/>
        <v>5.8639331534509419E-2</v>
      </c>
      <c r="J68" s="71">
        <f>SUM(J69:J79)</f>
        <v>22071.4</v>
      </c>
      <c r="K68" s="6">
        <f t="shared" si="27"/>
        <v>8.1796712595924387E-2</v>
      </c>
      <c r="L68" s="71">
        <f>SUM(L69:L79)</f>
        <v>11459.83</v>
      </c>
      <c r="M68" s="6">
        <f t="shared" si="20"/>
        <v>3.8682064291894733E-2</v>
      </c>
      <c r="N68" s="71">
        <f>SUM(N69:N79)</f>
        <v>16459.830000000002</v>
      </c>
      <c r="O68" s="6">
        <f t="shared" si="7"/>
        <v>5.5399130116971125E-2</v>
      </c>
      <c r="P68" s="71">
        <f>SUM(P69:P79)</f>
        <v>11459.83</v>
      </c>
      <c r="Q68" s="6">
        <f t="shared" si="8"/>
        <v>4.1247118282761258E-2</v>
      </c>
      <c r="R68" s="71">
        <f>SUM(R69:R79)</f>
        <v>4459.83</v>
      </c>
      <c r="S68" s="6">
        <f t="shared" si="9"/>
        <v>1.4567609677703848E-2</v>
      </c>
      <c r="T68" s="71">
        <f>SUM(T69:T79)</f>
        <v>4459.83</v>
      </c>
      <c r="U68" s="6">
        <f t="shared" si="10"/>
        <v>1.4959147392697318E-2</v>
      </c>
      <c r="V68" s="71">
        <f>SUM(V69:V79)</f>
        <v>4459.83</v>
      </c>
      <c r="W68" s="6">
        <f t="shared" si="11"/>
        <v>1.4913337000727335E-2</v>
      </c>
      <c r="X68" s="71">
        <f>SUM(X69:X79)</f>
        <v>19459.830000000002</v>
      </c>
      <c r="Y68" s="6">
        <f t="shared" si="12"/>
        <v>6.6937397438868881E-2</v>
      </c>
      <c r="Z68" s="70">
        <f>(B68+D68+F68+H68+J68+L68+N68+P68+R68+T68+V68+X68)/AE$2</f>
        <v>12675.794166666668</v>
      </c>
      <c r="AA68" s="58">
        <f t="shared" si="13"/>
        <v>4.5003679789275511E-2</v>
      </c>
      <c r="AB68" s="71">
        <f>SUM(AB69:AB79)</f>
        <v>152109.53000000003</v>
      </c>
      <c r="AC68" s="124">
        <f>AB68/AB$2</f>
        <v>4.5003679789275511E-2</v>
      </c>
      <c r="AD68" s="5"/>
      <c r="AE68" s="5"/>
    </row>
    <row r="69" spans="1:31" x14ac:dyDescent="0.2">
      <c r="A69" s="9" t="s">
        <v>141</v>
      </c>
      <c r="B69" s="9"/>
      <c r="C69" s="10">
        <f t="shared" si="1"/>
        <v>0</v>
      </c>
      <c r="D69" s="9"/>
      <c r="E69" s="10">
        <f t="shared" si="19"/>
        <v>0</v>
      </c>
      <c r="F69" s="9"/>
      <c r="G69" s="10">
        <f t="shared" si="3"/>
        <v>0</v>
      </c>
      <c r="H69" s="9"/>
      <c r="I69" s="10">
        <f t="shared" si="4"/>
        <v>0</v>
      </c>
      <c r="J69" s="9"/>
      <c r="K69" s="10">
        <f t="shared" si="27"/>
        <v>0</v>
      </c>
      <c r="L69" s="9"/>
      <c r="M69" s="10">
        <f t="shared" si="20"/>
        <v>0</v>
      </c>
      <c r="N69" s="9"/>
      <c r="O69" s="10">
        <f t="shared" si="7"/>
        <v>0</v>
      </c>
      <c r="P69" s="9"/>
      <c r="Q69" s="10">
        <f t="shared" si="8"/>
        <v>0</v>
      </c>
      <c r="R69" s="9"/>
      <c r="S69" s="10">
        <f t="shared" si="9"/>
        <v>0</v>
      </c>
      <c r="T69" s="9"/>
      <c r="U69" s="10">
        <f t="shared" si="10"/>
        <v>0</v>
      </c>
      <c r="V69" s="9"/>
      <c r="W69" s="10">
        <f t="shared" si="11"/>
        <v>0</v>
      </c>
      <c r="X69" s="9"/>
      <c r="Y69" s="10">
        <f t="shared" si="12"/>
        <v>0</v>
      </c>
      <c r="Z69" s="11">
        <f t="shared" si="25"/>
        <v>0</v>
      </c>
      <c r="AA69" s="10">
        <f t="shared" si="13"/>
        <v>0</v>
      </c>
      <c r="AB69" s="12">
        <f t="shared" ref="AB69:AB79" si="31">L69+N69+P69+R69+T69+V69+X69+J69+H69+F69+D69+B69</f>
        <v>0</v>
      </c>
      <c r="AC69" s="126">
        <f>AB69/AB$2</f>
        <v>0</v>
      </c>
      <c r="AD69" s="5"/>
      <c r="AE69" s="18"/>
    </row>
    <row r="70" spans="1:31" x14ac:dyDescent="0.2">
      <c r="A70" s="9" t="s">
        <v>63</v>
      </c>
      <c r="B70" s="9">
        <v>20</v>
      </c>
      <c r="C70" s="10">
        <f t="shared" si="1"/>
        <v>8.7578439081598196E-5</v>
      </c>
      <c r="D70" s="9">
        <v>20</v>
      </c>
      <c r="E70" s="10">
        <f t="shared" si="19"/>
        <v>8.3509747675297396E-5</v>
      </c>
      <c r="F70" s="9">
        <v>20</v>
      </c>
      <c r="G70" s="10">
        <f t="shared" si="3"/>
        <v>7.2151134114816699E-5</v>
      </c>
      <c r="H70" s="9">
        <v>20</v>
      </c>
      <c r="I70" s="10">
        <f t="shared" si="4"/>
        <v>6.6712057550624105E-5</v>
      </c>
      <c r="J70" s="9">
        <v>11.57</v>
      </c>
      <c r="K70" s="10">
        <f t="shared" si="27"/>
        <v>4.287847462031611E-5</v>
      </c>
      <c r="L70" s="9"/>
      <c r="M70" s="10">
        <f t="shared" si="20"/>
        <v>0</v>
      </c>
      <c r="N70" s="9"/>
      <c r="O70" s="10">
        <f t="shared" si="7"/>
        <v>0</v>
      </c>
      <c r="P70" s="9"/>
      <c r="Q70" s="10">
        <f t="shared" si="8"/>
        <v>0</v>
      </c>
      <c r="R70" s="9"/>
      <c r="S70" s="10">
        <f t="shared" si="9"/>
        <v>0</v>
      </c>
      <c r="T70" s="9"/>
      <c r="U70" s="10">
        <f t="shared" si="10"/>
        <v>0</v>
      </c>
      <c r="V70" s="9"/>
      <c r="W70" s="10">
        <f t="shared" si="11"/>
        <v>0</v>
      </c>
      <c r="X70" s="9"/>
      <c r="Y70" s="10">
        <f t="shared" si="12"/>
        <v>0</v>
      </c>
      <c r="Z70" s="11">
        <f t="shared" si="25"/>
        <v>7.6308333333333325</v>
      </c>
      <c r="AA70" s="10">
        <f t="shared" si="13"/>
        <v>2.7092233854801586E-5</v>
      </c>
      <c r="AB70" s="12">
        <f t="shared" si="31"/>
        <v>91.57</v>
      </c>
      <c r="AC70" s="126">
        <f t="shared" ref="AC70:AC79" si="32">AB70/AB$2</f>
        <v>2.7092233854801586E-5</v>
      </c>
      <c r="AD70" s="5"/>
      <c r="AE70" s="18"/>
    </row>
    <row r="71" spans="1:31" x14ac:dyDescent="0.2">
      <c r="A71" s="9" t="s">
        <v>64</v>
      </c>
      <c r="B71" s="9"/>
      <c r="C71" s="10">
        <f t="shared" si="1"/>
        <v>0</v>
      </c>
      <c r="D71" s="9"/>
      <c r="E71" s="10">
        <f t="shared" si="19"/>
        <v>0</v>
      </c>
      <c r="F71" s="9">
        <v>5000</v>
      </c>
      <c r="G71" s="10">
        <f t="shared" si="3"/>
        <v>1.8037783528704176E-2</v>
      </c>
      <c r="H71" s="9"/>
      <c r="I71" s="10">
        <f t="shared" si="4"/>
        <v>0</v>
      </c>
      <c r="J71" s="9"/>
      <c r="K71" s="10">
        <f t="shared" si="27"/>
        <v>0</v>
      </c>
      <c r="L71" s="9"/>
      <c r="M71" s="10">
        <f t="shared" si="20"/>
        <v>0</v>
      </c>
      <c r="N71" s="9">
        <v>5000</v>
      </c>
      <c r="O71" s="10">
        <f t="shared" si="7"/>
        <v>1.682858514242587E-2</v>
      </c>
      <c r="P71" s="9"/>
      <c r="Q71" s="10">
        <f t="shared" si="8"/>
        <v>0</v>
      </c>
      <c r="R71" s="9"/>
      <c r="S71" s="10">
        <f t="shared" si="9"/>
        <v>0</v>
      </c>
      <c r="T71" s="9"/>
      <c r="U71" s="10">
        <f t="shared" si="10"/>
        <v>0</v>
      </c>
      <c r="V71" s="9"/>
      <c r="W71" s="10">
        <f t="shared" si="11"/>
        <v>0</v>
      </c>
      <c r="X71" s="9"/>
      <c r="Y71" s="10">
        <f t="shared" si="12"/>
        <v>0</v>
      </c>
      <c r="Z71" s="11">
        <f t="shared" si="25"/>
        <v>833.33333333333337</v>
      </c>
      <c r="AA71" s="10">
        <f t="shared" si="13"/>
        <v>2.958636437130238E-3</v>
      </c>
      <c r="AB71" s="12">
        <f t="shared" si="31"/>
        <v>10000</v>
      </c>
      <c r="AC71" s="126">
        <f t="shared" si="32"/>
        <v>2.958636437130238E-3</v>
      </c>
      <c r="AD71" s="5"/>
      <c r="AE71" s="5"/>
    </row>
    <row r="72" spans="1:31" x14ac:dyDescent="0.2">
      <c r="A72" s="9" t="s">
        <v>65</v>
      </c>
      <c r="B72" s="9"/>
      <c r="C72" s="10">
        <f t="shared" si="1"/>
        <v>0</v>
      </c>
      <c r="D72" s="9"/>
      <c r="E72" s="10">
        <f t="shared" si="19"/>
        <v>0</v>
      </c>
      <c r="F72" s="9"/>
      <c r="G72" s="10">
        <f t="shared" si="3"/>
        <v>0</v>
      </c>
      <c r="H72" s="9"/>
      <c r="I72" s="10">
        <f t="shared" si="4"/>
        <v>0</v>
      </c>
      <c r="J72" s="9">
        <v>5000</v>
      </c>
      <c r="K72" s="10">
        <f t="shared" si="27"/>
        <v>1.8530023604285271E-2</v>
      </c>
      <c r="L72" s="9"/>
      <c r="M72" s="10">
        <f t="shared" si="20"/>
        <v>0</v>
      </c>
      <c r="N72" s="9"/>
      <c r="O72" s="10">
        <f t="shared" si="7"/>
        <v>0</v>
      </c>
      <c r="P72" s="9"/>
      <c r="Q72" s="10">
        <f t="shared" si="8"/>
        <v>0</v>
      </c>
      <c r="R72" s="9"/>
      <c r="S72" s="10">
        <f t="shared" si="9"/>
        <v>0</v>
      </c>
      <c r="T72" s="9"/>
      <c r="U72" s="10">
        <f t="shared" si="10"/>
        <v>0</v>
      </c>
      <c r="V72" s="9"/>
      <c r="W72" s="10">
        <f t="shared" si="11"/>
        <v>0</v>
      </c>
      <c r="X72" s="9">
        <v>15000</v>
      </c>
      <c r="Y72" s="10">
        <f t="shared" si="12"/>
        <v>5.1596594707303871E-2</v>
      </c>
      <c r="Z72" s="11">
        <f t="shared" si="25"/>
        <v>1666.6666666666667</v>
      </c>
      <c r="AA72" s="10">
        <f t="shared" si="13"/>
        <v>5.917272874260476E-3</v>
      </c>
      <c r="AB72" s="12">
        <f t="shared" si="31"/>
        <v>20000</v>
      </c>
      <c r="AC72" s="126">
        <f t="shared" si="32"/>
        <v>5.917272874260476E-3</v>
      </c>
      <c r="AD72" s="5"/>
      <c r="AE72" s="5"/>
    </row>
    <row r="73" spans="1:31" x14ac:dyDescent="0.2">
      <c r="A73" s="9" t="s">
        <v>66</v>
      </c>
      <c r="B73" s="9">
        <v>5000</v>
      </c>
      <c r="C73" s="10">
        <f t="shared" si="1"/>
        <v>2.1894609770399549E-2</v>
      </c>
      <c r="D73" s="9"/>
      <c r="E73" s="10">
        <f t="shared" si="19"/>
        <v>0</v>
      </c>
      <c r="F73" s="9"/>
      <c r="G73" s="10">
        <f t="shared" si="3"/>
        <v>0</v>
      </c>
      <c r="H73" s="9"/>
      <c r="I73" s="10">
        <f t="shared" si="4"/>
        <v>0</v>
      </c>
      <c r="J73" s="9"/>
      <c r="K73" s="10">
        <f t="shared" si="27"/>
        <v>0</v>
      </c>
      <c r="L73" s="9"/>
      <c r="M73" s="10">
        <f t="shared" si="20"/>
        <v>0</v>
      </c>
      <c r="N73" s="9"/>
      <c r="O73" s="10">
        <f t="shared" si="7"/>
        <v>0</v>
      </c>
      <c r="P73" s="9"/>
      <c r="Q73" s="10">
        <f t="shared" si="8"/>
        <v>0</v>
      </c>
      <c r="R73" s="9"/>
      <c r="S73" s="10">
        <f t="shared" si="9"/>
        <v>0</v>
      </c>
      <c r="T73" s="9"/>
      <c r="U73" s="10">
        <f t="shared" si="10"/>
        <v>0</v>
      </c>
      <c r="V73" s="9"/>
      <c r="W73" s="10">
        <f t="shared" si="11"/>
        <v>0</v>
      </c>
      <c r="X73" s="9"/>
      <c r="Y73" s="10">
        <f t="shared" si="12"/>
        <v>0</v>
      </c>
      <c r="Z73" s="11">
        <f t="shared" si="25"/>
        <v>416.66666666666669</v>
      </c>
      <c r="AA73" s="10">
        <f t="shared" si="13"/>
        <v>1.479318218565119E-3</v>
      </c>
      <c r="AB73" s="12">
        <f t="shared" si="31"/>
        <v>5000</v>
      </c>
      <c r="AC73" s="126">
        <f t="shared" si="32"/>
        <v>1.479318218565119E-3</v>
      </c>
      <c r="AD73" s="5"/>
      <c r="AE73" s="5"/>
    </row>
    <row r="74" spans="1:31" x14ac:dyDescent="0.2">
      <c r="A74" s="9" t="s">
        <v>67</v>
      </c>
      <c r="B74" s="9"/>
      <c r="C74" s="10">
        <f t="shared" ref="C74:C79" si="33">B74/B$2</f>
        <v>0</v>
      </c>
      <c r="D74" s="9"/>
      <c r="E74" s="10">
        <f t="shared" si="19"/>
        <v>0</v>
      </c>
      <c r="F74" s="9"/>
      <c r="G74" s="10">
        <f t="shared" ref="G74:G79" si="34">F74/F$2</f>
        <v>0</v>
      </c>
      <c r="H74" s="9">
        <v>500</v>
      </c>
      <c r="I74" s="10">
        <f t="shared" ref="I74:I80" si="35">H74/H$2</f>
        <v>1.6678014387656028E-3</v>
      </c>
      <c r="J74" s="9"/>
      <c r="K74" s="10">
        <f t="shared" si="27"/>
        <v>0</v>
      </c>
      <c r="L74" s="9"/>
      <c r="M74" s="10">
        <f t="shared" si="20"/>
        <v>0</v>
      </c>
      <c r="N74" s="9"/>
      <c r="O74" s="10">
        <f t="shared" ref="O74:O78" si="36">N74/N$2</f>
        <v>0</v>
      </c>
      <c r="P74" s="9"/>
      <c r="Q74" s="10">
        <f t="shared" ref="Q74:Q79" si="37">P74/P$2</f>
        <v>0</v>
      </c>
      <c r="R74" s="9"/>
      <c r="S74" s="10">
        <f t="shared" ref="S74:S79" si="38">R74/R$2</f>
        <v>0</v>
      </c>
      <c r="T74" s="9"/>
      <c r="U74" s="10">
        <f t="shared" ref="U74:U79" si="39">T74/T$2</f>
        <v>0</v>
      </c>
      <c r="V74" s="9"/>
      <c r="W74" s="10">
        <f t="shared" ref="W74:W79" si="40">V74/V$2</f>
        <v>0</v>
      </c>
      <c r="X74" s="9"/>
      <c r="Y74" s="10">
        <f t="shared" ref="Y74:Y79" si="41">X74/X$2</f>
        <v>0</v>
      </c>
      <c r="Z74" s="11">
        <f t="shared" si="25"/>
        <v>41.666666666666664</v>
      </c>
      <c r="AA74" s="10">
        <f t="shared" si="13"/>
        <v>1.4793182185651187E-4</v>
      </c>
      <c r="AB74" s="12">
        <f t="shared" si="31"/>
        <v>500</v>
      </c>
      <c r="AC74" s="126">
        <f t="shared" si="32"/>
        <v>1.479318218565119E-4</v>
      </c>
      <c r="AD74" s="5"/>
      <c r="AE74" s="5"/>
    </row>
    <row r="75" spans="1:31" x14ac:dyDescent="0.2">
      <c r="A75" s="9" t="s">
        <v>68</v>
      </c>
      <c r="B75" s="9"/>
      <c r="C75" s="10">
        <f t="shared" si="33"/>
        <v>0</v>
      </c>
      <c r="D75" s="9"/>
      <c r="E75" s="10">
        <f t="shared" si="19"/>
        <v>0</v>
      </c>
      <c r="F75" s="9"/>
      <c r="G75" s="10">
        <f t="shared" si="34"/>
        <v>0</v>
      </c>
      <c r="H75" s="9"/>
      <c r="I75" s="10">
        <f t="shared" si="35"/>
        <v>0</v>
      </c>
      <c r="J75" s="9"/>
      <c r="K75" s="10">
        <f t="shared" si="27"/>
        <v>0</v>
      </c>
      <c r="L75" s="9"/>
      <c r="M75" s="10">
        <f t="shared" si="20"/>
        <v>0</v>
      </c>
      <c r="N75" s="9"/>
      <c r="O75" s="10">
        <f t="shared" si="36"/>
        <v>0</v>
      </c>
      <c r="P75" s="9"/>
      <c r="Q75" s="10">
        <f t="shared" si="37"/>
        <v>0</v>
      </c>
      <c r="R75" s="9"/>
      <c r="S75" s="10">
        <f t="shared" si="38"/>
        <v>0</v>
      </c>
      <c r="T75" s="9"/>
      <c r="U75" s="10">
        <f t="shared" si="39"/>
        <v>0</v>
      </c>
      <c r="V75" s="9"/>
      <c r="W75" s="10">
        <f t="shared" si="40"/>
        <v>0</v>
      </c>
      <c r="X75" s="9"/>
      <c r="Y75" s="10">
        <f t="shared" si="41"/>
        <v>0</v>
      </c>
      <c r="Z75" s="11">
        <f>(B75+D75+F75+H75+J75+L75+N75+P75+R75+T75+V75+X75)/AE$2</f>
        <v>0</v>
      </c>
      <c r="AA75" s="10">
        <f t="shared" si="13"/>
        <v>0</v>
      </c>
      <c r="AB75" s="12">
        <f>L75+N75+P75+R75+T75+V75+X75+J75+H75+F75+D75+B75</f>
        <v>0</v>
      </c>
      <c r="AC75" s="126">
        <f t="shared" si="32"/>
        <v>0</v>
      </c>
      <c r="AD75" s="5"/>
      <c r="AE75" s="18"/>
    </row>
    <row r="76" spans="1:31" x14ac:dyDescent="0.2">
      <c r="A76" s="9" t="s">
        <v>69</v>
      </c>
      <c r="B76" s="9">
        <v>4459.83</v>
      </c>
      <c r="C76" s="10">
        <f t="shared" si="33"/>
        <v>1.9529247498464204E-2</v>
      </c>
      <c r="D76" s="9">
        <v>4459.83</v>
      </c>
      <c r="E76" s="10">
        <f t="shared" si="19"/>
        <v>1.862196389873608E-2</v>
      </c>
      <c r="F76" s="9">
        <v>4459.83</v>
      </c>
      <c r="G76" s="10">
        <f t="shared" si="34"/>
        <v>1.608908962296415E-2</v>
      </c>
      <c r="H76" s="9">
        <v>4459.83</v>
      </c>
      <c r="I76" s="10">
        <f t="shared" si="35"/>
        <v>1.4876221781299995E-2</v>
      </c>
      <c r="J76" s="9">
        <v>4459.83</v>
      </c>
      <c r="K76" s="10">
        <f t="shared" si="27"/>
        <v>1.6528151034219913E-2</v>
      </c>
      <c r="L76" s="9">
        <v>4459.83</v>
      </c>
      <c r="M76" s="10">
        <f t="shared" si="20"/>
        <v>1.5053925825332564E-2</v>
      </c>
      <c r="N76" s="9">
        <v>4459.83</v>
      </c>
      <c r="O76" s="10">
        <f t="shared" si="36"/>
        <v>1.5010525775149032E-2</v>
      </c>
      <c r="P76" s="9">
        <v>4459.83</v>
      </c>
      <c r="Q76" s="10">
        <f t="shared" si="37"/>
        <v>1.6052169668398845E-2</v>
      </c>
      <c r="R76" s="9">
        <v>4459.83</v>
      </c>
      <c r="S76" s="10">
        <f t="shared" si="38"/>
        <v>1.4567609677703848E-2</v>
      </c>
      <c r="T76" s="9">
        <v>4459.83</v>
      </c>
      <c r="U76" s="10">
        <f t="shared" si="39"/>
        <v>1.4959147392697318E-2</v>
      </c>
      <c r="V76" s="9">
        <v>4459.83</v>
      </c>
      <c r="W76" s="10">
        <f t="shared" si="40"/>
        <v>1.4913337000727335E-2</v>
      </c>
      <c r="X76" s="9">
        <v>4459.83</v>
      </c>
      <c r="Y76" s="10">
        <f t="shared" si="41"/>
        <v>1.5340802731565002E-2</v>
      </c>
      <c r="Z76" s="11">
        <f>(B76+D76+F76+H76+J76+L76+N76+P76+R76+T76+V76+X76)/AE$2</f>
        <v>4459.8300000000008</v>
      </c>
      <c r="AA76" s="10">
        <f t="shared" si="13"/>
        <v>1.5834018649687861E-2</v>
      </c>
      <c r="AB76" s="12">
        <f>L76+N76+P76+R76+T76+V76+X76+J76+H76+F76+D76+B76</f>
        <v>53517.960000000014</v>
      </c>
      <c r="AC76" s="126">
        <f t="shared" si="32"/>
        <v>1.5834018649687861E-2</v>
      </c>
      <c r="AD76" s="5"/>
      <c r="AE76" s="18"/>
    </row>
    <row r="77" spans="1:31" x14ac:dyDescent="0.2">
      <c r="A77" s="9" t="s">
        <v>132</v>
      </c>
      <c r="B77" s="9"/>
      <c r="C77" s="10">
        <f t="shared" si="33"/>
        <v>0</v>
      </c>
      <c r="D77" s="9"/>
      <c r="E77" s="10">
        <f t="shared" si="19"/>
        <v>0</v>
      </c>
      <c r="F77" s="9"/>
      <c r="G77" s="10">
        <f t="shared" si="34"/>
        <v>0</v>
      </c>
      <c r="H77" s="9"/>
      <c r="I77" s="10">
        <f t="shared" si="35"/>
        <v>0</v>
      </c>
      <c r="J77" s="9"/>
      <c r="K77" s="10">
        <f t="shared" si="27"/>
        <v>0</v>
      </c>
      <c r="L77" s="9"/>
      <c r="M77" s="10">
        <f t="shared" si="20"/>
        <v>0</v>
      </c>
      <c r="N77" s="9"/>
      <c r="O77" s="10">
        <f t="shared" si="36"/>
        <v>0</v>
      </c>
      <c r="P77" s="9"/>
      <c r="Q77" s="10">
        <f t="shared" si="37"/>
        <v>0</v>
      </c>
      <c r="R77" s="9"/>
      <c r="S77" s="10">
        <f t="shared" si="38"/>
        <v>0</v>
      </c>
      <c r="T77" s="9"/>
      <c r="U77" s="10">
        <f t="shared" si="39"/>
        <v>0</v>
      </c>
      <c r="V77" s="9"/>
      <c r="W77" s="10">
        <f t="shared" si="40"/>
        <v>0</v>
      </c>
      <c r="X77" s="9"/>
      <c r="Y77" s="10">
        <f t="shared" si="41"/>
        <v>0</v>
      </c>
      <c r="Z77" s="11">
        <f t="shared" ref="Z77:Z78" si="42">(B77+D77+F77+H77+J77+L77+N77+P77+R77+T77+V77+X77)/AE$2</f>
        <v>0</v>
      </c>
      <c r="AA77" s="10">
        <f t="shared" si="13"/>
        <v>0</v>
      </c>
      <c r="AB77" s="12">
        <f t="shared" ref="AB77:AB78" si="43">L77+N77+P77+R77+T77+V77+X77+J77+H77+F77+D77+B77</f>
        <v>0</v>
      </c>
      <c r="AC77" s="126">
        <f t="shared" si="32"/>
        <v>0</v>
      </c>
      <c r="AD77" s="5"/>
      <c r="AE77" s="18"/>
    </row>
    <row r="78" spans="1:31" x14ac:dyDescent="0.2">
      <c r="A78" s="9" t="s">
        <v>146</v>
      </c>
      <c r="B78" s="9">
        <v>5600</v>
      </c>
      <c r="C78" s="10">
        <f t="shared" si="33"/>
        <v>2.4521962942847492E-2</v>
      </c>
      <c r="D78" s="9">
        <v>5600</v>
      </c>
      <c r="E78" s="10">
        <f t="shared" si="19"/>
        <v>2.3382729349083271E-2</v>
      </c>
      <c r="F78" s="9">
        <v>5600</v>
      </c>
      <c r="G78" s="10">
        <f t="shared" si="34"/>
        <v>2.0202317552148675E-2</v>
      </c>
      <c r="H78" s="9">
        <f>5600+7000</f>
        <v>12600</v>
      </c>
      <c r="I78" s="10">
        <f t="shared" si="35"/>
        <v>4.2028596256893189E-2</v>
      </c>
      <c r="J78" s="9">
        <f>5600+7000</f>
        <v>12600</v>
      </c>
      <c r="K78" s="10">
        <f t="shared" si="27"/>
        <v>4.6695659482798878E-2</v>
      </c>
      <c r="L78" s="9">
        <v>7000</v>
      </c>
      <c r="M78" s="10">
        <f t="shared" si="20"/>
        <v>2.3628138466562167E-2</v>
      </c>
      <c r="N78" s="9">
        <v>7000</v>
      </c>
      <c r="O78" s="10">
        <f t="shared" si="36"/>
        <v>2.3560019199396216E-2</v>
      </c>
      <c r="P78" s="9">
        <v>7000</v>
      </c>
      <c r="Q78" s="10">
        <f t="shared" si="37"/>
        <v>2.5194948614362413E-2</v>
      </c>
      <c r="R78" s="9"/>
      <c r="S78" s="10">
        <f t="shared" si="38"/>
        <v>0</v>
      </c>
      <c r="T78" s="9"/>
      <c r="U78" s="10">
        <f t="shared" si="39"/>
        <v>0</v>
      </c>
      <c r="V78" s="9"/>
      <c r="W78" s="10">
        <f t="shared" si="40"/>
        <v>0</v>
      </c>
      <c r="X78" s="9"/>
      <c r="Y78" s="10">
        <f t="shared" si="41"/>
        <v>0</v>
      </c>
      <c r="Z78" s="11">
        <f t="shared" si="42"/>
        <v>5250</v>
      </c>
      <c r="AA78" s="10">
        <f t="shared" si="13"/>
        <v>1.8639409553920499E-2</v>
      </c>
      <c r="AB78" s="12">
        <f t="shared" si="43"/>
        <v>63000</v>
      </c>
      <c r="AC78" s="126">
        <f t="shared" si="32"/>
        <v>1.8639409553920499E-2</v>
      </c>
      <c r="AD78" s="5"/>
      <c r="AE78" s="18"/>
    </row>
    <row r="79" spans="1:31" x14ac:dyDescent="0.2">
      <c r="A79" s="9" t="s">
        <v>70</v>
      </c>
      <c r="B79" s="9"/>
      <c r="C79" s="10">
        <f t="shared" si="33"/>
        <v>0</v>
      </c>
      <c r="D79" s="9"/>
      <c r="E79" s="10">
        <f t="shared" si="19"/>
        <v>0</v>
      </c>
      <c r="F79" s="9"/>
      <c r="G79" s="10">
        <f t="shared" si="34"/>
        <v>0</v>
      </c>
      <c r="H79" s="9"/>
      <c r="I79" s="10">
        <f t="shared" si="35"/>
        <v>0</v>
      </c>
      <c r="J79" s="9"/>
      <c r="K79" s="10">
        <f t="shared" si="27"/>
        <v>0</v>
      </c>
      <c r="L79" s="9"/>
      <c r="M79" s="10">
        <f t="shared" si="20"/>
        <v>0</v>
      </c>
      <c r="N79" s="9"/>
      <c r="O79" s="10">
        <f>N79/N$2</f>
        <v>0</v>
      </c>
      <c r="P79" s="9"/>
      <c r="Q79" s="10">
        <f t="shared" si="37"/>
        <v>0</v>
      </c>
      <c r="R79" s="9"/>
      <c r="S79" s="10">
        <f t="shared" si="38"/>
        <v>0</v>
      </c>
      <c r="T79" s="9"/>
      <c r="U79" s="10">
        <f t="shared" si="39"/>
        <v>0</v>
      </c>
      <c r="V79" s="9"/>
      <c r="W79" s="10">
        <f t="shared" si="40"/>
        <v>0</v>
      </c>
      <c r="X79" s="9"/>
      <c r="Y79" s="10">
        <f t="shared" si="41"/>
        <v>0</v>
      </c>
      <c r="Z79" s="11">
        <f>(B79+D79+F79+H79+J79+L79+N79+P79+R79+T79+V79+X79)/AE$2</f>
        <v>0</v>
      </c>
      <c r="AA79" s="10">
        <f t="shared" si="13"/>
        <v>0</v>
      </c>
      <c r="AB79" s="12">
        <f t="shared" si="31"/>
        <v>0</v>
      </c>
      <c r="AC79" s="126">
        <f t="shared" si="32"/>
        <v>0</v>
      </c>
      <c r="AD79" s="5"/>
      <c r="AE79" s="18"/>
    </row>
    <row r="80" spans="1:31" x14ac:dyDescent="0.2">
      <c r="A80" s="73" t="s">
        <v>71</v>
      </c>
      <c r="B80" s="72">
        <f>B2-B6-B20-B68</f>
        <v>29405.530000000013</v>
      </c>
      <c r="C80" s="6">
        <f>B80/B$2</f>
        <v>0.12876452088835547</v>
      </c>
      <c r="D80" s="72">
        <f>D2-D6-D20-D68</f>
        <v>56361.96639999999</v>
      </c>
      <c r="E80" s="6">
        <f>D80/D$2</f>
        <v>0.23533867962737948</v>
      </c>
      <c r="F80" s="72">
        <f>F2-F6-F20-F68</f>
        <v>84159.359999999971</v>
      </c>
      <c r="G80" s="6">
        <f>F80/F$2</f>
        <v>0.30360966351885688</v>
      </c>
      <c r="H80" s="72">
        <f>H2-H6-H20-H68</f>
        <v>86298.3128</v>
      </c>
      <c r="I80" s="6">
        <f t="shared" si="35"/>
        <v>0.28785690050176804</v>
      </c>
      <c r="J80" s="72">
        <f>J2-J6-J20-J68</f>
        <v>60582.729199999965</v>
      </c>
      <c r="K80" s="6">
        <f>J80/J$2</f>
        <v>0.22451988041760435</v>
      </c>
      <c r="L80" s="72">
        <f>L2-L6-L20-L68</f>
        <v>108366.61240000001</v>
      </c>
      <c r="M80" s="6">
        <f>L80/L$2</f>
        <v>0.36578590327706756</v>
      </c>
      <c r="N80" s="72">
        <f>N2-N6-N20-N68</f>
        <v>85544.209599999987</v>
      </c>
      <c r="O80" s="6">
        <f>N80/N$2</f>
        <v>0.28791760293902485</v>
      </c>
      <c r="P80" s="72">
        <f>P2-P6-P20-P68</f>
        <v>72292.858399999983</v>
      </c>
      <c r="Q80" s="6">
        <f>P80/P$2</f>
        <v>0.26020212179619678</v>
      </c>
      <c r="R80" s="72">
        <f>R2-R6-R20-R68</f>
        <v>117162.30480000001</v>
      </c>
      <c r="S80" s="6">
        <f>R80/R$2</f>
        <v>0.38269950317984502</v>
      </c>
      <c r="T80" s="72">
        <f>T2-T6-T20-T68</f>
        <v>93845.559999999925</v>
      </c>
      <c r="U80" s="6">
        <f>T80/T$2</f>
        <v>0.3147764744822602</v>
      </c>
      <c r="V80" s="72">
        <f>V2-V6-V20-V68</f>
        <v>94159.684800000003</v>
      </c>
      <c r="W80" s="6">
        <f>V80/V$2</f>
        <v>0.3148629233187506</v>
      </c>
      <c r="X80" s="72">
        <f>X2-X6-X20-X68</f>
        <v>53930.246799999979</v>
      </c>
      <c r="Y80" s="6">
        <f>X80/X$2</f>
        <v>0.18550780577363138</v>
      </c>
      <c r="Z80" s="72">
        <f>Z2-Z6-Z20-Z68</f>
        <v>78509.114599999986</v>
      </c>
      <c r="AA80" s="6">
        <f>Z80/Z$2</f>
        <v>0.27873591252287222</v>
      </c>
      <c r="AB80" s="72">
        <f>AB2-AB6-AB20-AB68</f>
        <v>942109.37519999966</v>
      </c>
      <c r="AC80" s="125">
        <f>AB80/AB$2</f>
        <v>0.27873591252287216</v>
      </c>
      <c r="AD80" s="5"/>
      <c r="AE80" s="5"/>
    </row>
    <row r="81" spans="1:31" x14ac:dyDescent="0.2">
      <c r="A81" s="73" t="s">
        <v>72</v>
      </c>
      <c r="B81" s="116">
        <f>B80/B2</f>
        <v>0.12876452088835547</v>
      </c>
      <c r="C81" s="68"/>
      <c r="D81" s="116">
        <f>D80/D2</f>
        <v>0.23533867962737948</v>
      </c>
      <c r="E81" s="68"/>
      <c r="F81" s="116">
        <f>F80/F2</f>
        <v>0.30360966351885688</v>
      </c>
      <c r="G81" s="68"/>
      <c r="H81" s="116">
        <f>H80/H2</f>
        <v>0.28785690050176804</v>
      </c>
      <c r="I81" s="68"/>
      <c r="J81" s="116">
        <f>J80/J2</f>
        <v>0.22451988041760435</v>
      </c>
      <c r="K81" s="68"/>
      <c r="L81" s="116">
        <f>L80/L2</f>
        <v>0.36578590327706756</v>
      </c>
      <c r="M81" s="68"/>
      <c r="N81" s="116">
        <f>N80/N2</f>
        <v>0.28791760293902485</v>
      </c>
      <c r="O81" s="68"/>
      <c r="P81" s="116">
        <f>P80/P2</f>
        <v>0.26020212179619678</v>
      </c>
      <c r="Q81" s="68"/>
      <c r="R81" s="116">
        <f>R80/R2</f>
        <v>0.38269950317984502</v>
      </c>
      <c r="S81" s="68"/>
      <c r="T81" s="116">
        <f>T80/T2</f>
        <v>0.3147764744822602</v>
      </c>
      <c r="U81" s="68"/>
      <c r="V81" s="116">
        <f>V80/V2</f>
        <v>0.3148629233187506</v>
      </c>
      <c r="W81" s="68"/>
      <c r="X81" s="116">
        <f>X80/X2</f>
        <v>0.18550780577363138</v>
      </c>
      <c r="Y81" s="68"/>
      <c r="Z81" s="116">
        <f>Z80/Z2</f>
        <v>0.27873591252287222</v>
      </c>
      <c r="AA81" s="6">
        <f t="shared" si="13"/>
        <v>9.8961387255229952E-7</v>
      </c>
      <c r="AB81" s="117">
        <f>AB80/AB2</f>
        <v>0.27873591252287216</v>
      </c>
      <c r="AC81" s="125">
        <f t="shared" ref="AC81:AC83" si="44">AB81/AB$3</f>
        <v>9.9548540186740059E-8</v>
      </c>
      <c r="AD81" s="5"/>
      <c r="AE81" s="5"/>
    </row>
    <row r="82" spans="1:31" x14ac:dyDescent="0.2">
      <c r="A82" s="73" t="s">
        <v>73</v>
      </c>
      <c r="B82" s="74">
        <f>(B20+B68)/C19</f>
        <v>190923.99545501667</v>
      </c>
      <c r="C82" s="6">
        <f>B82/B$2</f>
        <v>0.83604127525862537</v>
      </c>
      <c r="D82" s="74">
        <f>(D20+D68)/E19</f>
        <v>167388.38212811732</v>
      </c>
      <c r="E82" s="6">
        <f>D82/D$2</f>
        <v>0.69892807776476684</v>
      </c>
      <c r="F82" s="74">
        <f>(F20+F68)/G19</f>
        <v>174029.88014111714</v>
      </c>
      <c r="G82" s="6">
        <f>F82/F$2</f>
        <v>0.62782266110236096</v>
      </c>
      <c r="H82" s="74">
        <f>(H20+H68)/I19</f>
        <v>192973.16055506605</v>
      </c>
      <c r="I82" s="6">
        <f>H82/H$2</f>
        <v>0.64368182963376963</v>
      </c>
      <c r="J82" s="74">
        <f>(J20+J68)/K19</f>
        <v>191471.84282359859</v>
      </c>
      <c r="K82" s="6">
        <f>J82/J$2</f>
        <v>0.70959555341545621</v>
      </c>
      <c r="L82" s="74">
        <f>(L20+L68)/M19</f>
        <v>162396.04957938564</v>
      </c>
      <c r="M82" s="6">
        <f>L82/L$2</f>
        <v>0.54815947798348841</v>
      </c>
      <c r="N82" s="74">
        <f>(N20+N68)/O19</f>
        <v>189399.99116175671</v>
      </c>
      <c r="O82" s="6">
        <f>N82/N$2</f>
        <v>0.63746677544806596</v>
      </c>
      <c r="P82" s="74">
        <f>(P20+P68)/Q19</f>
        <v>185079.78323626195</v>
      </c>
      <c r="Q82" s="6">
        <f>P82/P$2</f>
        <v>0.66615366117070762</v>
      </c>
      <c r="R82" s="74">
        <f>(R20+R68)/S19</f>
        <v>161481.51298363102</v>
      </c>
      <c r="S82" s="6">
        <f>R82/R$2</f>
        <v>0.52746397313588256</v>
      </c>
      <c r="T82" s="74">
        <f>(T20+T68)/U19</f>
        <v>179278.84729452856</v>
      </c>
      <c r="U82" s="6">
        <f>T82/T$2</f>
        <v>0.60133653100493234</v>
      </c>
      <c r="V82" s="74">
        <f>(V20+V68)/W19</f>
        <v>180785.89341150864</v>
      </c>
      <c r="W82" s="6">
        <f>V82/V$2</f>
        <v>0.60453446732799232</v>
      </c>
      <c r="X82" s="74">
        <f>(X20+X68)/Y19</f>
        <v>222436.62598085875</v>
      </c>
      <c r="Y82" s="6">
        <f>X82/X$2</f>
        <v>0.76513149591963381</v>
      </c>
      <c r="Z82" s="89">
        <f>(B82+D82+F82+H82+J82+L82+N82+P82+R82+T82+V82+X82)/AE$2</f>
        <v>183137.16372923725</v>
      </c>
      <c r="AA82" s="6">
        <f t="shared" si="13"/>
        <v>0.65020354272240899</v>
      </c>
      <c r="AB82" s="74">
        <f>(AB20+AB68)/AC19</f>
        <v>2194822.5669481992</v>
      </c>
      <c r="AC82" s="125">
        <f t="shared" si="44"/>
        <v>0.78386520248149971</v>
      </c>
      <c r="AD82" s="5"/>
      <c r="AE82" s="5"/>
    </row>
    <row r="83" spans="1:31" x14ac:dyDescent="0.2">
      <c r="A83" s="75" t="s">
        <v>74</v>
      </c>
      <c r="B83" s="71">
        <f>B6+B20+B68</f>
        <v>198961.17999999996</v>
      </c>
      <c r="C83" s="6">
        <f>B83/B$2</f>
        <v>0.87123547911164445</v>
      </c>
      <c r="D83" s="71">
        <f>D6+D20+D68</f>
        <v>183131.0336</v>
      </c>
      <c r="E83" s="6">
        <f>D83/D$2</f>
        <v>0.76466132037262047</v>
      </c>
      <c r="F83" s="71">
        <f>F6+F20+F68</f>
        <v>193036.56</v>
      </c>
      <c r="G83" s="6">
        <f>F83/F$2</f>
        <v>0.69639033648114301</v>
      </c>
      <c r="H83" s="71">
        <f>H68+H20+H6</f>
        <v>213497.56720000002</v>
      </c>
      <c r="I83" s="6">
        <f>H83/H$2</f>
        <v>0.71214309949823196</v>
      </c>
      <c r="J83" s="71">
        <f>J68+J20+J6</f>
        <v>209249.63080000001</v>
      </c>
      <c r="K83" s="6">
        <f>J83/J$2</f>
        <v>0.7754801195823956</v>
      </c>
      <c r="L83" s="71">
        <f>L68+L20+L6</f>
        <v>187890.32759999999</v>
      </c>
      <c r="M83" s="6">
        <f>L83/L$2</f>
        <v>0.63421409672293239</v>
      </c>
      <c r="N83" s="71">
        <f>N68+N20+N6</f>
        <v>211569.30040000001</v>
      </c>
      <c r="O83" s="6">
        <f>N83/N$2</f>
        <v>0.71208239706097509</v>
      </c>
      <c r="P83" s="71">
        <f>P68+P20+P6</f>
        <v>205540.61159999997</v>
      </c>
      <c r="Q83" s="6">
        <f>P83/P$2</f>
        <v>0.73979787820380316</v>
      </c>
      <c r="R83" s="71">
        <f>R68+R20+R6</f>
        <v>188984.69519999999</v>
      </c>
      <c r="S83" s="6">
        <f>R83/R$2</f>
        <v>0.61730049682015498</v>
      </c>
      <c r="T83" s="71">
        <f>T68+T20+T6</f>
        <v>204288.41000000003</v>
      </c>
      <c r="U83" s="6">
        <f>T83/T$2</f>
        <v>0.68522352551773968</v>
      </c>
      <c r="V83" s="71">
        <f>V68+V20+V6</f>
        <v>204890.0852</v>
      </c>
      <c r="W83" s="6">
        <f>V83/V$2</f>
        <v>0.68513707668124935</v>
      </c>
      <c r="X83" s="71">
        <f>X68+X20+X6</f>
        <v>236786.61320000002</v>
      </c>
      <c r="Y83" s="6">
        <f>X83/X$2</f>
        <v>0.81449219422636865</v>
      </c>
      <c r="Z83" s="90">
        <f>(B83+D83+F83+H83+J83+L83+N83+P83+R83+T83+V83+X83)/AE$2</f>
        <v>203152.1679</v>
      </c>
      <c r="AA83" s="6">
        <f>Z83/Z$2</f>
        <v>0.72126408747712789</v>
      </c>
      <c r="AB83" s="71">
        <f>B83+D83+F83+H83+J83+L83+N83+P83+R83+T83+V83+X83</f>
        <v>2437826.0148</v>
      </c>
      <c r="AC83" s="125">
        <f t="shared" si="44"/>
        <v>0.87065214814285719</v>
      </c>
      <c r="AD83" s="5"/>
      <c r="AE83" s="5"/>
    </row>
    <row r="84" spans="1:31" x14ac:dyDescent="0.2">
      <c r="A84" s="76" t="s">
        <v>75</v>
      </c>
      <c r="B84" s="74"/>
      <c r="C84" s="19"/>
      <c r="D84" s="74"/>
      <c r="E84" s="19"/>
      <c r="F84" s="74"/>
      <c r="G84" s="19"/>
      <c r="H84" s="74"/>
      <c r="I84" s="19"/>
      <c r="J84" s="74"/>
      <c r="K84" s="19"/>
      <c r="L84" s="74"/>
      <c r="M84" s="19"/>
      <c r="N84" s="74"/>
      <c r="O84" s="99"/>
      <c r="P84" s="74"/>
      <c r="Q84" s="19"/>
      <c r="R84" s="88"/>
      <c r="S84" s="19"/>
      <c r="T84" s="74"/>
      <c r="U84" s="19"/>
      <c r="V84" s="74"/>
      <c r="W84" s="19"/>
      <c r="X84" s="74"/>
      <c r="Y84" s="19"/>
      <c r="Z84" s="90">
        <f>(B84+D84+F84+H84+J84+L84+N84+P84+R84+T84+V84+X84)/AE$2</f>
        <v>0</v>
      </c>
      <c r="AA84" s="19"/>
      <c r="AB84" s="95"/>
      <c r="AC84" s="127"/>
      <c r="AD84" s="5"/>
      <c r="AE84" s="5"/>
    </row>
    <row r="85" spans="1:31" x14ac:dyDescent="0.2">
      <c r="A85" s="76" t="s">
        <v>76</v>
      </c>
      <c r="B85" s="77">
        <v>22500</v>
      </c>
      <c r="C85" s="10"/>
      <c r="D85" s="77">
        <v>91000</v>
      </c>
      <c r="E85" s="10"/>
      <c r="F85" s="77">
        <v>35000</v>
      </c>
      <c r="G85" s="10"/>
      <c r="H85" s="77">
        <f>88000+H4</f>
        <v>157795.88</v>
      </c>
      <c r="I85" s="10"/>
      <c r="J85" s="77">
        <v>20000</v>
      </c>
      <c r="K85" s="10"/>
      <c r="L85" s="77">
        <f>25000+L4</f>
        <v>86256.94</v>
      </c>
      <c r="M85" s="10"/>
      <c r="N85" s="77">
        <v>45000</v>
      </c>
      <c r="O85" s="10"/>
      <c r="P85" s="77">
        <v>70000</v>
      </c>
      <c r="Q85" s="10"/>
      <c r="R85" s="77">
        <v>55000</v>
      </c>
      <c r="S85" s="10">
        <f>R85/R$2</f>
        <v>0.17965225855553052</v>
      </c>
      <c r="T85" s="77">
        <v>200000</v>
      </c>
      <c r="U85" s="10"/>
      <c r="V85" s="86"/>
      <c r="W85" s="10"/>
      <c r="X85" s="77"/>
      <c r="Y85" s="10"/>
      <c r="Z85" s="91">
        <f>(B85+D85+F85+H85+J85+L85+N85+P85+R85+T85+V85+X85)/AE$2</f>
        <v>65212.735000000008</v>
      </c>
      <c r="AA85" s="10">
        <f>Z85/Z$2</f>
        <v>0.23152892872310207</v>
      </c>
      <c r="AB85" s="77">
        <f>L85+N85+P85+R85+T85+V85+X85+J85+H85+F85+D85+B85</f>
        <v>782552.82000000007</v>
      </c>
      <c r="AC85" s="122">
        <f>AB85/AB$3</f>
        <v>0.27948315000000001</v>
      </c>
      <c r="AD85" s="5"/>
      <c r="AE85" s="5"/>
    </row>
    <row r="86" spans="1:31" ht="16" thickBot="1" x14ac:dyDescent="0.25">
      <c r="A86" s="78" t="s">
        <v>77</v>
      </c>
      <c r="B86" s="79">
        <f>B80-B84-B85</f>
        <v>6905.5300000000134</v>
      </c>
      <c r="C86" s="20"/>
      <c r="D86" s="79">
        <f>D80-D84-D85</f>
        <v>-34638.03360000001</v>
      </c>
      <c r="E86" s="20"/>
      <c r="F86" s="79">
        <f>F80-F84-F85</f>
        <v>49159.359999999971</v>
      </c>
      <c r="G86" s="21"/>
      <c r="H86" s="79">
        <f>H80-H84-H85</f>
        <v>-71497.567200000005</v>
      </c>
      <c r="I86" s="21"/>
      <c r="J86" s="79">
        <f>J80-J84-J85</f>
        <v>40582.729199999965</v>
      </c>
      <c r="K86" s="21"/>
      <c r="L86" s="79">
        <f>L80-L84-L85</f>
        <v>22109.67240000001</v>
      </c>
      <c r="M86" s="21"/>
      <c r="N86" s="79">
        <f>N80-N84-N85</f>
        <v>40544.209599999987</v>
      </c>
      <c r="O86" s="100"/>
      <c r="P86" s="79">
        <f>P80-P84-P85</f>
        <v>2292.8583999999828</v>
      </c>
      <c r="Q86" s="21"/>
      <c r="R86" s="79">
        <f>R80-R84-R85</f>
        <v>62162.304800000013</v>
      </c>
      <c r="S86" s="21"/>
      <c r="T86" s="79">
        <f>T80-T84-T85</f>
        <v>-106154.44000000008</v>
      </c>
      <c r="U86" s="21"/>
      <c r="V86" s="79">
        <f>V80-V84-V85</f>
        <v>94159.684800000003</v>
      </c>
      <c r="W86" s="21"/>
      <c r="X86" s="79">
        <f>X80-X84-X85</f>
        <v>53930.246799999979</v>
      </c>
      <c r="Y86" s="20"/>
      <c r="Z86" s="90">
        <f>(B86+D86+F86+H86+J86+L86+N86+P86+R86+T86+V86+X86)/AE$2</f>
        <v>13296.379599999986</v>
      </c>
      <c r="AA86" s="20"/>
      <c r="AB86" s="79">
        <f>AB80-AB84-AB85</f>
        <v>159556.5551999996</v>
      </c>
      <c r="AC86" s="128"/>
      <c r="AD86" s="5"/>
      <c r="AE86" s="5"/>
    </row>
    <row r="87" spans="1:31" x14ac:dyDescent="0.2">
      <c r="A87" s="80" t="s">
        <v>78</v>
      </c>
      <c r="B87" s="81">
        <f>B86/B2</f>
        <v>3.0238776921557495E-2</v>
      </c>
      <c r="C87" s="22"/>
      <c r="D87" s="81">
        <f>D86/D2</f>
        <v>-0.14463067229522369</v>
      </c>
      <c r="E87" s="22"/>
      <c r="F87" s="81">
        <f>F86/F2</f>
        <v>0.17734517881792766</v>
      </c>
      <c r="G87" s="23"/>
      <c r="H87" s="81">
        <f>H86/H2</f>
        <v>-0.23848749088880075</v>
      </c>
      <c r="I87" s="23"/>
      <c r="J87" s="81">
        <f>J86/J2</f>
        <v>0.15039978600046328</v>
      </c>
      <c r="K87" s="23"/>
      <c r="L87" s="81">
        <f>L86/L2</f>
        <v>7.4630057273932585E-2</v>
      </c>
      <c r="M87" s="23"/>
      <c r="N87" s="87">
        <f>N86/N2</f>
        <v>0.13646033665719201</v>
      </c>
      <c r="O87" s="101"/>
      <c r="P87" s="87">
        <f>P86/P2</f>
        <v>8.2526356525726829E-3</v>
      </c>
      <c r="Q87" s="23"/>
      <c r="R87" s="87">
        <f>R86/R2</f>
        <v>0.2030472446243145</v>
      </c>
      <c r="S87" s="23"/>
      <c r="T87" s="87">
        <f>T86/T2</f>
        <v>-0.35606288005355474</v>
      </c>
      <c r="U87" s="23"/>
      <c r="V87" s="87">
        <f>V86/V2</f>
        <v>0.3148629233187506</v>
      </c>
      <c r="W87" s="23"/>
      <c r="X87" s="87">
        <f>X86/X2</f>
        <v>0.18550780577363138</v>
      </c>
      <c r="Y87" s="22"/>
      <c r="Z87" s="92">
        <f>Z86/Z2</f>
        <v>4.7206983799770161E-2</v>
      </c>
      <c r="AA87" s="22"/>
      <c r="AB87" s="96">
        <f>AB86/AB2</f>
        <v>4.7206983799770091E-2</v>
      </c>
      <c r="AC87" s="129"/>
      <c r="AD87" s="5"/>
      <c r="AE87" s="5"/>
    </row>
    <row r="88" spans="1:31" x14ac:dyDescent="0.2">
      <c r="A88" s="82" t="s">
        <v>79</v>
      </c>
      <c r="B88" s="83">
        <f>(B20+B68+B85)/C19</f>
        <v>219573.74525589167</v>
      </c>
      <c r="C88" s="24"/>
      <c r="D88" s="83">
        <f>(D20+D68+D85)/E19</f>
        <v>283805.8999232616</v>
      </c>
      <c r="E88" s="25"/>
      <c r="F88" s="83">
        <f>(F20+F68+F85)/G19</f>
        <v>216934.3342037538</v>
      </c>
      <c r="G88" s="25"/>
      <c r="H88" s="83">
        <f>(H20+H68-H85)/I19</f>
        <v>-2351.4578748608001</v>
      </c>
      <c r="I88" s="25"/>
      <c r="J88" s="83">
        <f>(J20+J68-J85)/K19</f>
        <v>165602.91344020548</v>
      </c>
      <c r="K88" s="25"/>
      <c r="L88" s="83">
        <f>(L20+L68-L85)/M19</f>
        <v>55846.342638860246</v>
      </c>
      <c r="M88" s="25"/>
      <c r="N88" s="83">
        <f>(N20+N68-N85)/O19</f>
        <v>132737.96376813462</v>
      </c>
      <c r="O88" s="102"/>
      <c r="P88" s="83">
        <f>(P20+P68-P85)/Q19</f>
        <v>95267.89562854133</v>
      </c>
      <c r="Q88" s="25"/>
      <c r="R88" s="83">
        <f>(R20+R68-R85)/S19</f>
        <v>93570.576957897487</v>
      </c>
      <c r="S88" s="25"/>
      <c r="T88" s="83">
        <f>(T20+T68-T85)/U19</f>
        <v>-74020.558037959141</v>
      </c>
      <c r="U88" s="25"/>
      <c r="V88" s="83">
        <f>(V20+V68-V85)/W19</f>
        <v>180785.89341150864</v>
      </c>
      <c r="W88" s="25"/>
      <c r="X88" s="83">
        <f>(X20+X68-X85)/Y19</f>
        <v>222436.62598085875</v>
      </c>
      <c r="Y88" s="24"/>
      <c r="Z88" s="93">
        <f>(B88+D88+F88+H88+J88+L88+N88+P88+R88+T88+V88+X88)/12</f>
        <v>132515.84794134114</v>
      </c>
      <c r="AA88" s="24"/>
      <c r="AB88" s="97">
        <f>(AB20+AB68+AB85)/AC19</f>
        <v>3179223.5357852494</v>
      </c>
      <c r="AC88" s="130"/>
      <c r="AD88" s="5"/>
      <c r="AE88" s="5"/>
    </row>
    <row r="89" spans="1:31" ht="16" thickBot="1" x14ac:dyDescent="0.25">
      <c r="A89" s="84" t="s">
        <v>80</v>
      </c>
      <c r="B89" s="85">
        <f>B83+B85</f>
        <v>221461.17999999996</v>
      </c>
      <c r="C89" s="26"/>
      <c r="D89" s="85">
        <f>D83+D85</f>
        <v>274131.03359999997</v>
      </c>
      <c r="E89" s="26"/>
      <c r="F89" s="85">
        <f>F83+F85</f>
        <v>228036.56</v>
      </c>
      <c r="G89" s="27"/>
      <c r="H89" s="85">
        <f>H83+H85</f>
        <v>371293.44720000005</v>
      </c>
      <c r="I89" s="27"/>
      <c r="J89" s="85">
        <f>J83+J85</f>
        <v>229249.63080000001</v>
      </c>
      <c r="K89" s="27"/>
      <c r="L89" s="85">
        <f>L83+L85</f>
        <v>274147.26760000002</v>
      </c>
      <c r="M89" s="27"/>
      <c r="N89" s="85">
        <f>N83+N85</f>
        <v>256569.30040000001</v>
      </c>
      <c r="O89" s="103"/>
      <c r="P89" s="85">
        <f>P83+P85</f>
        <v>275540.61159999995</v>
      </c>
      <c r="Q89" s="27"/>
      <c r="R89" s="85">
        <f>R83+R85</f>
        <v>243984.69519999999</v>
      </c>
      <c r="S89" s="27"/>
      <c r="T89" s="85">
        <f>T83+T85</f>
        <v>404288.41000000003</v>
      </c>
      <c r="U89" s="27"/>
      <c r="V89" s="85">
        <f>V83+V85</f>
        <v>204890.0852</v>
      </c>
      <c r="W89" s="27"/>
      <c r="X89" s="85">
        <f>X83+X85</f>
        <v>236786.61320000002</v>
      </c>
      <c r="Y89" s="26"/>
      <c r="Z89" s="94">
        <f>Z83+Z85</f>
        <v>268364.90289999999</v>
      </c>
      <c r="AA89" s="26"/>
      <c r="AB89" s="98">
        <f>AB83+AB85</f>
        <v>3220378.8348000003</v>
      </c>
      <c r="AC89" s="131"/>
      <c r="AD89" s="5"/>
      <c r="AE89" s="5"/>
    </row>
    <row r="90" spans="1:31" x14ac:dyDescent="0.2">
      <c r="A90" s="28"/>
      <c r="B90" s="29"/>
      <c r="C90" s="30"/>
      <c r="D90" s="29"/>
      <c r="E90" s="30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30"/>
      <c r="Z90" s="31"/>
      <c r="AA90" s="30"/>
      <c r="AB90" s="32"/>
      <c r="AC90" s="5"/>
      <c r="AD90" s="5"/>
      <c r="AE90" s="5"/>
    </row>
    <row r="91" spans="1:31" x14ac:dyDescent="0.2">
      <c r="A91" s="33"/>
      <c r="B91" s="14"/>
      <c r="C91" s="5"/>
      <c r="D91" s="14"/>
      <c r="E91" s="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5"/>
      <c r="Z91" s="34"/>
      <c r="AA91" s="5"/>
      <c r="AB91" s="35"/>
      <c r="AC91" s="5"/>
      <c r="AD91" s="5"/>
      <c r="AE91" s="5"/>
    </row>
    <row r="92" spans="1:3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118"/>
      <c r="AA92" s="5"/>
      <c r="AB92" s="5"/>
      <c r="AC92" s="5"/>
      <c r="AD92" s="5"/>
      <c r="AE92" s="5"/>
    </row>
    <row r="93" spans="1:31" x14ac:dyDescent="0.2">
      <c r="A93" s="104" t="s">
        <v>81</v>
      </c>
      <c r="B93" s="105">
        <f>SUM(B94:B96)</f>
        <v>124995.20999999999</v>
      </c>
      <c r="C93" s="36"/>
      <c r="D93" s="105">
        <f>SUM(D94:D96)</f>
        <v>134209.24</v>
      </c>
      <c r="E93" s="36"/>
      <c r="F93" s="105">
        <f>SUM(F94:F96)</f>
        <v>168672.60999999996</v>
      </c>
      <c r="G93" s="36"/>
      <c r="H93" s="105">
        <f>SUM(H94:H96)</f>
        <v>125107.51</v>
      </c>
      <c r="I93" s="36"/>
      <c r="J93" s="105">
        <f>SUM(J94:J96)</f>
        <v>180200.18999999997</v>
      </c>
      <c r="K93" s="36"/>
      <c r="L93" s="105">
        <f>SUM(L94:L96)</f>
        <v>214256.52</v>
      </c>
      <c r="M93" s="36"/>
      <c r="N93" s="108">
        <f>SUM(N94:N96)</f>
        <v>253408.39000000004</v>
      </c>
      <c r="O93" s="36"/>
      <c r="P93" s="105">
        <f>SUM(P94:P96)</f>
        <v>233352.87000000002</v>
      </c>
      <c r="Q93" s="36"/>
      <c r="R93" s="105">
        <f>SUM(R94:R96)</f>
        <v>298658.43</v>
      </c>
      <c r="S93" s="36"/>
      <c r="T93" s="105">
        <f>SUM(T94:T96)</f>
        <v>162864.36000000002</v>
      </c>
      <c r="U93" s="36"/>
      <c r="V93" s="109">
        <f>SUM(V94:V96)</f>
        <v>202117.05000000002</v>
      </c>
      <c r="W93" s="36"/>
      <c r="X93" s="110">
        <f>SUM(X94:X96)</f>
        <v>0</v>
      </c>
      <c r="Y93" s="33"/>
      <c r="Z93" s="33"/>
      <c r="AA93" s="33"/>
      <c r="AB93" s="33"/>
      <c r="AC93" s="33"/>
      <c r="AD93" s="5"/>
      <c r="AE93" s="5"/>
    </row>
    <row r="94" spans="1:31" ht="16" x14ac:dyDescent="0.2">
      <c r="A94" s="37" t="s">
        <v>82</v>
      </c>
      <c r="B94" s="65">
        <v>4669.84</v>
      </c>
      <c r="C94" s="135"/>
      <c r="D94" s="38">
        <v>34879.5</v>
      </c>
      <c r="E94" s="5"/>
      <c r="F94" s="38">
        <v>5410.95</v>
      </c>
      <c r="G94" s="5"/>
      <c r="H94" s="39">
        <v>22974.97</v>
      </c>
      <c r="I94" s="5"/>
      <c r="J94" s="39">
        <v>25000</v>
      </c>
      <c r="K94" s="5"/>
      <c r="L94" s="38">
        <v>25000</v>
      </c>
      <c r="M94" s="5"/>
      <c r="N94" s="39">
        <v>25000</v>
      </c>
      <c r="O94" s="5"/>
      <c r="P94" s="39">
        <v>25000</v>
      </c>
      <c r="Q94" s="5"/>
      <c r="R94" s="39">
        <v>25000</v>
      </c>
      <c r="S94" s="5"/>
      <c r="T94" s="38">
        <v>25000</v>
      </c>
      <c r="U94" s="5"/>
      <c r="V94" s="40">
        <v>0</v>
      </c>
      <c r="W94" s="5"/>
      <c r="X94" s="26"/>
      <c r="Y94" s="5"/>
      <c r="Z94" s="5"/>
      <c r="AA94" s="5"/>
      <c r="AB94" s="5"/>
      <c r="AC94" s="5"/>
      <c r="AD94" s="5"/>
      <c r="AE94" s="5"/>
    </row>
    <row r="95" spans="1:31" ht="16" x14ac:dyDescent="0.2">
      <c r="A95" s="41" t="s">
        <v>83</v>
      </c>
      <c r="B95" s="66">
        <v>0.32</v>
      </c>
      <c r="C95" s="135"/>
      <c r="D95" s="42">
        <v>1519.52</v>
      </c>
      <c r="E95" s="5"/>
      <c r="F95" s="42">
        <v>1708.32</v>
      </c>
      <c r="G95" s="5"/>
      <c r="H95" s="43">
        <v>2794.77</v>
      </c>
      <c r="I95" s="5"/>
      <c r="J95" s="43">
        <v>3194.77</v>
      </c>
      <c r="K95" s="5"/>
      <c r="L95" s="42">
        <v>2594.77</v>
      </c>
      <c r="M95" s="5"/>
      <c r="N95" s="43">
        <v>2650.66</v>
      </c>
      <c r="O95" s="5"/>
      <c r="P95" s="43">
        <v>2177.7600000000002</v>
      </c>
      <c r="Q95" s="5"/>
      <c r="R95" s="43">
        <v>2157.16</v>
      </c>
      <c r="S95" s="5"/>
      <c r="T95" s="42">
        <v>1257.1600000000001</v>
      </c>
      <c r="U95" s="5"/>
      <c r="V95" s="44">
        <v>604.72</v>
      </c>
      <c r="W95" s="5"/>
      <c r="X95" s="45"/>
      <c r="Y95" s="5"/>
      <c r="Z95" s="5"/>
      <c r="AA95" s="5"/>
      <c r="AB95" s="5"/>
      <c r="AC95" s="5"/>
      <c r="AD95" s="5"/>
      <c r="AE95" s="5"/>
    </row>
    <row r="96" spans="1:31" ht="16" x14ac:dyDescent="0.2">
      <c r="A96" s="46" t="s">
        <v>84</v>
      </c>
      <c r="B96" s="67">
        <f>70292.93+128046.53-78014.41</f>
        <v>120325.04999999999</v>
      </c>
      <c r="C96" s="136"/>
      <c r="D96" s="47">
        <f>B96+100102.97-122617.8</f>
        <v>97810.219999999987</v>
      </c>
      <c r="E96" s="48"/>
      <c r="F96" s="47">
        <f>D96+118585.5-54842.38</f>
        <v>161553.33999999997</v>
      </c>
      <c r="G96" s="48"/>
      <c r="H96" s="49">
        <f>F96+73145.21-135360.78</f>
        <v>99337.76999999999</v>
      </c>
      <c r="I96" s="48"/>
      <c r="J96" s="49">
        <f>H96+95127.12-42459.47</f>
        <v>152005.41999999998</v>
      </c>
      <c r="K96" s="48"/>
      <c r="L96" s="50">
        <f>J96+118157.01-83500.68</f>
        <v>186661.75</v>
      </c>
      <c r="M96" s="48"/>
      <c r="N96" s="50">
        <f>L96+152789.04-113693.06</f>
        <v>225757.73000000004</v>
      </c>
      <c r="O96" s="48"/>
      <c r="P96" s="49">
        <f>N96+77460.91-97043.53</f>
        <v>206175.11000000002</v>
      </c>
      <c r="Q96" s="48"/>
      <c r="R96" s="49">
        <f>P96+206794.57-141468.41</f>
        <v>271501.27</v>
      </c>
      <c r="S96" s="48"/>
      <c r="T96" s="47">
        <f>R96+68298.18-203192.25</f>
        <v>136607.20000000001</v>
      </c>
      <c r="U96" s="48"/>
      <c r="V96" s="51">
        <f>T96+126019.32-61114.19</f>
        <v>201512.33000000002</v>
      </c>
      <c r="W96" s="48"/>
      <c r="X96" s="22"/>
      <c r="Y96" s="5"/>
      <c r="Z96" s="5"/>
      <c r="AA96" s="5"/>
      <c r="AB96" s="5"/>
      <c r="AC96" s="5"/>
      <c r="AD96" s="5"/>
      <c r="AE96" s="5"/>
    </row>
    <row r="97" spans="1:31" x14ac:dyDescent="0.2">
      <c r="A97" s="52"/>
      <c r="B97" s="52"/>
      <c r="C97" s="5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" thickBot="1" x14ac:dyDescent="0.25">
      <c r="A99" s="33" t="s">
        <v>85</v>
      </c>
      <c r="B99" s="35">
        <f>SUM(B2)</f>
        <v>228366.71</v>
      </c>
      <c r="C99" s="33"/>
      <c r="D99" s="35">
        <f>SUM(D2)</f>
        <v>239493</v>
      </c>
      <c r="E99" s="33"/>
      <c r="F99" s="35">
        <f>SUM(F2)</f>
        <v>277195.92</v>
      </c>
      <c r="G99" s="33"/>
      <c r="H99" s="35">
        <f>SUM(H2)</f>
        <v>299795.88</v>
      </c>
      <c r="I99" s="33"/>
      <c r="J99" s="35">
        <f>SUM(J2)</f>
        <v>269832.36</v>
      </c>
      <c r="K99" s="33"/>
      <c r="L99" s="35">
        <f>SUM(L2)</f>
        <v>296256.94</v>
      </c>
      <c r="M99" s="33"/>
      <c r="N99" s="35">
        <f>SUM(N2)</f>
        <v>297113.51</v>
      </c>
      <c r="O99" s="33"/>
      <c r="P99" s="35">
        <f>SUM(P2)</f>
        <v>277833.46999999997</v>
      </c>
      <c r="Q99" s="33"/>
      <c r="R99" s="35">
        <f>SUM(R2)</f>
        <v>306147</v>
      </c>
      <c r="S99" s="33"/>
      <c r="T99" s="35">
        <f>SUM(T2)</f>
        <v>298133.96999999997</v>
      </c>
      <c r="U99" s="33"/>
      <c r="V99" s="35">
        <f>SUM(V2)</f>
        <v>299049.77</v>
      </c>
      <c r="W99" s="33"/>
      <c r="X99" s="35">
        <f>SUM(X2)</f>
        <v>290716.86</v>
      </c>
      <c r="Y99" s="33"/>
      <c r="Z99" s="35">
        <f>SUM(Z2)</f>
        <v>281661.28249999997</v>
      </c>
      <c r="AA99" s="33"/>
      <c r="AB99" s="35">
        <f>SUM(AB2)</f>
        <v>3379935.3899999997</v>
      </c>
      <c r="AC99" s="33"/>
      <c r="AD99" s="33"/>
      <c r="AE99" s="33"/>
    </row>
    <row r="100" spans="1:31" x14ac:dyDescent="0.2">
      <c r="A100" s="53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5"/>
      <c r="AD100" s="5"/>
      <c r="AE100" s="5"/>
    </row>
    <row r="101" spans="1:3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x14ac:dyDescent="0.2">
      <c r="A103" s="106">
        <v>2024</v>
      </c>
      <c r="B103" s="107" t="s">
        <v>86</v>
      </c>
      <c r="C103" s="5"/>
      <c r="D103" s="107" t="s">
        <v>87</v>
      </c>
      <c r="E103" s="5"/>
      <c r="F103" s="107" t="s">
        <v>88</v>
      </c>
      <c r="G103" s="5"/>
      <c r="H103" s="107" t="s">
        <v>89</v>
      </c>
      <c r="I103" s="5"/>
      <c r="J103" s="107" t="s">
        <v>90</v>
      </c>
      <c r="K103" s="5"/>
      <c r="L103" s="107" t="s">
        <v>91</v>
      </c>
      <c r="M103" s="5"/>
      <c r="N103" s="107" t="s">
        <v>92</v>
      </c>
      <c r="O103" s="5"/>
      <c r="P103" s="107" t="s">
        <v>93</v>
      </c>
      <c r="Q103" s="5"/>
      <c r="R103" s="107" t="s">
        <v>94</v>
      </c>
      <c r="S103" s="5"/>
      <c r="T103" s="107" t="s">
        <v>95</v>
      </c>
      <c r="U103" s="5"/>
      <c r="V103" s="107" t="s">
        <v>96</v>
      </c>
      <c r="W103" s="5"/>
      <c r="X103" s="107" t="s">
        <v>97</v>
      </c>
      <c r="Y103" s="5"/>
      <c r="Z103" s="107" t="s">
        <v>14</v>
      </c>
      <c r="AA103" s="5"/>
      <c r="AB103" s="5"/>
      <c r="AC103" s="5"/>
      <c r="AD103" s="5"/>
      <c r="AE103" s="5"/>
    </row>
    <row r="104" spans="1:31" x14ac:dyDescent="0.2">
      <c r="A104" s="54" t="s">
        <v>98</v>
      </c>
      <c r="B104" s="55">
        <v>70293.25</v>
      </c>
      <c r="C104" s="5"/>
      <c r="D104" s="55">
        <f>B111</f>
        <v>91198.78</v>
      </c>
      <c r="E104" s="5"/>
      <c r="F104" s="55">
        <f>D111</f>
        <v>69060.746400000033</v>
      </c>
      <c r="G104" s="5"/>
      <c r="H104" s="55">
        <f>F111</f>
        <v>120720.10639999999</v>
      </c>
      <c r="I104" s="5"/>
      <c r="J104" s="55">
        <f>H111</f>
        <v>49222.53919999997</v>
      </c>
      <c r="K104" s="5"/>
      <c r="L104" s="55">
        <f>J111</f>
        <v>49972.908399999986</v>
      </c>
      <c r="M104" s="5"/>
      <c r="N104" s="55">
        <f>L111</f>
        <v>72082.580800000025</v>
      </c>
      <c r="O104" s="5"/>
      <c r="P104" s="55">
        <f>N111</f>
        <v>112626.7904</v>
      </c>
      <c r="Q104" s="5"/>
      <c r="R104" s="55">
        <f>P111</f>
        <v>114919.6488</v>
      </c>
      <c r="S104" s="5"/>
      <c r="T104" s="55">
        <f>R111</f>
        <v>177081.95359999995</v>
      </c>
      <c r="U104" s="5"/>
      <c r="V104" s="55">
        <f>T111</f>
        <v>17793.533599999908</v>
      </c>
      <c r="W104" s="5"/>
      <c r="X104" s="55">
        <f>V111</f>
        <v>111953.21839999993</v>
      </c>
      <c r="Y104" s="5"/>
      <c r="Z104" s="55"/>
      <c r="AA104" s="5"/>
      <c r="AB104" s="5"/>
      <c r="AC104" s="5"/>
      <c r="AD104" s="5"/>
      <c r="AE104" s="5"/>
    </row>
    <row r="105" spans="1:31" x14ac:dyDescent="0.2">
      <c r="A105" s="54" t="s">
        <v>99</v>
      </c>
      <c r="B105" s="55">
        <f>B2</f>
        <v>228366.71</v>
      </c>
      <c r="C105" s="5"/>
      <c r="D105" s="55">
        <f>D2</f>
        <v>239493</v>
      </c>
      <c r="E105" s="5"/>
      <c r="F105" s="55">
        <f>F3+F4</f>
        <v>277195.92</v>
      </c>
      <c r="G105" s="5"/>
      <c r="H105" s="56">
        <f>H2</f>
        <v>299795.88</v>
      </c>
      <c r="I105" s="5"/>
      <c r="J105" s="56">
        <f>J3</f>
        <v>230000</v>
      </c>
      <c r="K105" s="5"/>
      <c r="L105" s="56">
        <f>L2</f>
        <v>296256.94</v>
      </c>
      <c r="M105" s="5"/>
      <c r="N105" s="56">
        <f>N2</f>
        <v>297113.51</v>
      </c>
      <c r="O105" s="5"/>
      <c r="P105" s="56">
        <f>P2</f>
        <v>277833.46999999997</v>
      </c>
      <c r="Q105" s="5"/>
      <c r="R105" s="56">
        <f>R2</f>
        <v>306147</v>
      </c>
      <c r="S105" s="5"/>
      <c r="T105" s="56">
        <f>T3</f>
        <v>245000</v>
      </c>
      <c r="U105" s="5"/>
      <c r="V105" s="56">
        <f>V3+V4</f>
        <v>299049.77</v>
      </c>
      <c r="W105" s="5"/>
      <c r="X105" s="56">
        <f>X3</f>
        <v>255000</v>
      </c>
      <c r="Y105" s="5"/>
      <c r="Z105" s="55">
        <f t="shared" ref="Z105:Z110" si="45">B105+D105+F105+H105+J105+L105+N105+P105+R105+T105+V105+X105</f>
        <v>3251252.1999999997</v>
      </c>
      <c r="AA105" s="5"/>
      <c r="AB105" s="5"/>
      <c r="AC105" s="5"/>
      <c r="AD105" s="5"/>
      <c r="AE105" s="5"/>
    </row>
    <row r="106" spans="1:31" x14ac:dyDescent="0.2">
      <c r="A106" s="54" t="s">
        <v>100</v>
      </c>
      <c r="B106" s="55">
        <f>B83-B107-B108</f>
        <v>168683.45999999996</v>
      </c>
      <c r="C106" s="5"/>
      <c r="D106" s="55">
        <f>D83-D48-D42</f>
        <v>150389.21359999999</v>
      </c>
      <c r="E106" s="5"/>
      <c r="F106" s="55">
        <f>F83-F48-F42</f>
        <v>160294.74</v>
      </c>
      <c r="G106" s="5"/>
      <c r="H106" s="55">
        <f>H83-H107-H108</f>
        <v>183255.74720000001</v>
      </c>
      <c r="I106" s="5"/>
      <c r="J106" s="55">
        <f>J83-J107-J108</f>
        <v>179007.81080000001</v>
      </c>
      <c r="K106" s="5"/>
      <c r="L106" s="55">
        <f>L83-L107-L108</f>
        <v>157648.50759999998</v>
      </c>
      <c r="M106" s="5"/>
      <c r="N106" s="55">
        <f>N83-N107-N108</f>
        <v>181327.4804</v>
      </c>
      <c r="O106" s="5"/>
      <c r="P106" s="55">
        <f>P83-P107-P108</f>
        <v>175298.79159999997</v>
      </c>
      <c r="Q106" s="5"/>
      <c r="R106" s="55">
        <f>R83-R107-R108</f>
        <v>158742.87519999998</v>
      </c>
      <c r="S106" s="5"/>
      <c r="T106" s="55">
        <f>T83-T107-T108+0.01</f>
        <v>174046.60000000003</v>
      </c>
      <c r="U106" s="5"/>
      <c r="V106" s="55">
        <f>V83-V107-V108</f>
        <v>174648.26519999999</v>
      </c>
      <c r="W106" s="5"/>
      <c r="X106" s="55">
        <f>X83</f>
        <v>236786.61320000002</v>
      </c>
      <c r="Y106" s="5"/>
      <c r="Z106" s="55">
        <f t="shared" si="45"/>
        <v>2100130.1047999999</v>
      </c>
      <c r="AA106" s="5"/>
      <c r="AB106" s="5"/>
      <c r="AC106" s="5"/>
      <c r="AD106" s="5"/>
      <c r="AE106" s="5"/>
    </row>
    <row r="107" spans="1:31" x14ac:dyDescent="0.2">
      <c r="A107" s="54" t="s">
        <v>101</v>
      </c>
      <c r="B107" s="55">
        <f>B42</f>
        <v>5277.72</v>
      </c>
      <c r="C107" s="5"/>
      <c r="D107" s="55">
        <f>D42</f>
        <v>5241.82</v>
      </c>
      <c r="E107" s="5"/>
      <c r="F107" s="55">
        <f>F42</f>
        <v>5241.82</v>
      </c>
      <c r="G107" s="5"/>
      <c r="H107" s="55">
        <f>H42</f>
        <v>5241.82</v>
      </c>
      <c r="I107" s="5"/>
      <c r="J107" s="55">
        <f>J42</f>
        <v>5241.82</v>
      </c>
      <c r="K107" s="5"/>
      <c r="L107" s="55">
        <f>L42</f>
        <v>5241.82</v>
      </c>
      <c r="M107" s="5"/>
      <c r="N107" s="55">
        <f>N42</f>
        <v>5241.82</v>
      </c>
      <c r="O107" s="5"/>
      <c r="P107" s="55">
        <f>P42</f>
        <v>5241.82</v>
      </c>
      <c r="Q107" s="5"/>
      <c r="R107" s="55">
        <f>R42</f>
        <v>5241.82</v>
      </c>
      <c r="S107" s="5"/>
      <c r="T107" s="55">
        <f>T42</f>
        <v>5241.82</v>
      </c>
      <c r="U107" s="5"/>
      <c r="V107" s="55">
        <f>V42</f>
        <v>5241.82</v>
      </c>
      <c r="W107" s="5"/>
      <c r="X107" s="55">
        <f>X42</f>
        <v>5241.82</v>
      </c>
      <c r="Y107" s="5"/>
      <c r="Z107" s="55">
        <f t="shared" si="45"/>
        <v>62937.74</v>
      </c>
      <c r="AA107" s="5"/>
      <c r="AB107" s="5"/>
      <c r="AC107" s="5"/>
      <c r="AD107" s="5"/>
      <c r="AE107" s="5"/>
    </row>
    <row r="108" spans="1:31" x14ac:dyDescent="0.2">
      <c r="A108" s="54" t="s">
        <v>102</v>
      </c>
      <c r="B108" s="55">
        <v>25000</v>
      </c>
      <c r="C108" s="5"/>
      <c r="D108" s="55">
        <v>25000</v>
      </c>
      <c r="E108" s="5"/>
      <c r="F108" s="55">
        <v>25000</v>
      </c>
      <c r="G108" s="5"/>
      <c r="H108" s="55">
        <v>25000</v>
      </c>
      <c r="I108" s="5"/>
      <c r="J108" s="55">
        <v>25000</v>
      </c>
      <c r="K108" s="5"/>
      <c r="L108" s="55">
        <v>25000</v>
      </c>
      <c r="M108" s="5"/>
      <c r="N108" s="55">
        <v>25000</v>
      </c>
      <c r="O108" s="5"/>
      <c r="P108" s="55">
        <v>25000</v>
      </c>
      <c r="Q108" s="5"/>
      <c r="R108" s="55">
        <v>25000</v>
      </c>
      <c r="S108" s="5"/>
      <c r="T108" s="55">
        <v>25000</v>
      </c>
      <c r="U108" s="5"/>
      <c r="V108" s="55">
        <v>25000</v>
      </c>
      <c r="W108" s="5"/>
      <c r="X108" s="55">
        <v>25000</v>
      </c>
      <c r="Y108" s="5"/>
      <c r="Z108" s="55">
        <f t="shared" si="45"/>
        <v>300000</v>
      </c>
      <c r="AA108" s="5"/>
      <c r="AB108" s="5"/>
      <c r="AC108" s="5"/>
      <c r="AD108" s="5"/>
      <c r="AE108" s="5"/>
    </row>
    <row r="109" spans="1:31" x14ac:dyDescent="0.2">
      <c r="A109" s="54" t="s">
        <v>103</v>
      </c>
      <c r="B109" s="55">
        <f>B85</f>
        <v>22500</v>
      </c>
      <c r="C109" s="5"/>
      <c r="D109" s="55">
        <v>91000</v>
      </c>
      <c r="E109" s="5"/>
      <c r="F109" s="55">
        <v>35000</v>
      </c>
      <c r="G109" s="5"/>
      <c r="H109" s="55">
        <f>H85</f>
        <v>157795.88</v>
      </c>
      <c r="I109" s="5"/>
      <c r="J109" s="55">
        <f>J85</f>
        <v>20000</v>
      </c>
      <c r="K109" s="5"/>
      <c r="L109" s="55">
        <f>L85</f>
        <v>86256.94</v>
      </c>
      <c r="M109" s="5"/>
      <c r="N109" s="55">
        <f>N85</f>
        <v>45000</v>
      </c>
      <c r="O109" s="5"/>
      <c r="P109" s="55">
        <f>P85</f>
        <v>70000</v>
      </c>
      <c r="Q109" s="5"/>
      <c r="R109" s="55">
        <f>R85</f>
        <v>55000</v>
      </c>
      <c r="S109" s="5"/>
      <c r="T109" s="55">
        <f>T85</f>
        <v>200000</v>
      </c>
      <c r="U109" s="5"/>
      <c r="V109" s="55">
        <f>V85</f>
        <v>0</v>
      </c>
      <c r="W109" s="5"/>
      <c r="X109" s="55">
        <f>X85</f>
        <v>0</v>
      </c>
      <c r="Y109" s="5"/>
      <c r="Z109" s="55">
        <f t="shared" si="45"/>
        <v>782552.82000000007</v>
      </c>
      <c r="AA109" s="5"/>
      <c r="AB109" s="5"/>
      <c r="AC109" s="5"/>
      <c r="AD109" s="5"/>
      <c r="AE109" s="5"/>
    </row>
    <row r="110" spans="1:31" x14ac:dyDescent="0.2">
      <c r="A110" s="54" t="s">
        <v>104</v>
      </c>
      <c r="B110" s="55">
        <v>-14000</v>
      </c>
      <c r="C110" s="5"/>
      <c r="D110" s="55">
        <v>-10000</v>
      </c>
      <c r="E110" s="5"/>
      <c r="F110" s="55"/>
      <c r="G110" s="5"/>
      <c r="H110" s="55"/>
      <c r="I110" s="5"/>
      <c r="J110" s="55"/>
      <c r="K110" s="5"/>
      <c r="L110" s="55">
        <f>L84</f>
        <v>0</v>
      </c>
      <c r="M110" s="5"/>
      <c r="N110" s="55"/>
      <c r="O110" s="5"/>
      <c r="P110" s="55">
        <f>P84</f>
        <v>0</v>
      </c>
      <c r="Q110" s="5"/>
      <c r="R110" s="55"/>
      <c r="S110" s="5"/>
      <c r="T110" s="55"/>
      <c r="U110" s="5"/>
      <c r="V110" s="55"/>
      <c r="W110" s="5"/>
      <c r="X110" s="55">
        <f>X84</f>
        <v>0</v>
      </c>
      <c r="Y110" s="5"/>
      <c r="Z110" s="55">
        <f t="shared" si="45"/>
        <v>-24000</v>
      </c>
      <c r="AA110" s="5"/>
      <c r="AB110" s="5"/>
      <c r="AC110" s="5"/>
      <c r="AD110" s="5"/>
      <c r="AE110" s="5"/>
    </row>
    <row r="111" spans="1:31" x14ac:dyDescent="0.2">
      <c r="A111" s="119" t="s">
        <v>105</v>
      </c>
      <c r="B111" s="120">
        <f>B104+B105-B106-B107-B108-B110-B109</f>
        <v>91198.78</v>
      </c>
      <c r="C111" s="5"/>
      <c r="D111" s="120">
        <f>D104+D105-D106-D107-D108-D109-D110</f>
        <v>69060.746400000033</v>
      </c>
      <c r="E111" s="5"/>
      <c r="F111" s="120">
        <f>F104+F105-F106-F107-F108-F109-F110</f>
        <v>120720.10639999999</v>
      </c>
      <c r="G111" s="5"/>
      <c r="H111" s="120">
        <f>H104+H105-H106-H107-H108-H109-H110</f>
        <v>49222.53919999997</v>
      </c>
      <c r="I111" s="5"/>
      <c r="J111" s="120">
        <f>J104+J105-J106-J107-J108-J109-J110</f>
        <v>49972.908399999986</v>
      </c>
      <c r="K111" s="5"/>
      <c r="L111" s="120">
        <f>L104+L105-L106-L107-L108-L109-L110</f>
        <v>72082.580800000025</v>
      </c>
      <c r="M111" s="5"/>
      <c r="N111" s="120">
        <f>N104+N105-N106-N107-N108-N109-N110</f>
        <v>112626.7904</v>
      </c>
      <c r="O111" s="5"/>
      <c r="P111" s="120">
        <f>P104+P105-P106-P107-P108-P109-P110</f>
        <v>114919.6488</v>
      </c>
      <c r="Q111" s="5"/>
      <c r="R111" s="120">
        <f>R104+R105-R106-R107-R108-R109-R110</f>
        <v>177081.95359999995</v>
      </c>
      <c r="S111" s="5"/>
      <c r="T111" s="120">
        <f>T104+T105-T106-T107-T108-T109-T110</f>
        <v>17793.533599999908</v>
      </c>
      <c r="U111" s="5"/>
      <c r="V111" s="120">
        <f>V104+V105-V106-V107-V108-V109-V110</f>
        <v>111953.21839999993</v>
      </c>
      <c r="W111" s="5"/>
      <c r="X111" s="120">
        <f>X104+X105-X106-X107-X108-X109-X110</f>
        <v>99924.785199999867</v>
      </c>
      <c r="Y111" s="5"/>
      <c r="Z111" s="120">
        <f>Z104+Z105-Z106-Z107-Z108-Z109-Z110</f>
        <v>29631.535199999809</v>
      </c>
      <c r="AA111" s="5"/>
      <c r="AB111" s="5"/>
      <c r="AC111" s="5"/>
      <c r="AD111" s="5"/>
      <c r="AE111" s="5"/>
    </row>
    <row r="112" spans="1:3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 t="s">
        <v>128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8:22" x14ac:dyDescent="0.2">
      <c r="V113" s="57">
        <f>V111-V93</f>
        <v>-90163.831600000092</v>
      </c>
    </row>
    <row r="119" spans="18:22" x14ac:dyDescent="0.2">
      <c r="R119">
        <f>2800+900</f>
        <v>3700</v>
      </c>
    </row>
  </sheetData>
  <protectedRanges>
    <protectedRange algorithmName="SHA-512" hashValue="KiP8vB2P0y7yMy9S7nNcjUu9byIf+jQ/6dXJiUCJBkcoOq/dvHzW+F8dBDUPpOUaErAMTbnnddRa1jMvEiSlAQ==" saltValue="7TY3ln36oRVa6uwwWG8evw==" spinCount="100000" sqref="A2:AE2" name="Intervalo1"/>
  </protectedRanges>
  <mergeCells count="1">
    <mergeCell ref="C94:C96"/>
  </mergeCells>
  <conditionalFormatting sqref="F86:X87 B86:B91 D86:D91 E88:X88 F89:X91">
    <cfRule type="cellIs" dxfId="5" priority="2" operator="lessThan">
      <formula>0</formula>
    </cfRule>
  </conditionalFormatting>
  <conditionalFormatting sqref="Z80:AC81 B80:Y83 AB82:AC83">
    <cfRule type="cellIs" dxfId="4" priority="3" operator="lessThan">
      <formula>0</formula>
    </cfRule>
  </conditionalFormatting>
  <conditionalFormatting sqref="AA80:AA81">
    <cfRule type="cellIs" dxfId="3" priority="1" operator="greaterThan">
      <formula>0.9961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644E-7FC0-43F5-A961-2D1321D046E3}">
  <dimension ref="A1:DZ128"/>
  <sheetViews>
    <sheetView tabSelected="1" workbookViewId="0">
      <pane xSplit="1" ySplit="1" topLeftCell="B94" activePane="bottomRight" state="frozen"/>
      <selection pane="topRight" activeCell="B1" sqref="B1"/>
      <selection pane="bottomLeft" activeCell="A2" sqref="A2"/>
      <selection pane="bottomRight" activeCell="AB20" sqref="AB20"/>
    </sheetView>
  </sheetViews>
  <sheetFormatPr baseColWidth="10" defaultColWidth="8.83203125" defaultRowHeight="15" x14ac:dyDescent="0.2"/>
  <cols>
    <col min="1" max="1" width="31.83203125" bestFit="1" customWidth="1"/>
    <col min="2" max="2" width="11.5" bestFit="1" customWidth="1"/>
    <col min="3" max="3" width="7" bestFit="1" customWidth="1"/>
    <col min="4" max="4" width="11.5" bestFit="1" customWidth="1"/>
    <col min="5" max="5" width="7" bestFit="1" customWidth="1"/>
    <col min="6" max="6" width="11.5" bestFit="1" customWidth="1"/>
    <col min="7" max="7" width="8" bestFit="1" customWidth="1"/>
    <col min="8" max="8" width="11.5" bestFit="1" customWidth="1"/>
    <col min="9" max="9" width="8" bestFit="1" customWidth="1"/>
    <col min="10" max="10" width="11.5" bestFit="1" customWidth="1"/>
    <col min="11" max="11" width="8" bestFit="1" customWidth="1"/>
    <col min="12" max="12" width="11.5" customWidth="1"/>
    <col min="13" max="13" width="8" bestFit="1" customWidth="1"/>
    <col min="14" max="14" width="11.5" bestFit="1" customWidth="1"/>
    <col min="15" max="15" width="8" bestFit="1" customWidth="1"/>
    <col min="16" max="16" width="11.5" bestFit="1" customWidth="1"/>
    <col min="17" max="17" width="8" bestFit="1" customWidth="1"/>
    <col min="18" max="18" width="11.5" bestFit="1" customWidth="1"/>
    <col min="19" max="19" width="8" bestFit="1" customWidth="1"/>
    <col min="20" max="20" width="11.5" bestFit="1" customWidth="1"/>
    <col min="21" max="21" width="8" bestFit="1" customWidth="1"/>
    <col min="22" max="22" width="11.33203125" bestFit="1" customWidth="1"/>
    <col min="23" max="23" width="8" bestFit="1" customWidth="1"/>
    <col min="24" max="24" width="10.6640625" bestFit="1" customWidth="1"/>
    <col min="25" max="25" width="7" bestFit="1" customWidth="1"/>
    <col min="26" max="26" width="11.5" bestFit="1" customWidth="1"/>
    <col min="27" max="27" width="7" bestFit="1" customWidth="1"/>
    <col min="28" max="28" width="12.5" bestFit="1" customWidth="1"/>
    <col min="32" max="32" width="34.33203125" bestFit="1" customWidth="1"/>
  </cols>
  <sheetData>
    <row r="1" spans="1:130" x14ac:dyDescent="0.2">
      <c r="A1" s="115"/>
      <c r="B1" s="111" t="s">
        <v>0</v>
      </c>
      <c r="C1" s="1" t="s">
        <v>1</v>
      </c>
      <c r="D1" s="111" t="s">
        <v>2</v>
      </c>
      <c r="E1" s="1" t="s">
        <v>1</v>
      </c>
      <c r="F1" s="111" t="s">
        <v>3</v>
      </c>
      <c r="G1" s="1" t="s">
        <v>1</v>
      </c>
      <c r="H1" s="111" t="s">
        <v>4</v>
      </c>
      <c r="I1" s="1" t="s">
        <v>1</v>
      </c>
      <c r="J1" s="111" t="s">
        <v>5</v>
      </c>
      <c r="K1" s="2" t="s">
        <v>1</v>
      </c>
      <c r="L1" s="111" t="s">
        <v>6</v>
      </c>
      <c r="M1" s="2" t="s">
        <v>1</v>
      </c>
      <c r="N1" s="111" t="s">
        <v>7</v>
      </c>
      <c r="O1" s="2" t="s">
        <v>1</v>
      </c>
      <c r="P1" s="111" t="s">
        <v>8</v>
      </c>
      <c r="Q1" s="2" t="s">
        <v>1</v>
      </c>
      <c r="R1" s="111" t="s">
        <v>9</v>
      </c>
      <c r="S1" s="2" t="s">
        <v>1</v>
      </c>
      <c r="T1" s="111" t="s">
        <v>10</v>
      </c>
      <c r="U1" s="2" t="s">
        <v>1</v>
      </c>
      <c r="V1" s="111" t="s">
        <v>11</v>
      </c>
      <c r="W1" s="2" t="s">
        <v>1</v>
      </c>
      <c r="X1" s="111" t="s">
        <v>12</v>
      </c>
      <c r="Y1" s="2" t="s">
        <v>1</v>
      </c>
      <c r="Z1" s="112" t="s">
        <v>13</v>
      </c>
      <c r="AA1" s="3" t="s">
        <v>1</v>
      </c>
      <c r="AB1" s="113" t="s">
        <v>14</v>
      </c>
      <c r="AC1" s="4"/>
      <c r="AD1" s="5"/>
      <c r="AE1" s="114" t="s">
        <v>15</v>
      </c>
    </row>
    <row r="2" spans="1:130" x14ac:dyDescent="0.2">
      <c r="A2" s="73" t="s">
        <v>16</v>
      </c>
      <c r="B2" s="71">
        <f>SUM(B3:B5)</f>
        <v>242812.93000000002</v>
      </c>
      <c r="C2" s="6">
        <v>1</v>
      </c>
      <c r="D2" s="71">
        <f>SUM(D3:D4)</f>
        <v>231447.44</v>
      </c>
      <c r="E2" s="6">
        <v>1</v>
      </c>
      <c r="F2" s="71">
        <f>SUM(F3:F5)</f>
        <v>307830.68</v>
      </c>
      <c r="G2" s="6">
        <v>1</v>
      </c>
      <c r="H2" s="71">
        <f>SUM(H3:H5)</f>
        <v>331522.74</v>
      </c>
      <c r="I2" s="6">
        <v>1</v>
      </c>
      <c r="J2" s="71">
        <f>SUM(J3:J5)</f>
        <v>292766.34999999998</v>
      </c>
      <c r="K2" s="6">
        <v>1</v>
      </c>
      <c r="L2" s="71">
        <f>SUM(L3:L5)</f>
        <v>270091.7</v>
      </c>
      <c r="M2" s="6">
        <v>1</v>
      </c>
      <c r="N2" s="71">
        <f>SUM(N3:N5)</f>
        <v>261734.46</v>
      </c>
      <c r="O2" s="6">
        <v>1</v>
      </c>
      <c r="P2" s="71">
        <f>SUM(P3:P5)</f>
        <v>276333.46999999997</v>
      </c>
      <c r="Q2" s="6">
        <v>1</v>
      </c>
      <c r="R2" s="71">
        <f>SUM(R3:R5)</f>
        <v>304647</v>
      </c>
      <c r="S2" s="6">
        <v>1</v>
      </c>
      <c r="T2" s="71">
        <f>SUM(T3:T5)</f>
        <v>296633.96999999997</v>
      </c>
      <c r="U2" s="6">
        <v>1</v>
      </c>
      <c r="V2" s="71">
        <f>SUM(V3:V5)</f>
        <v>292549.77</v>
      </c>
      <c r="W2" s="6">
        <v>1</v>
      </c>
      <c r="X2" s="71">
        <f>SUM(X3:X5)</f>
        <v>289216.86</v>
      </c>
      <c r="Y2" s="6">
        <v>1</v>
      </c>
      <c r="Z2" s="69">
        <f t="shared" ref="Z2:Z24" si="0">(B2+D2+F2+H2+J2+L2+N2+P2+R2+T2+V2+X2)/AE$2</f>
        <v>283132.28083333332</v>
      </c>
      <c r="AA2" s="7">
        <v>1</v>
      </c>
      <c r="AB2" s="71">
        <f>SUM(AB3:AB5)</f>
        <v>3397587.37</v>
      </c>
      <c r="AC2" s="123">
        <v>1</v>
      </c>
      <c r="AD2" s="8"/>
      <c r="AE2" s="64">
        <f>COUNTIF(B2:Y2,"&gt;1")</f>
        <v>12</v>
      </c>
    </row>
    <row r="3" spans="1:130" x14ac:dyDescent="0.2">
      <c r="A3" s="9" t="s">
        <v>143</v>
      </c>
      <c r="B3" s="9">
        <v>195750.17</v>
      </c>
      <c r="C3" s="10">
        <f t="shared" ref="C3:C82" si="1">B3/B$2</f>
        <v>0.80617687863657017</v>
      </c>
      <c r="D3" s="9">
        <v>197028.71</v>
      </c>
      <c r="E3" s="10">
        <f t="shared" ref="E3:E18" si="2">D3/D$2</f>
        <v>0.85128921711123695</v>
      </c>
      <c r="F3" s="9">
        <f>229999.05</f>
        <v>229999.05</v>
      </c>
      <c r="G3" s="10">
        <f t="shared" ref="G3:G82" si="3">F3/F$2</f>
        <v>0.74716090676861702</v>
      </c>
      <c r="H3" s="9">
        <v>214345.13</v>
      </c>
      <c r="I3" s="10">
        <f t="shared" ref="I3:I82" si="4">H3/H$2</f>
        <v>0.64654729265328836</v>
      </c>
      <c r="J3" s="9">
        <f>239739.53</f>
        <v>239739.53</v>
      </c>
      <c r="K3" s="10">
        <f t="shared" ref="K3:K67" si="5">J3/J$2</f>
        <v>0.81887665710215674</v>
      </c>
      <c r="L3" s="9">
        <f>203155.87</f>
        <v>203155.87</v>
      </c>
      <c r="M3" s="10">
        <f t="shared" ref="M3:M18" si="6">L3/L$2</f>
        <v>0.75217368767718518</v>
      </c>
      <c r="N3" s="9">
        <v>212972</v>
      </c>
      <c r="O3" s="10">
        <f t="shared" ref="O3:O82" si="7">N3/N$2</f>
        <v>0.81369491812426997</v>
      </c>
      <c r="P3" s="9">
        <f>227500+6000</f>
        <v>233500</v>
      </c>
      <c r="Q3" s="10">
        <f t="shared" ref="Q3:Q82" si="8">P3/P$2</f>
        <v>0.84499355072695326</v>
      </c>
      <c r="R3" s="9">
        <f>232500+6000</f>
        <v>238500</v>
      </c>
      <c r="S3" s="10">
        <f t="shared" ref="S3:S82" si="9">R3/R$2</f>
        <v>0.78287329269613681</v>
      </c>
      <c r="T3" s="9">
        <f>237500+6000</f>
        <v>243500</v>
      </c>
      <c r="U3" s="10">
        <f t="shared" ref="U3:U82" si="10">T3/T$2</f>
        <v>0.82087698856607694</v>
      </c>
      <c r="V3" s="9">
        <f>242500+6000</f>
        <v>248500</v>
      </c>
      <c r="W3" s="10">
        <f t="shared" ref="W3:W82" si="11">V3/V$2</f>
        <v>0.84942811611166191</v>
      </c>
      <c r="X3" s="9">
        <f>247500+6000</f>
        <v>253500</v>
      </c>
      <c r="Y3" s="10">
        <f t="shared" ref="Y3:Y82" si="12">X3/X$2</f>
        <v>0.87650491745190795</v>
      </c>
      <c r="Z3" s="11">
        <f t="shared" si="0"/>
        <v>225874.20499999999</v>
      </c>
      <c r="AA3" s="10">
        <f t="shared" ref="AA3:AA90" si="13">Z3/Z$2</f>
        <v>0.7977691711280408</v>
      </c>
      <c r="AB3" s="12">
        <f>L3+N3+P3+R3+T3+V3+X3+J3+H3+F3+D3+B3</f>
        <v>2710490.46</v>
      </c>
      <c r="AC3" s="122">
        <f>AB3/AB$2</f>
        <v>0.79776917112804069</v>
      </c>
      <c r="AD3" s="5"/>
      <c r="AE3" s="13"/>
    </row>
    <row r="4" spans="1:130" x14ac:dyDescent="0.2">
      <c r="A4" s="9" t="s">
        <v>144</v>
      </c>
      <c r="B4" s="9">
        <f>45333.23+1129.65</f>
        <v>46462.880000000005</v>
      </c>
      <c r="C4" s="10">
        <f t="shared" si="1"/>
        <v>0.19135257747600179</v>
      </c>
      <c r="D4" s="9">
        <f>28399.95+2931.17+3087.61</f>
        <v>34418.730000000003</v>
      </c>
      <c r="E4" s="10">
        <f t="shared" si="2"/>
        <v>0.14871078288876302</v>
      </c>
      <c r="F4" s="9">
        <v>77831.63</v>
      </c>
      <c r="G4" s="10">
        <f t="shared" si="3"/>
        <v>0.25283909323138293</v>
      </c>
      <c r="H4" s="9">
        <f>112142.71+5034.9</f>
        <v>117177.61</v>
      </c>
      <c r="I4" s="10">
        <f t="shared" si="4"/>
        <v>0.35345270734671175</v>
      </c>
      <c r="J4" s="9">
        <f>44114.39+8912.43</f>
        <v>53026.82</v>
      </c>
      <c r="K4" s="10">
        <f t="shared" si="5"/>
        <v>0.18112334289784329</v>
      </c>
      <c r="L4" s="9">
        <f>54473.17+10233.13</f>
        <v>64706.299999999996</v>
      </c>
      <c r="M4" s="10">
        <f t="shared" si="6"/>
        <v>0.23957159735008515</v>
      </c>
      <c r="N4" s="9">
        <v>48762.46</v>
      </c>
      <c r="O4" s="10">
        <f t="shared" si="7"/>
        <v>0.18630508187573008</v>
      </c>
      <c r="P4" s="9">
        <v>42833.47</v>
      </c>
      <c r="Q4" s="10">
        <f t="shared" si="8"/>
        <v>0.15500644927304683</v>
      </c>
      <c r="R4" s="9">
        <v>66147</v>
      </c>
      <c r="S4" s="10">
        <f t="shared" si="9"/>
        <v>0.21712670730386316</v>
      </c>
      <c r="T4" s="9">
        <v>53133.97</v>
      </c>
      <c r="U4" s="10">
        <f t="shared" si="10"/>
        <v>0.17912301143392312</v>
      </c>
      <c r="V4" s="9">
        <v>44049.77</v>
      </c>
      <c r="W4" s="10">
        <f t="shared" si="11"/>
        <v>0.15057188388833803</v>
      </c>
      <c r="X4" s="9">
        <v>35716.86</v>
      </c>
      <c r="Y4" s="10">
        <f t="shared" si="12"/>
        <v>0.12349508254809212</v>
      </c>
      <c r="Z4" s="11">
        <f t="shared" si="0"/>
        <v>57022.291666666664</v>
      </c>
      <c r="AA4" s="10">
        <f t="shared" si="13"/>
        <v>0.20139805852880835</v>
      </c>
      <c r="AB4" s="12">
        <f>L4+N4+P4+R4+T4+V4+X4+J4+H4+F4+D4+B4</f>
        <v>684267.5</v>
      </c>
      <c r="AC4" s="122">
        <f>AB4/AB$2</f>
        <v>0.20139805852880832</v>
      </c>
      <c r="AD4" s="5"/>
      <c r="AE4" s="13"/>
    </row>
    <row r="5" spans="1:130" x14ac:dyDescent="0.2">
      <c r="A5" s="9" t="s">
        <v>17</v>
      </c>
      <c r="B5" s="9">
        <v>599.88</v>
      </c>
      <c r="C5" s="10">
        <f t="shared" si="1"/>
        <v>2.4705438874280702E-3</v>
      </c>
      <c r="D5" s="9"/>
      <c r="E5" s="10">
        <f t="shared" si="2"/>
        <v>0</v>
      </c>
      <c r="F5" s="9"/>
      <c r="G5" s="10">
        <f t="shared" si="3"/>
        <v>0</v>
      </c>
      <c r="H5" s="9"/>
      <c r="I5" s="10">
        <f t="shared" si="4"/>
        <v>0</v>
      </c>
      <c r="J5" s="9"/>
      <c r="K5" s="10">
        <f t="shared" si="5"/>
        <v>0</v>
      </c>
      <c r="L5" s="9">
        <f>729.53+1500</f>
        <v>2229.5299999999997</v>
      </c>
      <c r="M5" s="10">
        <f t="shared" si="6"/>
        <v>8.254714972729631E-3</v>
      </c>
      <c r="N5" s="9"/>
      <c r="O5" s="10">
        <f t="shared" si="7"/>
        <v>0</v>
      </c>
      <c r="P5" s="9"/>
      <c r="Q5" s="10">
        <f t="shared" si="8"/>
        <v>0</v>
      </c>
      <c r="R5" s="9"/>
      <c r="S5" s="10">
        <f t="shared" si="9"/>
        <v>0</v>
      </c>
      <c r="T5" s="9"/>
      <c r="U5" s="10">
        <f t="shared" si="10"/>
        <v>0</v>
      </c>
      <c r="V5" s="9"/>
      <c r="W5" s="10">
        <f t="shared" si="11"/>
        <v>0</v>
      </c>
      <c r="X5" s="9"/>
      <c r="Y5" s="10">
        <f t="shared" si="12"/>
        <v>0</v>
      </c>
      <c r="Z5" s="11">
        <f t="shared" si="0"/>
        <v>235.78416666666666</v>
      </c>
      <c r="AA5" s="10">
        <f t="shared" si="13"/>
        <v>8.3277034315088123E-4</v>
      </c>
      <c r="AB5" s="12">
        <f>L5+N5+P5+R5+T5+V5+X5+J5+H5+F5+D5+B5</f>
        <v>2829.41</v>
      </c>
      <c r="AC5" s="122">
        <f t="shared" ref="AC5" si="14">AB5/AB$3</f>
        <v>1.0438738087275908E-3</v>
      </c>
      <c r="AD5" s="5"/>
      <c r="AE5" s="13"/>
    </row>
    <row r="6" spans="1:130" x14ac:dyDescent="0.2">
      <c r="A6" s="73" t="s">
        <v>18</v>
      </c>
      <c r="B6" s="71">
        <f>SUBTOTAL(9,B7:B18)</f>
        <v>58735.709999999992</v>
      </c>
      <c r="C6" s="6">
        <f t="shared" si="1"/>
        <v>0.2418969615827295</v>
      </c>
      <c r="D6" s="71">
        <f>SUBTOTAL(9,D7:D18)</f>
        <v>52628.469999999987</v>
      </c>
      <c r="E6" s="6">
        <f t="shared" si="2"/>
        <v>0.22738842996059921</v>
      </c>
      <c r="F6" s="71">
        <f>SUBTOTAL(9,F7:F18)</f>
        <v>49982.490000000013</v>
      </c>
      <c r="G6" s="6">
        <f t="shared" si="3"/>
        <v>0.16237007305444673</v>
      </c>
      <c r="H6" s="71">
        <f>SUBTOTAL(9,H7:H18)</f>
        <v>61045.22</v>
      </c>
      <c r="I6" s="6">
        <f t="shared" si="4"/>
        <v>0.18413584540233952</v>
      </c>
      <c r="J6" s="71">
        <f>SUBTOTAL(9,J7:J18)</f>
        <v>68973.809999999983</v>
      </c>
      <c r="K6" s="6">
        <f t="shared" si="5"/>
        <v>0.23559336651906884</v>
      </c>
      <c r="L6" s="71">
        <f>SUBTOTAL(9,L7:L18)</f>
        <v>57936.08</v>
      </c>
      <c r="M6" s="6">
        <f t="shared" si="6"/>
        <v>0.21450522174505918</v>
      </c>
      <c r="N6" s="71">
        <f>SUBTOTAL(9,N7:N18)</f>
        <v>58414.972000000009</v>
      </c>
      <c r="O6" s="6">
        <f t="shared" si="7"/>
        <v>0.22318410804599445</v>
      </c>
      <c r="P6" s="71">
        <f>SUBTOTAL(9,P7:P18)</f>
        <v>53627.513599999998</v>
      </c>
      <c r="Q6" s="6">
        <f t="shared" si="8"/>
        <v>0.19406810763820975</v>
      </c>
      <c r="R6" s="71">
        <f>SUBTOTAL(9,R7:R18)</f>
        <v>55963.355199999998</v>
      </c>
      <c r="S6" s="6">
        <f t="shared" si="9"/>
        <v>0.18369901952095374</v>
      </c>
      <c r="T6" s="71">
        <f>SUBTOTAL(9,T7:T18)</f>
        <v>60493.520000000004</v>
      </c>
      <c r="U6" s="6">
        <f t="shared" si="10"/>
        <v>0.20393321776329262</v>
      </c>
      <c r="V6" s="71">
        <f>SUBTOTAL(9,V7:V18)</f>
        <v>58711.4352</v>
      </c>
      <c r="W6" s="6">
        <f t="shared" si="11"/>
        <v>0.20068870742916667</v>
      </c>
      <c r="X6" s="71">
        <f>SUBTOTAL(9,X7:X18)</f>
        <v>58057.963200000006</v>
      </c>
      <c r="Y6" s="6">
        <f t="shared" si="12"/>
        <v>0.20074197334138821</v>
      </c>
      <c r="Z6" s="69">
        <f t="shared" si="0"/>
        <v>57880.878266666659</v>
      </c>
      <c r="AA6" s="6">
        <f>Z6/Z$2</f>
        <v>0.20443051599876882</v>
      </c>
      <c r="AB6" s="71">
        <f>SUBTOTAL(9,AB7:AB18)</f>
        <v>694570.53920000012</v>
      </c>
      <c r="AC6" s="124">
        <f>AB6/AB$2</f>
        <v>0.20443051599876888</v>
      </c>
      <c r="AD6" s="63"/>
      <c r="AE6" s="14">
        <f>691/567</f>
        <v>1.218694885361552</v>
      </c>
    </row>
    <row r="7" spans="1:130" x14ac:dyDescent="0.2">
      <c r="A7" s="15" t="s">
        <v>19</v>
      </c>
      <c r="B7" s="9">
        <v>48302.27</v>
      </c>
      <c r="C7" s="10">
        <f t="shared" si="1"/>
        <v>0.19892791541208285</v>
      </c>
      <c r="D7" s="9">
        <v>39265.949999999997</v>
      </c>
      <c r="E7" s="10">
        <f t="shared" si="2"/>
        <v>0.1696538531599226</v>
      </c>
      <c r="F7" s="9">
        <v>37881.01</v>
      </c>
      <c r="G7" s="10">
        <f t="shared" si="3"/>
        <v>0.12305794211285244</v>
      </c>
      <c r="H7" s="9">
        <v>49728.5</v>
      </c>
      <c r="I7" s="10">
        <f t="shared" si="4"/>
        <v>0.15000026845820591</v>
      </c>
      <c r="J7" s="9">
        <v>54547.86</v>
      </c>
      <c r="K7" s="10">
        <f t="shared" si="5"/>
        <v>0.18631874872231732</v>
      </c>
      <c r="L7" s="9">
        <v>48152.65</v>
      </c>
      <c r="M7" s="10">
        <f t="shared" si="6"/>
        <v>0.1782825980953876</v>
      </c>
      <c r="N7" s="15">
        <f>L2*16%</f>
        <v>43214.672000000006</v>
      </c>
      <c r="O7" s="10">
        <f t="shared" si="7"/>
        <v>0.16510883587892861</v>
      </c>
      <c r="P7" s="9">
        <f>N2*16%</f>
        <v>41877.513599999998</v>
      </c>
      <c r="Q7" s="10">
        <f t="shared" si="8"/>
        <v>0.15154701889713179</v>
      </c>
      <c r="R7" s="9">
        <f>P2*16%</f>
        <v>44213.355199999998</v>
      </c>
      <c r="S7" s="10">
        <f t="shared" si="9"/>
        <v>0.14512979021621744</v>
      </c>
      <c r="T7" s="15">
        <f>R2*16%</f>
        <v>48743.520000000004</v>
      </c>
      <c r="U7" s="10">
        <f t="shared" si="10"/>
        <v>0.16432211051215748</v>
      </c>
      <c r="V7" s="15">
        <f>T2*16%</f>
        <v>47461.4352</v>
      </c>
      <c r="W7" s="10">
        <f t="shared" si="11"/>
        <v>0.16223371223296465</v>
      </c>
      <c r="X7" s="15">
        <f>V2*16%</f>
        <v>46807.963200000006</v>
      </c>
      <c r="Y7" s="10">
        <f t="shared" si="12"/>
        <v>0.16184382611719111</v>
      </c>
      <c r="Z7" s="11">
        <f t="shared" si="0"/>
        <v>45849.724933333346</v>
      </c>
      <c r="AA7" s="10">
        <f>Z7/Z$2</f>
        <v>0.16193746893990843</v>
      </c>
      <c r="AB7" s="121">
        <f>L7+N7+P7+R7+T7+V7+X7+J7+H7+F7+D7+B7</f>
        <v>550196.69920000003</v>
      </c>
      <c r="AC7" s="122">
        <f>AB7/AB$2</f>
        <v>0.16193746893990837</v>
      </c>
      <c r="AD7" s="5"/>
      <c r="AE7" s="5">
        <f>530/452</f>
        <v>1.1725663716814159</v>
      </c>
    </row>
    <row r="8" spans="1:130" x14ac:dyDescent="0.2">
      <c r="A8" s="15" t="s">
        <v>136</v>
      </c>
      <c r="B8" s="9">
        <v>160.6</v>
      </c>
      <c r="C8" s="10">
        <f t="shared" si="1"/>
        <v>6.6141453010760173E-4</v>
      </c>
      <c r="D8" s="9">
        <v>81.2</v>
      </c>
      <c r="E8" s="10">
        <f t="shared" si="2"/>
        <v>3.5083559360172661E-4</v>
      </c>
      <c r="F8" s="9"/>
      <c r="G8" s="10">
        <f t="shared" si="3"/>
        <v>0</v>
      </c>
      <c r="H8" s="9"/>
      <c r="I8" s="10">
        <f t="shared" si="4"/>
        <v>0</v>
      </c>
      <c r="J8" s="9"/>
      <c r="K8" s="10">
        <f t="shared" si="5"/>
        <v>0</v>
      </c>
      <c r="L8" s="9"/>
      <c r="M8" s="10">
        <f t="shared" si="6"/>
        <v>0</v>
      </c>
      <c r="N8" s="15">
        <v>750</v>
      </c>
      <c r="O8" s="10">
        <f t="shared" si="7"/>
        <v>2.8654996365400261E-3</v>
      </c>
      <c r="P8" s="9">
        <v>750</v>
      </c>
      <c r="Q8" s="10">
        <f t="shared" si="8"/>
        <v>2.7141120473028477E-3</v>
      </c>
      <c r="R8" s="9">
        <v>750</v>
      </c>
      <c r="S8" s="10">
        <f t="shared" si="9"/>
        <v>2.4618657003023172E-3</v>
      </c>
      <c r="T8" s="15">
        <v>750</v>
      </c>
      <c r="U8" s="10">
        <f t="shared" si="10"/>
        <v>2.5283685479447955E-3</v>
      </c>
      <c r="V8" s="15">
        <v>750</v>
      </c>
      <c r="W8" s="10">
        <f t="shared" si="11"/>
        <v>2.5636663464134665E-3</v>
      </c>
      <c r="X8" s="15">
        <v>750</v>
      </c>
      <c r="Y8" s="10">
        <f t="shared" si="12"/>
        <v>2.5932098149464731E-3</v>
      </c>
      <c r="Z8" s="11">
        <f t="shared" si="0"/>
        <v>395.15000000000003</v>
      </c>
      <c r="AA8" s="10">
        <f t="shared" ref="AA8:AA18" si="15">Z8/Z$2</f>
        <v>1.3956373990170563E-3</v>
      </c>
      <c r="AB8" s="12">
        <f>L8+N8+P8+R8+T8+V8+X8+J8+H8+F8+D8+B8</f>
        <v>4741.8</v>
      </c>
      <c r="AC8" s="122">
        <f t="shared" ref="AC8:AC18" si="16">AB8/AB$2</f>
        <v>1.3956373990170561E-3</v>
      </c>
      <c r="AD8" s="5"/>
      <c r="AE8" s="5"/>
    </row>
    <row r="9" spans="1:130" x14ac:dyDescent="0.2">
      <c r="A9" s="9" t="s">
        <v>20</v>
      </c>
      <c r="B9" s="9">
        <f>SUBTOTAL(9,B10:B18)</f>
        <v>10272.84</v>
      </c>
      <c r="C9" s="10">
        <f>B9/B$2</f>
        <v>4.2307631640539071E-2</v>
      </c>
      <c r="D9" s="9">
        <f>SUBTOTAL(9,D10:D18)</f>
        <v>13281.320000000002</v>
      </c>
      <c r="E9" s="10">
        <f t="shared" si="2"/>
        <v>5.7383741207074929E-2</v>
      </c>
      <c r="F9" s="9">
        <f>SUBTOTAL(9,F10:F18)</f>
        <v>12101.480000000001</v>
      </c>
      <c r="G9" s="10">
        <f t="shared" si="3"/>
        <v>3.9312130941594262E-2</v>
      </c>
      <c r="H9" s="9">
        <f>SUBTOTAL(9,H10:H18)</f>
        <v>11316.720000000001</v>
      </c>
      <c r="I9" s="10">
        <f t="shared" si="4"/>
        <v>3.4135576944133612E-2</v>
      </c>
      <c r="J9" s="9">
        <f>SUBTOTAL(9,J10:J18)</f>
        <v>14425.949999999999</v>
      </c>
      <c r="K9" s="10">
        <f t="shared" si="5"/>
        <v>4.9274617796751574E-2</v>
      </c>
      <c r="L9" s="9">
        <f>SUBTOTAL(9,L10:L18)</f>
        <v>9783.43</v>
      </c>
      <c r="M9" s="10">
        <f t="shared" si="6"/>
        <v>3.6222623649671576E-2</v>
      </c>
      <c r="N9" s="15">
        <f>SUBTOTAL(9,N10:N18)</f>
        <v>14450.3</v>
      </c>
      <c r="O9" s="10">
        <f t="shared" si="7"/>
        <v>5.5209772530525787E-2</v>
      </c>
      <c r="P9" s="9">
        <f>SUBTOTAL(9,P10:P18)</f>
        <v>11000</v>
      </c>
      <c r="Q9" s="10">
        <f t="shared" si="8"/>
        <v>3.9806976693775101E-2</v>
      </c>
      <c r="R9" s="9">
        <f>SUBTOTAL(9,R10:R18)</f>
        <v>11000</v>
      </c>
      <c r="S9" s="10">
        <f t="shared" si="9"/>
        <v>3.6107363604433985E-2</v>
      </c>
      <c r="T9" s="15">
        <f>SUBTOTAL(9,T10:T18)</f>
        <v>11000</v>
      </c>
      <c r="U9" s="10">
        <f t="shared" si="10"/>
        <v>3.7082738703190336E-2</v>
      </c>
      <c r="V9" s="15">
        <f>SUBTOTAL(9,V10:V18)</f>
        <v>10500</v>
      </c>
      <c r="W9" s="10">
        <f t="shared" si="11"/>
        <v>3.5891328849788531E-2</v>
      </c>
      <c r="X9" s="15">
        <f>SUBTOTAL(9,X10:X18)</f>
        <v>10500</v>
      </c>
      <c r="Y9" s="10">
        <f t="shared" si="12"/>
        <v>3.6304937409250622E-2</v>
      </c>
      <c r="Z9" s="11">
        <f t="shared" si="0"/>
        <v>11636.003333333334</v>
      </c>
      <c r="AA9" s="10">
        <f t="shared" si="15"/>
        <v>4.1097409659843424E-2</v>
      </c>
      <c r="AB9" s="12">
        <f>SUBTOTAL(9,AB10:AB18)</f>
        <v>139632.04</v>
      </c>
      <c r="AC9" s="122">
        <f t="shared" si="16"/>
        <v>4.1097409659843424E-2</v>
      </c>
      <c r="AD9" s="63"/>
      <c r="AE9" s="5">
        <f>151/107</f>
        <v>1.4112149532710281</v>
      </c>
    </row>
    <row r="10" spans="1:130" s="59" customFormat="1" x14ac:dyDescent="0.2">
      <c r="A10" s="9" t="s">
        <v>21</v>
      </c>
      <c r="B10" s="9">
        <f>1410.39+367.93</f>
        <v>1778.3200000000002</v>
      </c>
      <c r="C10" s="10">
        <f t="shared" ref="C10:C18" si="17">B10/B$2</f>
        <v>7.3238274419735391E-3</v>
      </c>
      <c r="D10" s="9">
        <f>2166.98+282.65</f>
        <v>2449.63</v>
      </c>
      <c r="E10" s="10">
        <f t="shared" si="2"/>
        <v>1.0583958068406374E-2</v>
      </c>
      <c r="F10" s="9">
        <f>1446.71+241.12</f>
        <v>1687.83</v>
      </c>
      <c r="G10" s="10">
        <f t="shared" si="3"/>
        <v>5.4829817482779817E-3</v>
      </c>
      <c r="H10" s="9">
        <f>3225.52+620.29</f>
        <v>3845.81</v>
      </c>
      <c r="I10" s="10">
        <f t="shared" si="4"/>
        <v>1.1600441043652088E-2</v>
      </c>
      <c r="J10" s="9">
        <f>4521.48+904.3</f>
        <v>5425.78</v>
      </c>
      <c r="K10" s="10">
        <f t="shared" si="5"/>
        <v>1.8532799278332363E-2</v>
      </c>
      <c r="L10" s="9">
        <f>1643.47+410.87</f>
        <v>2054.34</v>
      </c>
      <c r="M10" s="10">
        <f t="shared" si="6"/>
        <v>7.6060834153733716E-3</v>
      </c>
      <c r="N10" s="9">
        <f>2278.9+455.78</f>
        <v>2734.6800000000003</v>
      </c>
      <c r="O10" s="10">
        <f t="shared" si="7"/>
        <v>1.0448299394737705E-2</v>
      </c>
      <c r="P10" s="9">
        <v>2500</v>
      </c>
      <c r="Q10" s="10">
        <f t="shared" si="8"/>
        <v>9.0470401576761596E-3</v>
      </c>
      <c r="R10" s="9">
        <v>2500</v>
      </c>
      <c r="S10" s="10">
        <f t="shared" si="9"/>
        <v>8.2062190010077241E-3</v>
      </c>
      <c r="T10" s="9">
        <v>2500</v>
      </c>
      <c r="U10" s="10">
        <f t="shared" si="10"/>
        <v>8.4278951598159863E-3</v>
      </c>
      <c r="V10" s="9">
        <v>2500</v>
      </c>
      <c r="W10" s="10">
        <f t="shared" si="11"/>
        <v>8.5455544880448878E-3</v>
      </c>
      <c r="X10" s="9">
        <v>2500</v>
      </c>
      <c r="Y10" s="10">
        <f t="shared" si="12"/>
        <v>8.6440327164882431E-3</v>
      </c>
      <c r="Z10" s="11">
        <f t="shared" si="0"/>
        <v>2706.3658333333333</v>
      </c>
      <c r="AA10" s="10">
        <f t="shared" si="15"/>
        <v>9.5586622103554612E-3</v>
      </c>
      <c r="AB10" s="12">
        <f t="shared" ref="AB10:AB18" si="18">L10+N10+P10+R10+T10+V10+X10+J10+H10+F10+D10+B10</f>
        <v>32476.390000000003</v>
      </c>
      <c r="AC10" s="122">
        <f t="shared" si="16"/>
        <v>9.558662210355463E-3</v>
      </c>
      <c r="AD10" s="5"/>
      <c r="AE10" s="5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</row>
    <row r="11" spans="1:130" s="59" customFormat="1" x14ac:dyDescent="0.2">
      <c r="A11" s="9" t="s">
        <v>138</v>
      </c>
      <c r="B11" s="9">
        <f>2288.93+457.79</f>
        <v>2746.72</v>
      </c>
      <c r="C11" s="10">
        <f t="shared" si="17"/>
        <v>1.1312082927379525E-2</v>
      </c>
      <c r="D11" s="9">
        <f>3987.65+590.76</f>
        <v>4578.41</v>
      </c>
      <c r="E11" s="10">
        <f t="shared" si="2"/>
        <v>1.9781640272193115E-2</v>
      </c>
      <c r="F11" s="9">
        <f>4823.86+803.98</f>
        <v>5627.84</v>
      </c>
      <c r="G11" s="10">
        <f t="shared" si="3"/>
        <v>1.8282258285626372E-2</v>
      </c>
      <c r="H11" s="9">
        <f>2483.26+477.55</f>
        <v>2960.8100000000004</v>
      </c>
      <c r="I11" s="10">
        <f t="shared" si="4"/>
        <v>8.9309409061954555E-3</v>
      </c>
      <c r="J11" s="9">
        <f>4499.41+899.88</f>
        <v>5399.29</v>
      </c>
      <c r="K11" s="10">
        <f t="shared" si="5"/>
        <v>1.8442317568258784E-2</v>
      </c>
      <c r="L11" s="9">
        <f>3021.44+581.05</f>
        <v>3602.49</v>
      </c>
      <c r="M11" s="10">
        <f t="shared" si="6"/>
        <v>1.3338025566872287E-2</v>
      </c>
      <c r="N11" s="9">
        <f>3415.27+683.05</f>
        <v>4098.32</v>
      </c>
      <c r="O11" s="10">
        <f t="shared" si="7"/>
        <v>1.5658312627232961E-2</v>
      </c>
      <c r="P11" s="9">
        <v>3000</v>
      </c>
      <c r="Q11" s="10">
        <f t="shared" si="8"/>
        <v>1.0856448189211391E-2</v>
      </c>
      <c r="R11" s="9">
        <v>3000</v>
      </c>
      <c r="S11" s="10">
        <f t="shared" si="9"/>
        <v>9.8474628012092686E-3</v>
      </c>
      <c r="T11" s="9">
        <v>3000</v>
      </c>
      <c r="U11" s="10">
        <f t="shared" si="10"/>
        <v>1.0113474191779182E-2</v>
      </c>
      <c r="V11" s="9">
        <v>3000</v>
      </c>
      <c r="W11" s="10">
        <f t="shared" si="11"/>
        <v>1.0254665385653866E-2</v>
      </c>
      <c r="X11" s="9">
        <v>3000</v>
      </c>
      <c r="Y11" s="10">
        <f t="shared" si="12"/>
        <v>1.0372839259785892E-2</v>
      </c>
      <c r="Z11" s="11">
        <f t="shared" si="0"/>
        <v>3667.8233333333333</v>
      </c>
      <c r="AA11" s="10">
        <f t="shared" si="15"/>
        <v>1.2954451264045052E-2</v>
      </c>
      <c r="AB11" s="12">
        <f t="shared" si="18"/>
        <v>44013.880000000005</v>
      </c>
      <c r="AC11" s="122">
        <f t="shared" si="16"/>
        <v>1.2954451264045052E-2</v>
      </c>
      <c r="AD11" s="5"/>
      <c r="AE11" s="5">
        <f>36/15</f>
        <v>2.4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</row>
    <row r="12" spans="1:130" x14ac:dyDescent="0.2">
      <c r="A12" s="9" t="s">
        <v>129</v>
      </c>
      <c r="B12" s="9">
        <f>276.87+55.37</f>
        <v>332.24</v>
      </c>
      <c r="C12" s="10">
        <f t="shared" si="17"/>
        <v>1.3682961611640697E-3</v>
      </c>
      <c r="D12" s="9">
        <f>479.33+71.01</f>
        <v>550.34</v>
      </c>
      <c r="E12" s="10">
        <f t="shared" si="2"/>
        <v>2.3778184800834264E-3</v>
      </c>
      <c r="F12" s="9">
        <f>710.51+118.42</f>
        <v>828.93</v>
      </c>
      <c r="G12" s="10">
        <f t="shared" si="3"/>
        <v>2.6928115157332593E-3</v>
      </c>
      <c r="H12" s="9"/>
      <c r="I12" s="10">
        <f t="shared" si="4"/>
        <v>0</v>
      </c>
      <c r="J12" s="9"/>
      <c r="K12" s="10">
        <f t="shared" si="5"/>
        <v>0</v>
      </c>
      <c r="L12" s="9"/>
      <c r="M12" s="10">
        <f t="shared" si="6"/>
        <v>0</v>
      </c>
      <c r="N12" s="15"/>
      <c r="O12" s="10">
        <f t="shared" si="7"/>
        <v>0</v>
      </c>
      <c r="P12" s="15">
        <v>1000</v>
      </c>
      <c r="Q12" s="10">
        <f t="shared" si="8"/>
        <v>3.6188160630704637E-3</v>
      </c>
      <c r="R12" s="15">
        <v>1000</v>
      </c>
      <c r="S12" s="10">
        <f t="shared" si="9"/>
        <v>3.2824876004030894E-3</v>
      </c>
      <c r="T12" s="15">
        <v>1000</v>
      </c>
      <c r="U12" s="10">
        <f t="shared" si="10"/>
        <v>3.3711580639263941E-3</v>
      </c>
      <c r="V12" s="15">
        <v>1000</v>
      </c>
      <c r="W12" s="10">
        <f t="shared" si="11"/>
        <v>3.4182217952179552E-3</v>
      </c>
      <c r="X12" s="15">
        <v>1000</v>
      </c>
      <c r="Y12" s="10">
        <f t="shared" si="12"/>
        <v>3.4576130865952973E-3</v>
      </c>
      <c r="Z12" s="11">
        <f t="shared" si="0"/>
        <v>559.29250000000002</v>
      </c>
      <c r="AA12" s="10">
        <f t="shared" si="15"/>
        <v>1.9753752498791518E-3</v>
      </c>
      <c r="AB12" s="12">
        <f t="shared" si="18"/>
        <v>6711.51</v>
      </c>
      <c r="AC12" s="122">
        <f t="shared" si="16"/>
        <v>1.9753752498791518E-3</v>
      </c>
      <c r="AD12" s="5"/>
      <c r="AE12" s="5"/>
    </row>
    <row r="13" spans="1:130" x14ac:dyDescent="0.2">
      <c r="A13" s="9" t="s">
        <v>134</v>
      </c>
      <c r="B13" s="9">
        <v>2000</v>
      </c>
      <c r="C13" s="10">
        <f t="shared" si="17"/>
        <v>8.2367936501569327E-3</v>
      </c>
      <c r="D13" s="9">
        <v>2000</v>
      </c>
      <c r="E13" s="10">
        <f t="shared" si="2"/>
        <v>8.6412707783676494E-3</v>
      </c>
      <c r="F13" s="9"/>
      <c r="G13" s="10">
        <f t="shared" si="3"/>
        <v>0</v>
      </c>
      <c r="H13" s="9"/>
      <c r="I13" s="10">
        <f t="shared" si="4"/>
        <v>0</v>
      </c>
      <c r="J13" s="9"/>
      <c r="K13" s="10">
        <f t="shared" si="5"/>
        <v>0</v>
      </c>
      <c r="L13" s="9"/>
      <c r="M13" s="10">
        <f t="shared" si="6"/>
        <v>0</v>
      </c>
      <c r="N13" s="15"/>
      <c r="O13" s="10">
        <f t="shared" si="7"/>
        <v>0</v>
      </c>
      <c r="P13" s="15"/>
      <c r="Q13" s="10">
        <f t="shared" si="8"/>
        <v>0</v>
      </c>
      <c r="R13" s="15"/>
      <c r="S13" s="10">
        <f t="shared" si="9"/>
        <v>0</v>
      </c>
      <c r="T13" s="15"/>
      <c r="U13" s="10">
        <f t="shared" si="10"/>
        <v>0</v>
      </c>
      <c r="V13" s="15"/>
      <c r="W13" s="10">
        <f t="shared" si="11"/>
        <v>0</v>
      </c>
      <c r="X13" s="15"/>
      <c r="Y13" s="10">
        <f t="shared" si="12"/>
        <v>0</v>
      </c>
      <c r="Z13" s="11">
        <f t="shared" si="0"/>
        <v>333.33333333333331</v>
      </c>
      <c r="AA13" s="10">
        <f t="shared" si="15"/>
        <v>1.1773060011110177E-3</v>
      </c>
      <c r="AB13" s="12">
        <f t="shared" si="18"/>
        <v>4000</v>
      </c>
      <c r="AC13" s="122">
        <f t="shared" si="16"/>
        <v>1.1773060011110177E-3</v>
      </c>
      <c r="AD13" s="5"/>
      <c r="AE13" s="5"/>
    </row>
    <row r="14" spans="1:130" x14ac:dyDescent="0.2">
      <c r="A14" s="9" t="s">
        <v>137</v>
      </c>
      <c r="B14" s="9">
        <v>1610.31</v>
      </c>
      <c r="C14" s="10">
        <f t="shared" si="17"/>
        <v>6.6318955913921051E-3</v>
      </c>
      <c r="D14" s="9">
        <f>2234.6</f>
        <v>2234.6</v>
      </c>
      <c r="E14" s="10">
        <f t="shared" si="2"/>
        <v>9.6548918406701746E-3</v>
      </c>
      <c r="F14" s="9">
        <f>1793.78</f>
        <v>1793.78</v>
      </c>
      <c r="G14" s="10">
        <f t="shared" si="3"/>
        <v>5.8271644658680543E-3</v>
      </c>
      <c r="H14" s="9">
        <f>2059.72</f>
        <v>2059.7199999999998</v>
      </c>
      <c r="I14" s="10">
        <f t="shared" si="4"/>
        <v>6.2129071447708231E-3</v>
      </c>
      <c r="J14" s="9">
        <f>2278.58</f>
        <v>2278.58</v>
      </c>
      <c r="K14" s="10">
        <f t="shared" si="5"/>
        <v>7.7829299712893919E-3</v>
      </c>
      <c r="L14" s="9">
        <v>2623.8</v>
      </c>
      <c r="M14" s="10">
        <f t="shared" si="6"/>
        <v>9.7144784530587211E-3</v>
      </c>
      <c r="N14" s="15">
        <v>2718.48</v>
      </c>
      <c r="O14" s="10">
        <f t="shared" si="7"/>
        <v>1.0386404602588441E-2</v>
      </c>
      <c r="P14" s="15">
        <v>3000</v>
      </c>
      <c r="Q14" s="10">
        <f t="shared" si="8"/>
        <v>1.0856448189211391E-2</v>
      </c>
      <c r="R14" s="15">
        <v>3000</v>
      </c>
      <c r="S14" s="10">
        <f t="shared" si="9"/>
        <v>9.8474628012092686E-3</v>
      </c>
      <c r="T14" s="15">
        <v>3000</v>
      </c>
      <c r="U14" s="10">
        <f t="shared" si="10"/>
        <v>1.0113474191779182E-2</v>
      </c>
      <c r="V14" s="15">
        <v>3500</v>
      </c>
      <c r="W14" s="10">
        <f t="shared" si="11"/>
        <v>1.1963776283262844E-2</v>
      </c>
      <c r="X14" s="15">
        <v>3500</v>
      </c>
      <c r="Y14" s="10">
        <f t="shared" si="12"/>
        <v>1.2101645803083542E-2</v>
      </c>
      <c r="Z14" s="11">
        <f>(B14+D14+F14+H14+J14+L14+N14+P14+R14+T14+V14+X14)/AE$2</f>
        <v>2609.9391666666666</v>
      </c>
      <c r="AA14" s="10">
        <f t="shared" si="15"/>
        <v>9.2180911303540673E-3</v>
      </c>
      <c r="AB14" s="12">
        <f t="shared" si="18"/>
        <v>31319.27</v>
      </c>
      <c r="AC14" s="122">
        <f t="shared" si="16"/>
        <v>9.2180911303540655E-3</v>
      </c>
      <c r="AD14" s="5"/>
      <c r="AE14" s="5"/>
    </row>
    <row r="15" spans="1:130" x14ac:dyDescent="0.2">
      <c r="A15" s="9" t="s">
        <v>22</v>
      </c>
      <c r="B15" s="9">
        <v>1286.93</v>
      </c>
      <c r="C15" s="10">
        <f t="shared" si="17"/>
        <v>5.300088426098231E-3</v>
      </c>
      <c r="D15" s="9">
        <v>1226.33</v>
      </c>
      <c r="E15" s="10">
        <f t="shared" si="2"/>
        <v>5.2985247968177999E-3</v>
      </c>
      <c r="F15" s="9">
        <v>1332.91</v>
      </c>
      <c r="G15" s="10">
        <f t="shared" si="3"/>
        <v>4.3300102510899826E-3</v>
      </c>
      <c r="H15" s="9">
        <v>1096.1099999999999</v>
      </c>
      <c r="I15" s="10">
        <f t="shared" si="4"/>
        <v>3.3062890346526454E-3</v>
      </c>
      <c r="J15" s="9">
        <v>968.79</v>
      </c>
      <c r="K15" s="10">
        <f t="shared" si="5"/>
        <v>3.3090893130306815E-3</v>
      </c>
      <c r="L15" s="9">
        <v>1106.71</v>
      </c>
      <c r="M15" s="10">
        <f t="shared" si="6"/>
        <v>4.097534281875378E-3</v>
      </c>
      <c r="N15" s="15">
        <v>4536.62</v>
      </c>
      <c r="O15" s="10">
        <f t="shared" si="7"/>
        <v>1.733291061482695E-2</v>
      </c>
      <c r="P15" s="15">
        <v>1000</v>
      </c>
      <c r="Q15" s="10">
        <f t="shared" si="8"/>
        <v>3.6188160630704637E-3</v>
      </c>
      <c r="R15" s="15">
        <v>1000</v>
      </c>
      <c r="S15" s="10">
        <f t="shared" si="9"/>
        <v>3.2824876004030894E-3</v>
      </c>
      <c r="T15" s="15">
        <v>1000</v>
      </c>
      <c r="U15" s="10">
        <f t="shared" si="10"/>
        <v>3.3711580639263941E-3</v>
      </c>
      <c r="V15" s="15"/>
      <c r="W15" s="10">
        <f t="shared" si="11"/>
        <v>0</v>
      </c>
      <c r="X15" s="15"/>
      <c r="Y15" s="10">
        <f t="shared" si="12"/>
        <v>0</v>
      </c>
      <c r="Z15" s="11">
        <f t="shared" si="0"/>
        <v>1212.8666666666666</v>
      </c>
      <c r="AA15" s="10">
        <f t="shared" si="15"/>
        <v>4.2837456156425494E-3</v>
      </c>
      <c r="AB15" s="12">
        <f t="shared" si="18"/>
        <v>14554.4</v>
      </c>
      <c r="AC15" s="122">
        <f t="shared" si="16"/>
        <v>4.2837456156425494E-3</v>
      </c>
      <c r="AD15" s="5"/>
      <c r="AE15" s="5"/>
    </row>
    <row r="16" spans="1:130" x14ac:dyDescent="0.2">
      <c r="A16" s="132" t="s">
        <v>139</v>
      </c>
      <c r="B16" s="9">
        <v>518.32000000000005</v>
      </c>
      <c r="C16" s="10">
        <f t="shared" si="17"/>
        <v>2.1346474423746711E-3</v>
      </c>
      <c r="D16" s="9">
        <v>242.01</v>
      </c>
      <c r="E16" s="10">
        <f t="shared" si="2"/>
        <v>1.0456369705363774E-3</v>
      </c>
      <c r="F16" s="9">
        <v>513.58000000000004</v>
      </c>
      <c r="G16" s="10">
        <f t="shared" si="3"/>
        <v>1.6683847107117459E-3</v>
      </c>
      <c r="H16" s="9">
        <v>470.86</v>
      </c>
      <c r="I16" s="10">
        <f t="shared" si="4"/>
        <v>1.4202947285003739E-3</v>
      </c>
      <c r="J16" s="9">
        <v>353.51</v>
      </c>
      <c r="K16" s="10">
        <f t="shared" si="5"/>
        <v>1.2074816658403536E-3</v>
      </c>
      <c r="L16" s="9">
        <v>396.09</v>
      </c>
      <c r="M16" s="10">
        <f t="shared" si="6"/>
        <v>1.4665019324918164E-3</v>
      </c>
      <c r="N16" s="15">
        <v>362.2</v>
      </c>
      <c r="O16" s="10">
        <f t="shared" si="7"/>
        <v>1.38384529113973E-3</v>
      </c>
      <c r="P16" s="15">
        <v>500</v>
      </c>
      <c r="Q16" s="10">
        <f t="shared" si="8"/>
        <v>1.8094080315352319E-3</v>
      </c>
      <c r="R16" s="15">
        <v>500</v>
      </c>
      <c r="S16" s="10">
        <f t="shared" si="9"/>
        <v>1.6412438002015447E-3</v>
      </c>
      <c r="T16" s="15">
        <v>500</v>
      </c>
      <c r="U16" s="10">
        <f t="shared" si="10"/>
        <v>1.685579031963197E-3</v>
      </c>
      <c r="V16" s="15">
        <v>500</v>
      </c>
      <c r="W16" s="10">
        <f t="shared" si="11"/>
        <v>1.7091108976089776E-3</v>
      </c>
      <c r="X16" s="15">
        <v>500</v>
      </c>
      <c r="Y16" s="10">
        <f t="shared" si="12"/>
        <v>1.7288065432976487E-3</v>
      </c>
      <c r="Z16" s="11">
        <f t="shared" si="0"/>
        <v>446.38083333333333</v>
      </c>
      <c r="AA16" s="10">
        <f t="shared" si="15"/>
        <v>1.5765805015928111E-3</v>
      </c>
      <c r="AB16" s="12">
        <f t="shared" si="18"/>
        <v>5356.5700000000006</v>
      </c>
      <c r="AC16" s="122">
        <f t="shared" si="16"/>
        <v>1.5765805015928113E-3</v>
      </c>
      <c r="AD16" s="5"/>
      <c r="AE16" s="5"/>
    </row>
    <row r="17" spans="1:31" x14ac:dyDescent="0.2">
      <c r="A17" s="16" t="s">
        <v>135</v>
      </c>
      <c r="B17" s="9"/>
      <c r="C17" s="10">
        <f t="shared" si="17"/>
        <v>0</v>
      </c>
      <c r="D17" s="9"/>
      <c r="E17" s="10">
        <f t="shared" si="2"/>
        <v>0</v>
      </c>
      <c r="F17" s="9"/>
      <c r="G17" s="10">
        <f t="shared" si="3"/>
        <v>0</v>
      </c>
      <c r="H17" s="9">
        <v>883.41</v>
      </c>
      <c r="I17" s="10">
        <f t="shared" si="4"/>
        <v>2.6647040863622207E-3</v>
      </c>
      <c r="J17" s="9"/>
      <c r="K17" s="10">
        <f t="shared" si="5"/>
        <v>0</v>
      </c>
      <c r="L17" s="9"/>
      <c r="M17" s="10">
        <f t="shared" si="6"/>
        <v>0</v>
      </c>
      <c r="N17" s="15"/>
      <c r="O17" s="10">
        <f t="shared" si="7"/>
        <v>0</v>
      </c>
      <c r="P17" s="9"/>
      <c r="Q17" s="10">
        <f t="shared" si="8"/>
        <v>0</v>
      </c>
      <c r="R17" s="9"/>
      <c r="S17" s="10">
        <f t="shared" si="9"/>
        <v>0</v>
      </c>
      <c r="T17" s="15"/>
      <c r="U17" s="10">
        <f t="shared" si="10"/>
        <v>0</v>
      </c>
      <c r="V17" s="15"/>
      <c r="W17" s="10">
        <f t="shared" si="11"/>
        <v>0</v>
      </c>
      <c r="X17" s="15"/>
      <c r="Y17" s="10">
        <f t="shared" si="12"/>
        <v>0</v>
      </c>
      <c r="Z17" s="11">
        <f t="shared" si="0"/>
        <v>73.617499999999993</v>
      </c>
      <c r="AA17" s="10">
        <f t="shared" si="15"/>
        <v>2.6001097361037106E-4</v>
      </c>
      <c r="AB17" s="12">
        <f t="shared" si="18"/>
        <v>883.41</v>
      </c>
      <c r="AC17" s="122">
        <f t="shared" si="16"/>
        <v>2.6001097361037106E-4</v>
      </c>
      <c r="AD17" s="5"/>
      <c r="AE17" s="5"/>
    </row>
    <row r="18" spans="1:31" x14ac:dyDescent="0.2">
      <c r="A18" s="16" t="s">
        <v>156</v>
      </c>
      <c r="B18" s="9"/>
      <c r="C18" s="10">
        <f t="shared" si="17"/>
        <v>0</v>
      </c>
      <c r="D18" s="9"/>
      <c r="E18" s="10">
        <f t="shared" si="2"/>
        <v>0</v>
      </c>
      <c r="F18" s="9">
        <v>316.61</v>
      </c>
      <c r="G18" s="10">
        <f t="shared" si="3"/>
        <v>1.0285199642868605E-3</v>
      </c>
      <c r="H18" s="9"/>
      <c r="I18" s="10">
        <f t="shared" si="4"/>
        <v>0</v>
      </c>
      <c r="J18" s="9"/>
      <c r="K18" s="10">
        <f t="shared" si="5"/>
        <v>0</v>
      </c>
      <c r="L18" s="15"/>
      <c r="M18" s="10">
        <f t="shared" si="6"/>
        <v>0</v>
      </c>
      <c r="N18" s="15"/>
      <c r="O18" s="10">
        <f t="shared" si="7"/>
        <v>0</v>
      </c>
      <c r="P18" s="9"/>
      <c r="Q18" s="10">
        <f t="shared" si="8"/>
        <v>0</v>
      </c>
      <c r="R18" s="15"/>
      <c r="S18" s="10">
        <f t="shared" si="9"/>
        <v>0</v>
      </c>
      <c r="T18" s="15"/>
      <c r="U18" s="10">
        <f t="shared" si="10"/>
        <v>0</v>
      </c>
      <c r="V18" s="15"/>
      <c r="W18" s="10">
        <f t="shared" si="11"/>
        <v>0</v>
      </c>
      <c r="X18" s="15"/>
      <c r="Y18" s="10">
        <f t="shared" si="12"/>
        <v>0</v>
      </c>
      <c r="Z18" s="11">
        <f t="shared" si="0"/>
        <v>26.384166666666669</v>
      </c>
      <c r="AA18" s="10">
        <f t="shared" si="15"/>
        <v>9.3186713252939849E-5</v>
      </c>
      <c r="AB18" s="12">
        <f t="shared" si="18"/>
        <v>316.61</v>
      </c>
      <c r="AC18" s="122">
        <f t="shared" si="16"/>
        <v>9.3186713252939836E-5</v>
      </c>
      <c r="AD18" s="5"/>
      <c r="AE18" s="118"/>
    </row>
    <row r="19" spans="1:31" x14ac:dyDescent="0.2">
      <c r="A19" s="73" t="s">
        <v>23</v>
      </c>
      <c r="B19" s="71">
        <f>B2-B6</f>
        <v>184077.22000000003</v>
      </c>
      <c r="C19" s="6">
        <f t="shared" si="1"/>
        <v>0.75810303841727056</v>
      </c>
      <c r="D19" s="71">
        <f>D2-D6</f>
        <v>178818.97000000003</v>
      </c>
      <c r="E19" s="6">
        <f>D19/D$2</f>
        <v>0.77261157003940084</v>
      </c>
      <c r="F19" s="71">
        <f>F2-F6</f>
        <v>257848.18999999997</v>
      </c>
      <c r="G19" s="6">
        <f t="shared" si="3"/>
        <v>0.83762992694555327</v>
      </c>
      <c r="H19" s="71">
        <f>H2-H6</f>
        <v>270477.52</v>
      </c>
      <c r="I19" s="6">
        <f t="shared" si="4"/>
        <v>0.8158641545976606</v>
      </c>
      <c r="J19" s="71">
        <f>J2-J6</f>
        <v>223792.53999999998</v>
      </c>
      <c r="K19" s="6">
        <f t="shared" si="5"/>
        <v>0.76440663348093107</v>
      </c>
      <c r="L19" s="71">
        <f>L2-L6</f>
        <v>212155.62</v>
      </c>
      <c r="M19" s="6">
        <f>L19/L$2</f>
        <v>0.78549477825494074</v>
      </c>
      <c r="N19" s="71">
        <f>N2-N6</f>
        <v>203319.48799999998</v>
      </c>
      <c r="O19" s="6">
        <f t="shared" si="7"/>
        <v>0.77681589195400558</v>
      </c>
      <c r="P19" s="71">
        <f>P2-P6</f>
        <v>222705.95639999997</v>
      </c>
      <c r="Q19" s="6">
        <f t="shared" si="8"/>
        <v>0.80593189236179019</v>
      </c>
      <c r="R19" s="71">
        <f>R2-R6</f>
        <v>248683.64480000001</v>
      </c>
      <c r="S19" s="6">
        <f t="shared" si="9"/>
        <v>0.81630098047904631</v>
      </c>
      <c r="T19" s="71">
        <f>T2-T6</f>
        <v>236140.44999999995</v>
      </c>
      <c r="U19" s="6">
        <f t="shared" si="10"/>
        <v>0.79606678223670735</v>
      </c>
      <c r="V19" s="71">
        <f>V2-V6</f>
        <v>233838.33480000001</v>
      </c>
      <c r="W19" s="6">
        <f t="shared" si="11"/>
        <v>0.79931129257083333</v>
      </c>
      <c r="X19" s="71">
        <f>X2-X6</f>
        <v>231158.89679999999</v>
      </c>
      <c r="Y19" s="6">
        <f t="shared" si="12"/>
        <v>0.79925802665861179</v>
      </c>
      <c r="Z19" s="70">
        <f t="shared" si="0"/>
        <v>225251.40256666663</v>
      </c>
      <c r="AA19" s="6">
        <f t="shared" si="13"/>
        <v>0.79556948400123106</v>
      </c>
      <c r="AB19" s="71">
        <f>SUM(AB2-AB6)</f>
        <v>2703016.8308000001</v>
      </c>
      <c r="AC19" s="124">
        <f>AB19/AB$2</f>
        <v>0.79556948400123118</v>
      </c>
      <c r="AD19" s="5"/>
      <c r="AE19" s="5"/>
    </row>
    <row r="20" spans="1:31" x14ac:dyDescent="0.2">
      <c r="A20" s="73" t="s">
        <v>24</v>
      </c>
      <c r="B20" s="71">
        <f>SUBTOTAL(9,B21:B68)</f>
        <v>139196.74000000002</v>
      </c>
      <c r="C20" s="6">
        <f t="shared" si="1"/>
        <v>0.57326741207727283</v>
      </c>
      <c r="D20" s="71">
        <f>SUBTOTAL(9,D21:D76)</f>
        <v>120436.20000000001</v>
      </c>
      <c r="E20" s="6">
        <f t="shared" ref="E20:E87" si="19">D20/D$2</f>
        <v>0.52036090785882105</v>
      </c>
      <c r="F20" s="71">
        <f>SUBTOTAL(9,F21:F76)</f>
        <v>188767.32</v>
      </c>
      <c r="G20" s="6">
        <f t="shared" si="3"/>
        <v>0.61321801972434975</v>
      </c>
      <c r="H20" s="71">
        <f>SUBTOTAL(9,H21:H76)</f>
        <v>126763.08000000002</v>
      </c>
      <c r="I20" s="6">
        <f t="shared" si="4"/>
        <v>0.38236616890895636</v>
      </c>
      <c r="J20" s="71">
        <f>SUBTOTAL(9,J21:J76)</f>
        <v>130943.84000000003</v>
      </c>
      <c r="K20" s="6">
        <f t="shared" si="5"/>
        <v>0.44726397005666818</v>
      </c>
      <c r="L20" s="71">
        <f>SUBTOTAL(9,L21:L76)</f>
        <v>136699.80000000005</v>
      </c>
      <c r="M20" s="6">
        <f t="shared" ref="M20:M87" si="20">L20/L$2</f>
        <v>0.50612366096403572</v>
      </c>
      <c r="N20" s="71">
        <f>SUBTOTAL(9,N21:N76)</f>
        <v>132011.37</v>
      </c>
      <c r="O20" s="6">
        <f t="shared" si="7"/>
        <v>0.50437137700553458</v>
      </c>
      <c r="P20" s="71">
        <f>SUBTOTAL(9,P21:P76)</f>
        <v>140063.83999999997</v>
      </c>
      <c r="Q20" s="6">
        <f t="shared" si="8"/>
        <v>0.50686527404733117</v>
      </c>
      <c r="R20" s="71">
        <f>SUBTOTAL(9,R21:R76)</f>
        <v>135457.34000000003</v>
      </c>
      <c r="S20" s="6">
        <f t="shared" si="9"/>
        <v>0.44463703893358553</v>
      </c>
      <c r="T20" s="71">
        <f>SUBTOTAL(9,T21:T76)</f>
        <v>131945.06</v>
      </c>
      <c r="U20" s="6">
        <f t="shared" si="10"/>
        <v>0.4448076530142519</v>
      </c>
      <c r="V20" s="71">
        <f>SUBTOTAL(9,V21:V76)</f>
        <v>139446.29</v>
      </c>
      <c r="W20" s="6">
        <f t="shared" si="11"/>
        <v>0.47665834774028365</v>
      </c>
      <c r="X20" s="71">
        <f>SUBTOTAL(9,X21:X76)</f>
        <v>148189.25999999998</v>
      </c>
      <c r="Y20" s="6">
        <f t="shared" si="12"/>
        <v>0.51238112466887298</v>
      </c>
      <c r="Z20" s="70">
        <f>(B20+D20+F20+H20+J20+L20+N20+P20+R20+T20+V20+X20)/AE$2</f>
        <v>139160.01166666669</v>
      </c>
      <c r="AA20" s="6">
        <f t="shared" si="13"/>
        <v>0.49150175054953782</v>
      </c>
      <c r="AB20" s="72">
        <f>SUBTOTAL(9,AB21:AB76)</f>
        <v>1682625.88</v>
      </c>
      <c r="AC20" s="125">
        <f>AB20/AB$2</f>
        <v>0.49524138653717675</v>
      </c>
      <c r="AD20" s="63"/>
      <c r="AE20" s="5">
        <f>1608003/1415084</f>
        <v>1.1363304227876225</v>
      </c>
    </row>
    <row r="21" spans="1:31" x14ac:dyDescent="0.2">
      <c r="A21" s="9" t="s">
        <v>25</v>
      </c>
      <c r="B21" s="9">
        <v>1625.71</v>
      </c>
      <c r="C21" s="10">
        <f t="shared" si="1"/>
        <v>6.6953189024983135E-3</v>
      </c>
      <c r="D21" s="9">
        <v>1683.67</v>
      </c>
      <c r="E21" s="10">
        <f t="shared" si="19"/>
        <v>7.2745241857071312E-3</v>
      </c>
      <c r="F21" s="9">
        <v>1654.69</v>
      </c>
      <c r="G21" s="10">
        <f t="shared" si="3"/>
        <v>5.3753251625211626E-3</v>
      </c>
      <c r="H21" s="9">
        <v>1631.98</v>
      </c>
      <c r="I21" s="10">
        <f t="shared" si="4"/>
        <v>4.9226789088434777E-3</v>
      </c>
      <c r="J21" s="9">
        <v>1660.96</v>
      </c>
      <c r="K21" s="10">
        <f t="shared" si="5"/>
        <v>5.6733296022579106E-3</v>
      </c>
      <c r="L21" s="9">
        <v>1725.34</v>
      </c>
      <c r="M21" s="10">
        <f t="shared" si="20"/>
        <v>6.3879786013416916E-3</v>
      </c>
      <c r="N21" s="9">
        <v>1750</v>
      </c>
      <c r="O21" s="10">
        <f t="shared" si="7"/>
        <v>6.6861658185933944E-3</v>
      </c>
      <c r="P21" s="9">
        <v>1600</v>
      </c>
      <c r="Q21" s="10">
        <f t="shared" si="8"/>
        <v>5.7901057009127422E-3</v>
      </c>
      <c r="R21" s="9">
        <v>1600</v>
      </c>
      <c r="S21" s="10">
        <f t="shared" si="9"/>
        <v>5.2519801606449434E-3</v>
      </c>
      <c r="T21" s="9">
        <v>1600</v>
      </c>
      <c r="U21" s="10">
        <f t="shared" si="10"/>
        <v>5.3938529022822309E-3</v>
      </c>
      <c r="V21" s="9">
        <v>1600</v>
      </c>
      <c r="W21" s="10">
        <f t="shared" si="11"/>
        <v>5.4691548723487284E-3</v>
      </c>
      <c r="X21" s="9">
        <v>1600</v>
      </c>
      <c r="Y21" s="10">
        <f t="shared" si="12"/>
        <v>5.5321809385524764E-3</v>
      </c>
      <c r="Z21" s="11">
        <f t="shared" si="0"/>
        <v>1644.3625</v>
      </c>
      <c r="AA21" s="10">
        <f t="shared" si="13"/>
        <v>5.8077535177557477E-3</v>
      </c>
      <c r="AB21" s="12">
        <f>L21+N21+P21+R21+T21+V21+X21+J21+H21+F21+D21+B21</f>
        <v>19732.349999999999</v>
      </c>
      <c r="AC21" s="122">
        <f>AB21/AB$2</f>
        <v>5.8077535177557477E-3</v>
      </c>
      <c r="AD21" s="5"/>
      <c r="AE21" s="5"/>
    </row>
    <row r="22" spans="1:31" x14ac:dyDescent="0.2">
      <c r="A22" s="9" t="s">
        <v>26</v>
      </c>
      <c r="B22" s="9">
        <v>704.24</v>
      </c>
      <c r="C22" s="10">
        <f t="shared" si="1"/>
        <v>2.9003397800932591E-3</v>
      </c>
      <c r="D22" s="9">
        <v>941.25</v>
      </c>
      <c r="E22" s="10">
        <f t="shared" si="19"/>
        <v>4.066798060069275E-3</v>
      </c>
      <c r="F22" s="9">
        <v>738.25</v>
      </c>
      <c r="G22" s="17">
        <f t="shared" si="3"/>
        <v>2.3982339901922707E-3</v>
      </c>
      <c r="H22" s="9">
        <v>1641.25</v>
      </c>
      <c r="I22" s="10">
        <f t="shared" si="4"/>
        <v>4.95064079163921E-3</v>
      </c>
      <c r="J22" s="9">
        <v>941.25</v>
      </c>
      <c r="K22" s="10">
        <f t="shared" si="5"/>
        <v>3.2150211252078664E-3</v>
      </c>
      <c r="L22" s="9">
        <v>738.25</v>
      </c>
      <c r="M22" s="10">
        <f t="shared" si="20"/>
        <v>2.7333309390847626E-3</v>
      </c>
      <c r="N22" s="15">
        <v>750</v>
      </c>
      <c r="O22" s="10">
        <f t="shared" si="7"/>
        <v>2.8654996365400261E-3</v>
      </c>
      <c r="P22" s="9">
        <v>750</v>
      </c>
      <c r="Q22" s="10">
        <f t="shared" si="8"/>
        <v>2.7141120473028477E-3</v>
      </c>
      <c r="R22" s="9">
        <v>750</v>
      </c>
      <c r="S22" s="10">
        <f t="shared" si="9"/>
        <v>2.4618657003023172E-3</v>
      </c>
      <c r="T22" s="15">
        <v>750</v>
      </c>
      <c r="U22" s="10">
        <f t="shared" si="10"/>
        <v>2.5283685479447955E-3</v>
      </c>
      <c r="V22" s="15">
        <v>750</v>
      </c>
      <c r="W22" s="10">
        <f t="shared" si="11"/>
        <v>2.5636663464134665E-3</v>
      </c>
      <c r="X22" s="15">
        <v>750</v>
      </c>
      <c r="Y22" s="10">
        <f t="shared" si="12"/>
        <v>2.5932098149464731E-3</v>
      </c>
      <c r="Z22" s="11">
        <f>(B22+D22+F22+H22+J22+L22+N22+P22+R22+T22+V22+X22)/AE$2</f>
        <v>850.37416666666661</v>
      </c>
      <c r="AA22" s="10">
        <f t="shared" si="13"/>
        <v>3.0034518288193424E-3</v>
      </c>
      <c r="AB22" s="12">
        <f>L22+N22+P22+R22+T22+V22+X22+J22+H22+F22+D22+B22</f>
        <v>10204.49</v>
      </c>
      <c r="AC22" s="122">
        <f t="shared" ref="AC22:AC76" si="21">AB22/AB$2</f>
        <v>3.0034518288193424E-3</v>
      </c>
      <c r="AD22" s="5"/>
      <c r="AE22" s="5"/>
    </row>
    <row r="23" spans="1:31" x14ac:dyDescent="0.2">
      <c r="A23" s="9" t="s">
        <v>127</v>
      </c>
      <c r="B23" s="9">
        <v>950</v>
      </c>
      <c r="C23" s="10">
        <f t="shared" si="1"/>
        <v>3.9124769838245433E-3</v>
      </c>
      <c r="D23" s="9">
        <v>950</v>
      </c>
      <c r="E23" s="10">
        <f t="shared" si="19"/>
        <v>4.1046036197246337E-3</v>
      </c>
      <c r="F23" s="9">
        <v>950</v>
      </c>
      <c r="G23" s="17">
        <f t="shared" si="3"/>
        <v>3.0861121445074934E-3</v>
      </c>
      <c r="H23" s="9">
        <v>950</v>
      </c>
      <c r="I23" s="10">
        <f t="shared" si="4"/>
        <v>2.8655651193037319E-3</v>
      </c>
      <c r="J23" s="9">
        <v>950</v>
      </c>
      <c r="K23" s="10">
        <f t="shared" si="5"/>
        <v>3.2449084397848322E-3</v>
      </c>
      <c r="L23" s="9">
        <v>950</v>
      </c>
      <c r="M23" s="10">
        <f t="shared" si="20"/>
        <v>3.5173239310945133E-3</v>
      </c>
      <c r="N23" s="15">
        <v>950</v>
      </c>
      <c r="O23" s="10">
        <f t="shared" si="7"/>
        <v>3.6296328729506998E-3</v>
      </c>
      <c r="P23" s="9">
        <v>950</v>
      </c>
      <c r="Q23" s="10">
        <f t="shared" si="8"/>
        <v>3.4378752599169404E-3</v>
      </c>
      <c r="R23" s="9">
        <v>950</v>
      </c>
      <c r="S23" s="10">
        <f t="shared" si="9"/>
        <v>3.1183632203829349E-3</v>
      </c>
      <c r="T23" s="15">
        <v>950</v>
      </c>
      <c r="U23" s="10">
        <f t="shared" si="10"/>
        <v>3.2026001607300745E-3</v>
      </c>
      <c r="V23" s="15">
        <v>950</v>
      </c>
      <c r="W23" s="10">
        <f t="shared" si="11"/>
        <v>3.2473107054570576E-3</v>
      </c>
      <c r="X23" s="15">
        <v>950</v>
      </c>
      <c r="Y23" s="10">
        <f t="shared" si="12"/>
        <v>3.2847324322655327E-3</v>
      </c>
      <c r="Z23" s="11">
        <f>(B23+D23+F23+H23+J23+L23+N23+P23+R23+T23+V23+X23)/AE$2</f>
        <v>950</v>
      </c>
      <c r="AA23" s="10">
        <f t="shared" si="13"/>
        <v>3.3553221031664008E-3</v>
      </c>
      <c r="AB23" s="12">
        <f>L23+N23+P23+R23+T23+V23+X23+J23+H23+F23+D23+B23</f>
        <v>11400</v>
      </c>
      <c r="AC23" s="122">
        <f t="shared" si="21"/>
        <v>3.3553221031664008E-3</v>
      </c>
      <c r="AD23" s="5"/>
      <c r="AE23" s="5"/>
    </row>
    <row r="24" spans="1:31" x14ac:dyDescent="0.2">
      <c r="A24" s="15" t="s">
        <v>27</v>
      </c>
      <c r="B24" s="9">
        <v>352.23</v>
      </c>
      <c r="C24" s="10">
        <f t="shared" si="1"/>
        <v>1.4506229136973883E-3</v>
      </c>
      <c r="D24" s="9">
        <v>315.98</v>
      </c>
      <c r="E24" s="10">
        <f t="shared" si="19"/>
        <v>1.365234370274305E-3</v>
      </c>
      <c r="F24" s="9">
        <v>573.30999999999995</v>
      </c>
      <c r="G24" s="17">
        <f t="shared" si="3"/>
        <v>1.8624199511237799E-3</v>
      </c>
      <c r="H24" s="9">
        <v>569.24</v>
      </c>
      <c r="I24" s="10">
        <f t="shared" si="4"/>
        <v>1.7170466194867961E-3</v>
      </c>
      <c r="J24" s="9">
        <v>436.24</v>
      </c>
      <c r="K24" s="10">
        <f t="shared" si="5"/>
        <v>1.4900619555491949E-3</v>
      </c>
      <c r="L24" s="9">
        <v>282.86</v>
      </c>
      <c r="M24" s="10">
        <f t="shared" si="20"/>
        <v>1.0472739443677832E-3</v>
      </c>
      <c r="N24" s="9">
        <v>194.01</v>
      </c>
      <c r="O24" s="10">
        <f t="shared" si="7"/>
        <v>7.4124744598017391E-4</v>
      </c>
      <c r="P24" s="9">
        <v>252.24</v>
      </c>
      <c r="Q24" s="10">
        <f t="shared" si="8"/>
        <v>9.1281016374889379E-4</v>
      </c>
      <c r="R24" s="9">
        <v>243.41</v>
      </c>
      <c r="S24" s="10">
        <f t="shared" si="9"/>
        <v>7.9899030681411596E-4</v>
      </c>
      <c r="T24" s="9">
        <v>230.7</v>
      </c>
      <c r="U24" s="10">
        <f t="shared" si="10"/>
        <v>7.7772616534781906E-4</v>
      </c>
      <c r="V24" s="9">
        <v>500</v>
      </c>
      <c r="W24" s="10">
        <f t="shared" si="11"/>
        <v>1.7091108976089776E-3</v>
      </c>
      <c r="X24" s="9">
        <v>500</v>
      </c>
      <c r="Y24" s="10">
        <f t="shared" si="12"/>
        <v>1.7288065432976487E-3</v>
      </c>
      <c r="Z24" s="11">
        <f t="shared" si="0"/>
        <v>370.85166666666663</v>
      </c>
      <c r="AA24" s="10">
        <f t="shared" si="13"/>
        <v>1.3098176780660684E-3</v>
      </c>
      <c r="AB24" s="12">
        <f>L24+N24+P24+R24+T24+V24+X24+J24+H24+F24+D24+B24</f>
        <v>4450.2199999999993</v>
      </c>
      <c r="AC24" s="122">
        <f t="shared" si="21"/>
        <v>1.3098176780660682E-3</v>
      </c>
      <c r="AD24" s="5"/>
      <c r="AE24" s="5"/>
    </row>
    <row r="25" spans="1:31" x14ac:dyDescent="0.2">
      <c r="A25" s="9" t="s">
        <v>28</v>
      </c>
      <c r="B25" s="9">
        <f>SUBTOTAL(9,B26:B42)</f>
        <v>86728.030000000028</v>
      </c>
      <c r="C25" s="10">
        <f>B25/B$2</f>
        <v>0.35718044339731009</v>
      </c>
      <c r="D25" s="9">
        <f>SUBTOTAL(9,D26:D43)</f>
        <v>68135.23000000001</v>
      </c>
      <c r="E25" s="10">
        <f t="shared" si="19"/>
        <v>0.29438748598817949</v>
      </c>
      <c r="F25" s="9">
        <f>SUBTOTAL(9,F26:F43)</f>
        <v>134733.82</v>
      </c>
      <c r="G25" s="17">
        <f t="shared" si="3"/>
        <v>0.43768808229251227</v>
      </c>
      <c r="H25" s="9">
        <f>SUBTOTAL(9,H26:H42)</f>
        <v>68451.290000000008</v>
      </c>
      <c r="I25" s="10">
        <f t="shared" si="4"/>
        <v>0.20647539894246775</v>
      </c>
      <c r="J25" s="9">
        <f>SUBTOTAL(9,J26:J43)</f>
        <v>72831.199999999997</v>
      </c>
      <c r="K25" s="10">
        <f t="shared" si="5"/>
        <v>0.24876902690490216</v>
      </c>
      <c r="L25" s="9">
        <f>SUBTOTAL(9,L26:L43)</f>
        <v>78700.300000000017</v>
      </c>
      <c r="M25" s="10">
        <f t="shared" si="20"/>
        <v>0.29138363007822904</v>
      </c>
      <c r="N25" s="9">
        <f>SUBTOTAL(9,N26:N43)</f>
        <v>76779.199999999997</v>
      </c>
      <c r="O25" s="10">
        <f t="shared" si="7"/>
        <v>0.29334769292511198</v>
      </c>
      <c r="P25" s="9">
        <f>SUBTOTAL(9,P26:P43)</f>
        <v>84598.5</v>
      </c>
      <c r="Q25" s="10">
        <f t="shared" si="8"/>
        <v>0.30614641071166665</v>
      </c>
      <c r="R25" s="9">
        <f>SUBTOTAL(9,R26:R43)</f>
        <v>80898.5</v>
      </c>
      <c r="S25" s="10">
        <f t="shared" si="9"/>
        <v>0.26554832314120935</v>
      </c>
      <c r="T25" s="9">
        <f>SUBTOTAL(9,T26:T43)</f>
        <v>76198.5</v>
      </c>
      <c r="U25" s="10">
        <f t="shared" si="10"/>
        <v>0.25687718773409535</v>
      </c>
      <c r="V25" s="9">
        <f>SUBTOTAL(9,V26:V43)</f>
        <v>83298.5</v>
      </c>
      <c r="W25" s="10">
        <f t="shared" si="11"/>
        <v>0.28473274820896283</v>
      </c>
      <c r="X25" s="9">
        <f>SUBTOTAL(9,X26:X43)</f>
        <v>92291.47</v>
      </c>
      <c r="Y25" s="10">
        <f t="shared" si="12"/>
        <v>0.31910819445311733</v>
      </c>
      <c r="Z25" s="11">
        <f>(B25+D25+F25+H25+J25+L25+N25+P25+R25+T25+V25+X25)/AE$2</f>
        <v>83637.044999999998</v>
      </c>
      <c r="AA25" s="10">
        <f t="shared" si="13"/>
        <v>0.29539918498107676</v>
      </c>
      <c r="AB25" s="12">
        <f>SUBTOTAL(9,AB26:AB43)</f>
        <v>1001844.5399999999</v>
      </c>
      <c r="AC25" s="122">
        <f t="shared" si="21"/>
        <v>0.29486939728057676</v>
      </c>
      <c r="AD25" s="5"/>
      <c r="AE25" s="5">
        <f>988236.98/796286.44</f>
        <v>1.2410571502385499</v>
      </c>
    </row>
    <row r="26" spans="1:31" x14ac:dyDescent="0.2">
      <c r="A26" s="9" t="s">
        <v>29</v>
      </c>
      <c r="B26" s="9">
        <f>3905.25+2131.04+2827.04+3334.55+2037.81+1024.64+2143.07+2115.31+1520.89+1683.38</f>
        <v>22722.980000000003</v>
      </c>
      <c r="C26" s="10">
        <f>B26/B$2</f>
        <v>9.3582248688321504E-2</v>
      </c>
      <c r="D26" s="9">
        <f>1767.69+2048.99+2391.41+3130.12+1377.27+3907.8+2902.95+2793.16+2123.66+1906.06</f>
        <v>24349.11</v>
      </c>
      <c r="E26" s="10">
        <f t="shared" si="19"/>
        <v>0.10520362636112977</v>
      </c>
      <c r="F26" s="9">
        <f>2537.35+3093.35+2624.45+2408.67+3304.63+1141.2+2335.37+6733.97+700</f>
        <v>24878.99</v>
      </c>
      <c r="G26" s="17">
        <f t="shared" si="3"/>
        <v>8.0820371770611049E-2</v>
      </c>
      <c r="H26" s="9">
        <f>1720.22+3273.41+3032.88+2681.64+3304.63+2013.9+2102.71</f>
        <v>18129.39</v>
      </c>
      <c r="I26" s="10">
        <f t="shared" si="4"/>
        <v>5.4685208019214608E-2</v>
      </c>
      <c r="J26" s="9">
        <f>1169.85+3386.59+1466.16+3155.94+2706.87+3323.71+1214.32+2102.71</f>
        <v>18526.149999999998</v>
      </c>
      <c r="K26" s="10">
        <f t="shared" si="5"/>
        <v>6.3279642622862911E-2</v>
      </c>
      <c r="L26" s="9">
        <f>1046.37+3325.01+2924.78+2652.69+3269.53+1763.93+2045.81+2892.03</f>
        <v>19920.150000000001</v>
      </c>
      <c r="M26" s="10">
        <f t="shared" si="20"/>
        <v>7.3753284532623559E-2</v>
      </c>
      <c r="N26" s="9">
        <f>2073.06+2466.25+3539.68+3135.5+2495.95+3269.53+1577.26+2278.47</f>
        <v>20835.699999999997</v>
      </c>
      <c r="O26" s="10">
        <f t="shared" si="7"/>
        <v>7.9606254369409352E-2</v>
      </c>
      <c r="P26" s="9">
        <f>16700</f>
        <v>16700</v>
      </c>
      <c r="Q26" s="10">
        <f t="shared" si="8"/>
        <v>6.0434228253276746E-2</v>
      </c>
      <c r="R26" s="9">
        <v>18700</v>
      </c>
      <c r="S26" s="10">
        <f t="shared" si="9"/>
        <v>6.1382518127537776E-2</v>
      </c>
      <c r="T26" s="9">
        <f>16700</f>
        <v>16700</v>
      </c>
      <c r="U26" s="10">
        <f t="shared" si="10"/>
        <v>5.6298339667570786E-2</v>
      </c>
      <c r="V26" s="9">
        <f>18700</f>
        <v>18700</v>
      </c>
      <c r="W26" s="10">
        <f t="shared" si="11"/>
        <v>6.3920747570575767E-2</v>
      </c>
      <c r="X26" s="9">
        <f>V26</f>
        <v>18700</v>
      </c>
      <c r="Y26" s="10">
        <f t="shared" si="12"/>
        <v>6.4657364719332061E-2</v>
      </c>
      <c r="Z26" s="11">
        <f>(B26+D26+F26+H26+J26+L26+N26+P26+R26+T26+V26+X26)/AE$2</f>
        <v>19905.20583333333</v>
      </c>
      <c r="AA26" s="10">
        <f t="shared" si="13"/>
        <v>7.0303554842800098E-2</v>
      </c>
      <c r="AB26" s="12">
        <f t="shared" ref="AB26" si="22">L26+N26+P26+R26+T26+V26+X26+J26+H26+F26+D26+B26</f>
        <v>238862.47</v>
      </c>
      <c r="AC26" s="122">
        <f t="shared" si="21"/>
        <v>7.0303554842800112E-2</v>
      </c>
      <c r="AD26" s="5"/>
      <c r="AE26" s="5"/>
    </row>
    <row r="27" spans="1:31" x14ac:dyDescent="0.2">
      <c r="A27" s="9" t="s">
        <v>133</v>
      </c>
      <c r="B27" s="9">
        <v>7500</v>
      </c>
      <c r="C27" s="10">
        <f t="shared" ref="C27:C76" si="23">B27/B$2</f>
        <v>3.0887976188088497E-2</v>
      </c>
      <c r="D27" s="9">
        <v>7500</v>
      </c>
      <c r="E27" s="10">
        <f t="shared" si="19"/>
        <v>3.2404765418878691E-2</v>
      </c>
      <c r="F27" s="9"/>
      <c r="G27" s="17">
        <f t="shared" si="3"/>
        <v>0</v>
      </c>
      <c r="H27" s="9">
        <v>6000</v>
      </c>
      <c r="I27" s="10">
        <f t="shared" si="4"/>
        <v>1.8098306016655148E-2</v>
      </c>
      <c r="J27" s="9">
        <v>6000</v>
      </c>
      <c r="K27" s="10">
        <f t="shared" si="5"/>
        <v>2.0494158567062097E-2</v>
      </c>
      <c r="L27" s="9">
        <v>6000</v>
      </c>
      <c r="M27" s="10">
        <f t="shared" si="20"/>
        <v>2.2214677459544294E-2</v>
      </c>
      <c r="N27" s="9">
        <v>6000</v>
      </c>
      <c r="O27" s="10">
        <f t="shared" si="7"/>
        <v>2.2923997092320209E-2</v>
      </c>
      <c r="P27" s="9">
        <v>6000</v>
      </c>
      <c r="Q27" s="10">
        <f t="shared" si="8"/>
        <v>2.1712896378422782E-2</v>
      </c>
      <c r="R27" s="9">
        <v>6000</v>
      </c>
      <c r="S27" s="10">
        <f t="shared" si="9"/>
        <v>1.9694925602418537E-2</v>
      </c>
      <c r="T27" s="9">
        <v>6000</v>
      </c>
      <c r="U27" s="10">
        <f t="shared" si="10"/>
        <v>2.0226948383558364E-2</v>
      </c>
      <c r="V27" s="9">
        <v>6000</v>
      </c>
      <c r="W27" s="10">
        <f t="shared" si="11"/>
        <v>2.0509330771307732E-2</v>
      </c>
      <c r="X27" s="9">
        <v>6000</v>
      </c>
      <c r="Y27" s="10">
        <f t="shared" si="12"/>
        <v>2.0745678519571785E-2</v>
      </c>
      <c r="Z27" s="11">
        <f>(B27+D27+F27+H27+J27+L27+N27+P27+R27+T27+V27+X27)/AE$2</f>
        <v>5750</v>
      </c>
      <c r="AA27" s="10">
        <f t="shared" si="13"/>
        <v>2.0308528519165057E-2</v>
      </c>
      <c r="AB27" s="12">
        <f>L27+N27+P27+R27+T27+V27+X27+J27+H27+F27+D27+B27</f>
        <v>69000</v>
      </c>
      <c r="AC27" s="122">
        <f t="shared" si="21"/>
        <v>2.0308528519165057E-2</v>
      </c>
      <c r="AD27" s="5"/>
      <c r="AE27" s="5"/>
    </row>
    <row r="28" spans="1:31" x14ac:dyDescent="0.2">
      <c r="A28" s="9" t="s">
        <v>140</v>
      </c>
      <c r="B28" s="9">
        <v>6600</v>
      </c>
      <c r="C28" s="10">
        <f t="shared" si="23"/>
        <v>2.7181419045517879E-2</v>
      </c>
      <c r="D28" s="9">
        <v>6600</v>
      </c>
      <c r="E28" s="10">
        <f t="shared" si="19"/>
        <v>2.8516193568613245E-2</v>
      </c>
      <c r="F28" s="9">
        <v>6600</v>
      </c>
      <c r="G28" s="17">
        <f t="shared" si="3"/>
        <v>2.1440358056578377E-2</v>
      </c>
      <c r="H28" s="9">
        <v>6600</v>
      </c>
      <c r="I28" s="10">
        <f t="shared" si="4"/>
        <v>1.9908136618320662E-2</v>
      </c>
      <c r="J28" s="9">
        <v>6600</v>
      </c>
      <c r="K28" s="10">
        <f t="shared" si="5"/>
        <v>2.2543574423768305E-2</v>
      </c>
      <c r="L28" s="9">
        <v>6600</v>
      </c>
      <c r="M28" s="10">
        <f t="shared" si="20"/>
        <v>2.4436145205498725E-2</v>
      </c>
      <c r="N28" s="9">
        <v>6600</v>
      </c>
      <c r="O28" s="10">
        <f t="shared" si="7"/>
        <v>2.5216396801552229E-2</v>
      </c>
      <c r="P28" s="9">
        <v>6600</v>
      </c>
      <c r="Q28" s="10">
        <f t="shared" si="8"/>
        <v>2.388418601626506E-2</v>
      </c>
      <c r="R28" s="9">
        <v>6600</v>
      </c>
      <c r="S28" s="10">
        <f t="shared" si="9"/>
        <v>2.166441816266039E-2</v>
      </c>
      <c r="T28" s="9">
        <v>6600</v>
      </c>
      <c r="U28" s="10">
        <f t="shared" si="10"/>
        <v>2.2249643221914202E-2</v>
      </c>
      <c r="V28" s="9">
        <v>6600</v>
      </c>
      <c r="W28" s="10">
        <f t="shared" si="11"/>
        <v>2.2560263848438504E-2</v>
      </c>
      <c r="X28" s="9">
        <v>6600</v>
      </c>
      <c r="Y28" s="10">
        <f t="shared" si="12"/>
        <v>2.2820246371528963E-2</v>
      </c>
      <c r="Z28" s="11">
        <f t="shared" ref="Z28:Z82" si="24">(B28+D28+F28+H28+J28+L28+N28+P28+R28+T28+V28+X28)/AE$2</f>
        <v>6600</v>
      </c>
      <c r="AA28" s="10">
        <f t="shared" si="13"/>
        <v>2.3310658821998152E-2</v>
      </c>
      <c r="AB28" s="12">
        <f t="shared" ref="AB28:AB43" si="25">L28+N28+P28+R28+T28+V28+X28+J28+H28+F28+D28+B28</f>
        <v>79200</v>
      </c>
      <c r="AC28" s="122">
        <f t="shared" si="21"/>
        <v>2.3310658821998152E-2</v>
      </c>
      <c r="AD28" s="5"/>
      <c r="AE28" s="5"/>
    </row>
    <row r="29" spans="1:31" x14ac:dyDescent="0.2">
      <c r="A29" s="9" t="s">
        <v>147</v>
      </c>
      <c r="B29" s="9"/>
      <c r="C29" s="10">
        <f t="shared" si="23"/>
        <v>0</v>
      </c>
      <c r="D29" s="9"/>
      <c r="E29" s="10">
        <f t="shared" si="19"/>
        <v>0</v>
      </c>
      <c r="F29" s="9"/>
      <c r="G29" s="17"/>
      <c r="H29" s="9">
        <v>14072.4</v>
      </c>
      <c r="I29" s="10">
        <f t="shared" si="4"/>
        <v>4.2447766931462981E-2</v>
      </c>
      <c r="J29" s="9">
        <f>14298.17</f>
        <v>14298.17</v>
      </c>
      <c r="K29" s="10">
        <f t="shared" si="5"/>
        <v>4.8838160533135049E-2</v>
      </c>
      <c r="L29" s="9">
        <v>14148.03</v>
      </c>
      <c r="M29" s="10">
        <f t="shared" si="20"/>
        <v>5.2382320522992749E-2</v>
      </c>
      <c r="N29" s="9">
        <v>15000</v>
      </c>
      <c r="O29" s="10">
        <f t="shared" si="7"/>
        <v>5.7309992730800521E-2</v>
      </c>
      <c r="P29" s="9">
        <v>15000</v>
      </c>
      <c r="Q29" s="10">
        <f t="shared" si="8"/>
        <v>5.4282240946056957E-2</v>
      </c>
      <c r="R29" s="9">
        <v>15000</v>
      </c>
      <c r="S29" s="10">
        <f t="shared" si="9"/>
        <v>4.9237314006046341E-2</v>
      </c>
      <c r="T29" s="9">
        <v>15000</v>
      </c>
      <c r="U29" s="10">
        <f t="shared" si="10"/>
        <v>5.0567370958895914E-2</v>
      </c>
      <c r="V29" s="9">
        <v>15000</v>
      </c>
      <c r="W29" s="10">
        <f t="shared" si="11"/>
        <v>5.127332692826933E-2</v>
      </c>
      <c r="X29" s="9">
        <v>15000</v>
      </c>
      <c r="Y29" s="10">
        <f t="shared" si="12"/>
        <v>5.1864196298929466E-2</v>
      </c>
      <c r="Z29" s="11">
        <f t="shared" si="24"/>
        <v>11043.216666666667</v>
      </c>
      <c r="AA29" s="10">
        <f t="shared" si="13"/>
        <v>3.9003735759707635E-2</v>
      </c>
      <c r="AB29" s="12">
        <f t="shared" si="25"/>
        <v>132518.6</v>
      </c>
      <c r="AC29" s="122">
        <f t="shared" si="21"/>
        <v>3.9003735759707628E-2</v>
      </c>
      <c r="AD29" s="5"/>
      <c r="AE29" s="5"/>
    </row>
    <row r="30" spans="1:31" x14ac:dyDescent="0.2">
      <c r="A30" s="9" t="s">
        <v>30</v>
      </c>
      <c r="B30" s="9">
        <f>12000+1942.5+1000</f>
        <v>14942.5</v>
      </c>
      <c r="C30" s="10">
        <f t="shared" si="23"/>
        <v>6.1539144558734986E-2</v>
      </c>
      <c r="D30" s="9">
        <v>2039</v>
      </c>
      <c r="E30" s="10">
        <f t="shared" si="19"/>
        <v>8.8097755585458196E-3</v>
      </c>
      <c r="F30" s="9">
        <f>2039.62+3010.96</f>
        <v>5050.58</v>
      </c>
      <c r="G30" s="10">
        <f>F30/F$2</f>
        <v>1.640700660505964E-2</v>
      </c>
      <c r="H30" s="9">
        <f>2039.6</f>
        <v>2039.6</v>
      </c>
      <c r="I30" s="10">
        <f t="shared" si="4"/>
        <v>6.152217491928306E-3</v>
      </c>
      <c r="J30" s="9">
        <v>2039.62</v>
      </c>
      <c r="K30" s="10">
        <f t="shared" si="5"/>
        <v>6.9667159494251991E-3</v>
      </c>
      <c r="L30" s="9">
        <v>2039</v>
      </c>
      <c r="M30" s="10">
        <f t="shared" si="20"/>
        <v>7.5492878900018032E-3</v>
      </c>
      <c r="N30" s="9">
        <v>2039</v>
      </c>
      <c r="O30" s="10">
        <f t="shared" si="7"/>
        <v>7.7903383452068179E-3</v>
      </c>
      <c r="P30" s="9">
        <v>2039</v>
      </c>
      <c r="Q30" s="10">
        <f t="shared" si="8"/>
        <v>7.3787659526006752E-3</v>
      </c>
      <c r="R30" s="9">
        <v>2039</v>
      </c>
      <c r="S30" s="10">
        <f t="shared" si="9"/>
        <v>6.6929922172218994E-3</v>
      </c>
      <c r="T30" s="9">
        <v>2039</v>
      </c>
      <c r="U30" s="10">
        <f t="shared" si="10"/>
        <v>6.8737912923459181E-3</v>
      </c>
      <c r="V30" s="9">
        <v>2039</v>
      </c>
      <c r="W30" s="10">
        <f t="shared" si="11"/>
        <v>6.9697542404494111E-3</v>
      </c>
      <c r="X30" s="9">
        <v>2039</v>
      </c>
      <c r="Y30" s="10">
        <f t="shared" si="12"/>
        <v>7.050073083567812E-3</v>
      </c>
      <c r="Z30" s="11">
        <f t="shared" si="24"/>
        <v>3365.3583333333336</v>
      </c>
      <c r="AA30" s="10">
        <f t="shared" si="13"/>
        <v>1.188616968516692E-2</v>
      </c>
      <c r="AB30" s="12">
        <f t="shared" si="25"/>
        <v>40384.299999999996</v>
      </c>
      <c r="AC30" s="122">
        <f t="shared" si="21"/>
        <v>1.1886169685166917E-2</v>
      </c>
      <c r="AD30" s="5"/>
      <c r="AE30" s="5"/>
    </row>
    <row r="31" spans="1:31" x14ac:dyDescent="0.2">
      <c r="A31" s="9" t="s">
        <v>106</v>
      </c>
      <c r="B31" s="9"/>
      <c r="C31" s="10">
        <f t="shared" si="23"/>
        <v>0</v>
      </c>
      <c r="E31" s="10">
        <f>F31/D$2</f>
        <v>4.8866386251669058E-2</v>
      </c>
      <c r="F31" s="9">
        <f>1350+1170+1140+1050+1170+1260+1320+1410+1440</f>
        <v>11310</v>
      </c>
      <c r="G31" s="10">
        <f>F31/F$2</f>
        <v>3.6740977215136583E-2</v>
      </c>
      <c r="H31" s="9"/>
      <c r="I31" s="10">
        <f t="shared" si="4"/>
        <v>0</v>
      </c>
      <c r="J31" s="9"/>
      <c r="K31" s="10">
        <f t="shared" si="5"/>
        <v>0</v>
      </c>
      <c r="L31" s="9"/>
      <c r="M31" s="10">
        <f t="shared" si="20"/>
        <v>0</v>
      </c>
      <c r="N31" s="9"/>
      <c r="O31" s="10">
        <f t="shared" si="7"/>
        <v>0</v>
      </c>
      <c r="P31" s="9">
        <v>10000</v>
      </c>
      <c r="Q31" s="10">
        <f t="shared" si="8"/>
        <v>3.6188160630704638E-2</v>
      </c>
      <c r="R31" s="9"/>
      <c r="S31" s="10">
        <f t="shared" si="9"/>
        <v>0</v>
      </c>
      <c r="T31" s="9"/>
      <c r="U31" s="10">
        <f t="shared" si="10"/>
        <v>0</v>
      </c>
      <c r="V31" s="9"/>
      <c r="W31" s="10">
        <f t="shared" si="11"/>
        <v>0</v>
      </c>
      <c r="X31" s="9"/>
      <c r="Y31" s="10">
        <f t="shared" si="12"/>
        <v>0</v>
      </c>
      <c r="Z31" s="11">
        <f t="shared" si="24"/>
        <v>1775.8333333333333</v>
      </c>
      <c r="AA31" s="10">
        <f t="shared" si="13"/>
        <v>6.2720977209189469E-3</v>
      </c>
      <c r="AB31" s="12">
        <f t="shared" si="25"/>
        <v>21310</v>
      </c>
      <c r="AC31" s="122">
        <f t="shared" si="21"/>
        <v>6.2720977209189469E-3</v>
      </c>
      <c r="AD31" s="5"/>
      <c r="AE31" s="5"/>
    </row>
    <row r="32" spans="1:31" x14ac:dyDescent="0.2">
      <c r="A32" s="9" t="s">
        <v>31</v>
      </c>
      <c r="B32" s="9">
        <f>5235.44+647.5</f>
        <v>5882.94</v>
      </c>
      <c r="C32" s="10">
        <f t="shared" si="23"/>
        <v>2.422828141812711E-2</v>
      </c>
      <c r="D32" s="9"/>
      <c r="E32" s="10">
        <f t="shared" si="19"/>
        <v>0</v>
      </c>
      <c r="F32" s="9"/>
      <c r="G32" s="10">
        <f t="shared" si="3"/>
        <v>0</v>
      </c>
      <c r="H32" s="9"/>
      <c r="I32" s="10">
        <f t="shared" si="4"/>
        <v>0</v>
      </c>
      <c r="J32" s="9">
        <f>3551.8</f>
        <v>3551.8</v>
      </c>
      <c r="K32" s="10">
        <f t="shared" si="5"/>
        <v>1.213185873308186E-2</v>
      </c>
      <c r="L32" s="9">
        <f>4477.08+2373.04</f>
        <v>6850.12</v>
      </c>
      <c r="M32" s="10">
        <f t="shared" si="20"/>
        <v>2.5362201059862258E-2</v>
      </c>
      <c r="N32" s="9"/>
      <c r="O32" s="10">
        <f t="shared" si="7"/>
        <v>0</v>
      </c>
      <c r="P32" s="9"/>
      <c r="Q32" s="10">
        <f t="shared" si="8"/>
        <v>0</v>
      </c>
      <c r="R32" s="9">
        <v>3000</v>
      </c>
      <c r="S32" s="10">
        <f t="shared" si="9"/>
        <v>9.8474628012092686E-3</v>
      </c>
      <c r="T32" s="9"/>
      <c r="U32" s="10">
        <f t="shared" si="10"/>
        <v>0</v>
      </c>
      <c r="V32" s="9"/>
      <c r="W32" s="10">
        <f t="shared" si="11"/>
        <v>0</v>
      </c>
      <c r="X32" s="9">
        <v>9000</v>
      </c>
      <c r="Y32" s="10">
        <f t="shared" si="12"/>
        <v>3.1118517779357677E-2</v>
      </c>
      <c r="Z32" s="11">
        <f t="shared" si="24"/>
        <v>2357.0716666666667</v>
      </c>
      <c r="AA32" s="10">
        <f t="shared" si="13"/>
        <v>8.3249838546462455E-3</v>
      </c>
      <c r="AB32" s="12">
        <f t="shared" si="25"/>
        <v>28284.859999999997</v>
      </c>
      <c r="AC32" s="122">
        <f t="shared" si="21"/>
        <v>8.3249838546462437E-3</v>
      </c>
      <c r="AD32" s="5"/>
      <c r="AE32" s="5"/>
    </row>
    <row r="33" spans="1:31" x14ac:dyDescent="0.2">
      <c r="A33" s="9" t="s">
        <v>32</v>
      </c>
      <c r="B33" s="9"/>
      <c r="C33" s="10">
        <f t="shared" si="23"/>
        <v>0</v>
      </c>
      <c r="D33" s="9"/>
      <c r="E33" s="10">
        <f t="shared" si="19"/>
        <v>0</v>
      </c>
      <c r="F33" s="9">
        <f>1300</f>
        <v>1300</v>
      </c>
      <c r="G33" s="10">
        <f t="shared" si="3"/>
        <v>4.2231008293260441E-3</v>
      </c>
      <c r="H33" s="9"/>
      <c r="I33" s="10">
        <f t="shared" si="4"/>
        <v>0</v>
      </c>
      <c r="J33" s="9"/>
      <c r="K33" s="10">
        <f t="shared" si="5"/>
        <v>0</v>
      </c>
      <c r="L33" s="9"/>
      <c r="M33" s="10">
        <f t="shared" si="20"/>
        <v>0</v>
      </c>
      <c r="N33" s="9"/>
      <c r="O33" s="10">
        <f t="shared" si="7"/>
        <v>0</v>
      </c>
      <c r="P33" s="9"/>
      <c r="Q33" s="10">
        <f t="shared" si="8"/>
        <v>0</v>
      </c>
      <c r="R33" s="9"/>
      <c r="S33" s="10">
        <f t="shared" si="9"/>
        <v>0</v>
      </c>
      <c r="T33" s="9"/>
      <c r="U33" s="10">
        <f t="shared" si="10"/>
        <v>0</v>
      </c>
      <c r="V33" s="9">
        <f>V26/2</f>
        <v>9350</v>
      </c>
      <c r="W33" s="10">
        <f t="shared" si="11"/>
        <v>3.1960373785287884E-2</v>
      </c>
      <c r="X33" s="9">
        <f>X26/2</f>
        <v>9350</v>
      </c>
      <c r="Y33" s="10">
        <f t="shared" si="12"/>
        <v>3.2328682359666031E-2</v>
      </c>
      <c r="Z33" s="11">
        <f t="shared" si="24"/>
        <v>1666.6666666666667</v>
      </c>
      <c r="AA33" s="10">
        <f t="shared" si="13"/>
        <v>5.8865300055550894E-3</v>
      </c>
      <c r="AB33" s="12">
        <f t="shared" si="25"/>
        <v>20000</v>
      </c>
      <c r="AC33" s="122">
        <f t="shared" si="21"/>
        <v>5.8865300055550886E-3</v>
      </c>
      <c r="AD33" s="5"/>
      <c r="AE33" s="5"/>
    </row>
    <row r="34" spans="1:31" x14ac:dyDescent="0.2">
      <c r="A34" s="9" t="s">
        <v>33</v>
      </c>
      <c r="B34" s="9">
        <v>11880</v>
      </c>
      <c r="C34" s="10">
        <f t="shared" si="23"/>
        <v>4.8926554281932183E-2</v>
      </c>
      <c r="D34" s="9">
        <v>12300</v>
      </c>
      <c r="E34" s="10">
        <f t="shared" si="19"/>
        <v>5.3143815286961049E-2</v>
      </c>
      <c r="F34" s="9">
        <v>8400</v>
      </c>
      <c r="G34" s="17">
        <f t="shared" si="3"/>
        <v>2.7287728435645208E-2</v>
      </c>
      <c r="H34" s="9">
        <v>8400</v>
      </c>
      <c r="I34" s="10">
        <f t="shared" si="4"/>
        <v>2.5337628423317205E-2</v>
      </c>
      <c r="J34" s="9">
        <v>8820</v>
      </c>
      <c r="K34" s="10">
        <f t="shared" si="5"/>
        <v>3.0126413093581283E-2</v>
      </c>
      <c r="L34" s="9">
        <v>8400</v>
      </c>
      <c r="M34" s="10">
        <f t="shared" si="20"/>
        <v>3.1100548443362012E-2</v>
      </c>
      <c r="N34" s="9">
        <v>11100</v>
      </c>
      <c r="O34" s="10">
        <f t="shared" si="7"/>
        <v>4.2409394620792386E-2</v>
      </c>
      <c r="P34" s="9">
        <v>10080</v>
      </c>
      <c r="Q34" s="10">
        <f t="shared" si="8"/>
        <v>3.6477665915750274E-2</v>
      </c>
      <c r="R34" s="9">
        <v>10080</v>
      </c>
      <c r="S34" s="10">
        <f t="shared" si="9"/>
        <v>3.308747501206314E-2</v>
      </c>
      <c r="T34" s="9">
        <v>10080</v>
      </c>
      <c r="U34" s="10">
        <f t="shared" si="10"/>
        <v>3.3981273284378055E-2</v>
      </c>
      <c r="V34" s="9">
        <v>10080</v>
      </c>
      <c r="W34" s="10">
        <f t="shared" si="11"/>
        <v>3.4455675695796988E-2</v>
      </c>
      <c r="X34" s="9">
        <v>10080</v>
      </c>
      <c r="Y34" s="10">
        <f t="shared" si="12"/>
        <v>3.4852739912880598E-2</v>
      </c>
      <c r="Z34" s="11">
        <f t="shared" si="24"/>
        <v>9975</v>
      </c>
      <c r="AA34" s="10">
        <f t="shared" si="13"/>
        <v>3.5230882083247206E-2</v>
      </c>
      <c r="AB34" s="12">
        <f t="shared" si="25"/>
        <v>119700</v>
      </c>
      <c r="AC34" s="122">
        <f t="shared" si="21"/>
        <v>3.5230882083247206E-2</v>
      </c>
      <c r="AD34" s="5"/>
      <c r="AE34" s="5"/>
    </row>
    <row r="35" spans="1:31" x14ac:dyDescent="0.2">
      <c r="A35" s="9" t="s">
        <v>34</v>
      </c>
      <c r="B35" s="9">
        <v>4846.74</v>
      </c>
      <c r="C35" s="10">
        <f t="shared" si="23"/>
        <v>1.9960798627980805E-2</v>
      </c>
      <c r="D35" s="9">
        <v>2229.25</v>
      </c>
      <c r="E35" s="10">
        <f t="shared" si="19"/>
        <v>9.6317764413380424E-3</v>
      </c>
      <c r="F35" s="9">
        <v>2431.37</v>
      </c>
      <c r="G35" s="17">
        <f t="shared" si="3"/>
        <v>7.8984005103065105E-3</v>
      </c>
      <c r="H35" s="9">
        <v>3094.12</v>
      </c>
      <c r="I35" s="10">
        <f t="shared" si="4"/>
        <v>9.3330551020421714E-3</v>
      </c>
      <c r="J35" s="9">
        <v>2359.09</v>
      </c>
      <c r="K35" s="10">
        <f t="shared" si="5"/>
        <v>8.0579274223284217E-3</v>
      </c>
      <c r="L35" s="9">
        <v>3392.47</v>
      </c>
      <c r="M35" s="10">
        <f t="shared" si="20"/>
        <v>1.2560437806863372E-2</v>
      </c>
      <c r="N35" s="9">
        <f>L35</f>
        <v>3392.47</v>
      </c>
      <c r="O35" s="17">
        <f t="shared" si="7"/>
        <v>1.296149540263059E-2</v>
      </c>
      <c r="P35" s="9">
        <f>N35</f>
        <v>3392.47</v>
      </c>
      <c r="Q35" s="10">
        <f t="shared" si="8"/>
        <v>1.2276724929484655E-2</v>
      </c>
      <c r="R35" s="9">
        <f>P35</f>
        <v>3392.47</v>
      </c>
      <c r="S35" s="10">
        <f t="shared" si="9"/>
        <v>1.1135740709739468E-2</v>
      </c>
      <c r="T35" s="9">
        <f>R35</f>
        <v>3392.47</v>
      </c>
      <c r="U35" s="10">
        <f t="shared" si="10"/>
        <v>1.1436552597128374E-2</v>
      </c>
      <c r="V35" s="9">
        <f>T35</f>
        <v>3392.47</v>
      </c>
      <c r="W35" s="10">
        <f t="shared" si="11"/>
        <v>1.1596214893623056E-2</v>
      </c>
      <c r="X35" s="9">
        <f>V35</f>
        <v>3392.47</v>
      </c>
      <c r="Y35" s="10">
        <f t="shared" si="12"/>
        <v>1.1729848667881949E-2</v>
      </c>
      <c r="Z35" s="11">
        <f t="shared" si="24"/>
        <v>3225.6550000000007</v>
      </c>
      <c r="AA35" s="10">
        <f t="shared" si="13"/>
        <v>1.1392748967041283E-2</v>
      </c>
      <c r="AB35" s="12">
        <f t="shared" si="25"/>
        <v>38707.859999999993</v>
      </c>
      <c r="AC35" s="122">
        <f t="shared" si="21"/>
        <v>1.1392748967041278E-2</v>
      </c>
      <c r="AD35" s="5"/>
      <c r="AE35" s="5"/>
    </row>
    <row r="36" spans="1:31" x14ac:dyDescent="0.2">
      <c r="A36" s="9" t="s">
        <v>35</v>
      </c>
      <c r="B36" s="9">
        <v>107.69</v>
      </c>
      <c r="C36" s="10">
        <f t="shared" si="23"/>
        <v>4.4351015409270001E-4</v>
      </c>
      <c r="D36" s="9">
        <v>895.12</v>
      </c>
      <c r="E36" s="10">
        <f t="shared" si="19"/>
        <v>3.8674871495662255E-3</v>
      </c>
      <c r="F36" s="9">
        <v>5011.91</v>
      </c>
      <c r="G36" s="17">
        <f t="shared" si="3"/>
        <v>1.6281385598082686E-2</v>
      </c>
      <c r="H36" s="9"/>
      <c r="I36" s="10">
        <f t="shared" si="4"/>
        <v>0</v>
      </c>
      <c r="J36" s="9">
        <v>143.27000000000001</v>
      </c>
      <c r="K36" s="17">
        <f t="shared" si="5"/>
        <v>4.8936634965049777E-4</v>
      </c>
      <c r="L36" s="9"/>
      <c r="M36" s="17">
        <f t="shared" si="20"/>
        <v>0</v>
      </c>
      <c r="N36" s="9"/>
      <c r="O36" s="17">
        <f t="shared" si="7"/>
        <v>0</v>
      </c>
      <c r="P36" s="9">
        <v>3000</v>
      </c>
      <c r="Q36" s="10">
        <f t="shared" si="8"/>
        <v>1.0856448189211391E-2</v>
      </c>
      <c r="R36" s="9">
        <v>3000</v>
      </c>
      <c r="S36" s="10">
        <f t="shared" si="9"/>
        <v>9.8474628012092686E-3</v>
      </c>
      <c r="T36" s="9">
        <v>3000</v>
      </c>
      <c r="U36" s="10">
        <f t="shared" si="10"/>
        <v>1.0113474191779182E-2</v>
      </c>
      <c r="V36" s="9">
        <v>3000</v>
      </c>
      <c r="W36" s="10">
        <f t="shared" si="11"/>
        <v>1.0254665385653866E-2</v>
      </c>
      <c r="X36" s="9">
        <v>3000</v>
      </c>
      <c r="Y36" s="10">
        <f t="shared" si="12"/>
        <v>1.0372839259785892E-2</v>
      </c>
      <c r="Z36" s="11">
        <f t="shared" si="24"/>
        <v>1763.1658333333332</v>
      </c>
      <c r="AA36" s="10">
        <f t="shared" si="13"/>
        <v>6.227357149611726E-3</v>
      </c>
      <c r="AB36" s="12">
        <f t="shared" si="25"/>
        <v>21157.989999999998</v>
      </c>
      <c r="AC36" s="122">
        <f t="shared" si="21"/>
        <v>6.2273571496117251E-3</v>
      </c>
      <c r="AD36" s="5"/>
      <c r="AE36" s="5"/>
    </row>
    <row r="37" spans="1:31" x14ac:dyDescent="0.2">
      <c r="A37" s="9" t="s">
        <v>36</v>
      </c>
      <c r="B37" s="9">
        <v>5049.33</v>
      </c>
      <c r="C37" s="10">
        <f t="shared" si="23"/>
        <v>2.0795144640773453E-2</v>
      </c>
      <c r="D37" s="9">
        <v>3965.09</v>
      </c>
      <c r="E37" s="10">
        <f t="shared" si="19"/>
        <v>1.7131708175298892E-2</v>
      </c>
      <c r="F37" s="9">
        <f>1232.35+15085.2+3094.38</f>
        <v>19411.93</v>
      </c>
      <c r="G37" s="17">
        <f t="shared" si="3"/>
        <v>6.3060413601399315E-2</v>
      </c>
      <c r="H37" s="9">
        <v>3002.59</v>
      </c>
      <c r="I37" s="10">
        <f t="shared" si="4"/>
        <v>9.0569654437580964E-3</v>
      </c>
      <c r="J37" s="9">
        <v>3219.91</v>
      </c>
      <c r="K37" s="17">
        <f t="shared" si="5"/>
        <v>1.099822435194482E-2</v>
      </c>
      <c r="L37" s="9">
        <v>2993.49</v>
      </c>
      <c r="M37" s="17">
        <f t="shared" si="20"/>
        <v>1.1083235804728541E-2</v>
      </c>
      <c r="N37" s="9">
        <v>2500</v>
      </c>
      <c r="O37" s="17">
        <f t="shared" si="7"/>
        <v>9.5516654551334214E-3</v>
      </c>
      <c r="P37" s="9">
        <v>2500</v>
      </c>
      <c r="Q37" s="10">
        <f t="shared" si="8"/>
        <v>9.0470401576761596E-3</v>
      </c>
      <c r="R37" s="9">
        <v>2500</v>
      </c>
      <c r="S37" s="10">
        <f t="shared" si="9"/>
        <v>8.2062190010077241E-3</v>
      </c>
      <c r="T37" s="9">
        <v>2500</v>
      </c>
      <c r="U37" s="10">
        <f t="shared" si="10"/>
        <v>8.4278951598159863E-3</v>
      </c>
      <c r="V37" s="9">
        <v>2500</v>
      </c>
      <c r="W37" s="10">
        <f t="shared" si="11"/>
        <v>8.5455544880448878E-3</v>
      </c>
      <c r="X37" s="9">
        <v>2500</v>
      </c>
      <c r="Y37" s="10">
        <f t="shared" si="12"/>
        <v>8.6440327164882431E-3</v>
      </c>
      <c r="Z37" s="11">
        <f t="shared" si="24"/>
        <v>4386.8616666666667</v>
      </c>
      <c r="AA37" s="10">
        <f t="shared" si="13"/>
        <v>1.5494035698631645E-2</v>
      </c>
      <c r="AB37" s="12">
        <f t="shared" si="25"/>
        <v>52642.34</v>
      </c>
      <c r="AC37" s="122">
        <f t="shared" si="21"/>
        <v>1.5494035698631642E-2</v>
      </c>
      <c r="AD37" s="5"/>
      <c r="AE37" s="5"/>
    </row>
    <row r="38" spans="1:31" x14ac:dyDescent="0.2">
      <c r="A38" s="9" t="s">
        <v>37</v>
      </c>
      <c r="B38" s="9">
        <v>4561.07</v>
      </c>
      <c r="C38" s="10">
        <f t="shared" si="23"/>
        <v>1.8784296206960639E-2</v>
      </c>
      <c r="D38" s="9">
        <v>5077.88</v>
      </c>
      <c r="E38" s="10">
        <f t="shared" si="19"/>
        <v>2.1939668030028763E-2</v>
      </c>
      <c r="F38" s="9">
        <v>6323.36</v>
      </c>
      <c r="G38" s="10">
        <f t="shared" si="3"/>
        <v>2.0541682200097795E-2</v>
      </c>
      <c r="H38" s="9">
        <v>4708.41</v>
      </c>
      <c r="I38" s="10">
        <f t="shared" si="4"/>
        <v>1.4202374171979877E-2</v>
      </c>
      <c r="J38" s="9">
        <v>4486.16</v>
      </c>
      <c r="K38" s="10">
        <f t="shared" si="5"/>
        <v>1.5323345732868549E-2</v>
      </c>
      <c r="L38" s="9">
        <v>5765.21</v>
      </c>
      <c r="M38" s="10">
        <f t="shared" si="20"/>
        <v>2.1345380106089894E-2</v>
      </c>
      <c r="N38" s="9">
        <v>6500</v>
      </c>
      <c r="O38" s="10">
        <f t="shared" si="7"/>
        <v>2.4834330183346895E-2</v>
      </c>
      <c r="P38" s="9">
        <f>N38</f>
        <v>6500</v>
      </c>
      <c r="Q38" s="10">
        <f t="shared" si="8"/>
        <v>2.3522304409958013E-2</v>
      </c>
      <c r="R38" s="9">
        <f>P38</f>
        <v>6500</v>
      </c>
      <c r="S38" s="10">
        <f t="shared" si="9"/>
        <v>2.1336169402620082E-2</v>
      </c>
      <c r="T38" s="9">
        <f>R38</f>
        <v>6500</v>
      </c>
      <c r="U38" s="10">
        <f t="shared" si="10"/>
        <v>2.1912527415521563E-2</v>
      </c>
      <c r="V38" s="9">
        <v>2300</v>
      </c>
      <c r="W38" s="10">
        <f t="shared" si="11"/>
        <v>7.8619101290012972E-3</v>
      </c>
      <c r="X38" s="9">
        <v>2300</v>
      </c>
      <c r="Y38" s="10">
        <f t="shared" si="12"/>
        <v>7.9525100991691845E-3</v>
      </c>
      <c r="Z38" s="11">
        <f t="shared" si="24"/>
        <v>5126.8408333333327</v>
      </c>
      <c r="AA38" s="10">
        <f t="shared" si="13"/>
        <v>1.8107581439473032E-2</v>
      </c>
      <c r="AB38" s="12">
        <f t="shared" si="25"/>
        <v>61522.09</v>
      </c>
      <c r="AC38" s="122">
        <f t="shared" si="21"/>
        <v>1.8107581439473032E-2</v>
      </c>
      <c r="AD38" s="5"/>
      <c r="AE38" s="5"/>
    </row>
    <row r="39" spans="1:31" x14ac:dyDescent="0.2">
      <c r="A39" s="9" t="s">
        <v>38</v>
      </c>
      <c r="B39" s="9">
        <v>429.78</v>
      </c>
      <c r="C39" s="10">
        <f t="shared" si="23"/>
        <v>1.7700045874822232E-3</v>
      </c>
      <c r="D39" s="9">
        <v>429.78</v>
      </c>
      <c r="E39" s="10">
        <f t="shared" si="19"/>
        <v>1.8569226775634242E-3</v>
      </c>
      <c r="F39" s="9">
        <f>45+384.78</f>
        <v>429.78</v>
      </c>
      <c r="G39" s="10">
        <f t="shared" si="3"/>
        <v>1.3961571341751899E-3</v>
      </c>
      <c r="H39" s="9">
        <v>429.78</v>
      </c>
      <c r="I39" s="10">
        <f t="shared" si="4"/>
        <v>1.2963816599730082E-3</v>
      </c>
      <c r="J39" s="9">
        <f>342.03+45</f>
        <v>387.03</v>
      </c>
      <c r="K39" s="10">
        <f t="shared" si="5"/>
        <v>1.3219756983683406E-3</v>
      </c>
      <c r="L39" s="9">
        <f>J39</f>
        <v>387.03</v>
      </c>
      <c r="M39" s="10">
        <f t="shared" si="20"/>
        <v>1.4329577695279046E-3</v>
      </c>
      <c r="N39" s="9">
        <f>L39</f>
        <v>387.03</v>
      </c>
      <c r="O39" s="10">
        <f t="shared" si="7"/>
        <v>1.478712432440115E-3</v>
      </c>
      <c r="P39" s="9">
        <f>N39</f>
        <v>387.03</v>
      </c>
      <c r="Q39" s="10">
        <f t="shared" si="8"/>
        <v>1.4005903808901614E-3</v>
      </c>
      <c r="R39" s="9">
        <f>P39</f>
        <v>387.03</v>
      </c>
      <c r="S39" s="10">
        <f t="shared" si="9"/>
        <v>1.2704211759840076E-3</v>
      </c>
      <c r="T39" s="9">
        <f>R39</f>
        <v>387.03</v>
      </c>
      <c r="U39" s="10">
        <f t="shared" si="10"/>
        <v>1.3047393054814323E-3</v>
      </c>
      <c r="V39" s="9">
        <f>T39</f>
        <v>387.03</v>
      </c>
      <c r="W39" s="10">
        <f t="shared" si="11"/>
        <v>1.3229543814032051E-3</v>
      </c>
      <c r="X39" s="9">
        <v>380</v>
      </c>
      <c r="Y39" s="10">
        <f t="shared" si="12"/>
        <v>1.3138929729062132E-3</v>
      </c>
      <c r="Z39" s="11">
        <f t="shared" si="24"/>
        <v>400.69416666666649</v>
      </c>
      <c r="AA39" s="10">
        <f t="shared" si="13"/>
        <v>1.4152189410805345E-3</v>
      </c>
      <c r="AB39" s="12">
        <f t="shared" si="25"/>
        <v>4808.329999999999</v>
      </c>
      <c r="AC39" s="122">
        <f t="shared" si="21"/>
        <v>1.4152189410805347E-3</v>
      </c>
      <c r="AD39" s="5"/>
      <c r="AE39" s="5"/>
    </row>
    <row r="40" spans="1:31" x14ac:dyDescent="0.2">
      <c r="A40" s="9" t="s">
        <v>148</v>
      </c>
      <c r="B40" s="9">
        <v>2205</v>
      </c>
      <c r="C40" s="10">
        <f t="shared" si="23"/>
        <v>9.0810649992980191E-3</v>
      </c>
      <c r="D40" s="9">
        <v>2450</v>
      </c>
      <c r="E40" s="10">
        <f t="shared" si="19"/>
        <v>1.0585556703500372E-2</v>
      </c>
      <c r="F40" s="9">
        <v>3825</v>
      </c>
      <c r="G40" s="10">
        <f t="shared" si="3"/>
        <v>1.2425662055517013E-2</v>
      </c>
      <c r="H40" s="9">
        <v>1825</v>
      </c>
      <c r="I40" s="10">
        <f>H40/H$2</f>
        <v>5.5049014133992744E-3</v>
      </c>
      <c r="J40" s="9">
        <v>2250</v>
      </c>
      <c r="K40" s="10">
        <f t="shared" si="5"/>
        <v>7.6853094626482864E-3</v>
      </c>
      <c r="L40" s="9">
        <v>2054.8000000000002</v>
      </c>
      <c r="M40" s="10">
        <f t="shared" si="20"/>
        <v>7.6077865406452699E-3</v>
      </c>
      <c r="N40" s="9">
        <v>2275</v>
      </c>
      <c r="O40" s="10">
        <f t="shared" si="7"/>
        <v>8.6920155641714136E-3</v>
      </c>
      <c r="P40" s="9">
        <v>2200</v>
      </c>
      <c r="Q40" s="10">
        <f t="shared" si="8"/>
        <v>7.9613953387550201E-3</v>
      </c>
      <c r="R40" s="9">
        <v>2500</v>
      </c>
      <c r="S40" s="10">
        <f t="shared" si="9"/>
        <v>8.2062190010077241E-3</v>
      </c>
      <c r="T40" s="9">
        <v>2800</v>
      </c>
      <c r="U40" s="10">
        <f t="shared" si="10"/>
        <v>9.4392425789939036E-3</v>
      </c>
      <c r="V40" s="9">
        <v>2800</v>
      </c>
      <c r="W40" s="10">
        <f t="shared" si="11"/>
        <v>9.5710210266102755E-3</v>
      </c>
      <c r="X40" s="9">
        <v>2800</v>
      </c>
      <c r="Y40" s="10">
        <f t="shared" si="12"/>
        <v>9.6813166424668338E-3</v>
      </c>
      <c r="Z40" s="11">
        <f t="shared" si="24"/>
        <v>2498.7333333333331</v>
      </c>
      <c r="AA40" s="10">
        <f t="shared" si="13"/>
        <v>8.8253212455284107E-3</v>
      </c>
      <c r="AB40" s="12">
        <f t="shared" si="25"/>
        <v>29984.799999999999</v>
      </c>
      <c r="AC40" s="122">
        <f t="shared" si="21"/>
        <v>8.8253212455284107E-3</v>
      </c>
      <c r="AD40" s="5"/>
      <c r="AE40" s="5"/>
    </row>
    <row r="41" spans="1:31" x14ac:dyDescent="0.2">
      <c r="A41" s="9" t="s">
        <v>154</v>
      </c>
      <c r="B41" s="9"/>
      <c r="C41" s="10"/>
      <c r="D41" s="9">
        <v>300</v>
      </c>
      <c r="E41" s="10">
        <f t="shared" si="19"/>
        <v>1.2961906167551474E-3</v>
      </c>
      <c r="F41" s="9">
        <v>150</v>
      </c>
      <c r="G41" s="10">
        <f t="shared" si="3"/>
        <v>4.8728086492223581E-4</v>
      </c>
      <c r="H41" s="9">
        <v>150</v>
      </c>
      <c r="I41" s="10">
        <f>H41/H$2</f>
        <v>4.5245765041637871E-4</v>
      </c>
      <c r="J41" s="9">
        <v>150</v>
      </c>
      <c r="K41" s="10"/>
      <c r="L41" s="9">
        <v>150</v>
      </c>
      <c r="M41" s="10"/>
      <c r="N41" s="9">
        <v>150</v>
      </c>
      <c r="O41" s="10"/>
      <c r="P41" s="9">
        <v>150</v>
      </c>
      <c r="Q41" s="10">
        <f t="shared" si="8"/>
        <v>5.428224094605696E-4</v>
      </c>
      <c r="R41" s="9">
        <v>150</v>
      </c>
      <c r="S41" s="10">
        <f t="shared" si="9"/>
        <v>4.9237314006046339E-4</v>
      </c>
      <c r="T41" s="9">
        <v>150</v>
      </c>
      <c r="U41" s="10">
        <f t="shared" si="10"/>
        <v>5.0567370958895909E-4</v>
      </c>
      <c r="V41" s="9">
        <v>150</v>
      </c>
      <c r="W41" s="10">
        <f t="shared" si="11"/>
        <v>5.1273326928269328E-4</v>
      </c>
      <c r="X41" s="9">
        <v>150</v>
      </c>
      <c r="Y41" s="10">
        <f t="shared" si="12"/>
        <v>5.1864196298929467E-4</v>
      </c>
      <c r="Z41" s="11"/>
      <c r="AA41" s="10"/>
      <c r="AB41" s="12"/>
      <c r="AC41" s="122"/>
      <c r="AD41" s="5"/>
      <c r="AE41" s="5"/>
    </row>
    <row r="42" spans="1:31" x14ac:dyDescent="0.2">
      <c r="A42" s="9" t="s">
        <v>39</v>
      </c>
      <c r="B42" s="9"/>
      <c r="C42" s="10">
        <f t="shared" si="23"/>
        <v>0</v>
      </c>
      <c r="D42" s="9"/>
      <c r="E42" s="10">
        <f t="shared" si="19"/>
        <v>0</v>
      </c>
      <c r="F42" s="9">
        <v>100</v>
      </c>
      <c r="G42" s="10">
        <f t="shared" si="3"/>
        <v>3.2485390994815724E-4</v>
      </c>
      <c r="H42" s="9"/>
      <c r="I42" s="10">
        <f t="shared" si="4"/>
        <v>0</v>
      </c>
      <c r="J42" s="9"/>
      <c r="K42" s="10">
        <f t="shared" si="5"/>
        <v>0</v>
      </c>
      <c r="L42" s="9"/>
      <c r="M42" s="10">
        <f t="shared" si="20"/>
        <v>0</v>
      </c>
      <c r="N42" s="9"/>
      <c r="O42" s="10">
        <f t="shared" si="7"/>
        <v>0</v>
      </c>
      <c r="P42" s="9">
        <v>50</v>
      </c>
      <c r="Q42" s="10">
        <f t="shared" si="8"/>
        <v>1.8094080315352319E-4</v>
      </c>
      <c r="R42" s="9">
        <v>50</v>
      </c>
      <c r="S42" s="10">
        <f t="shared" si="9"/>
        <v>1.6412438002015448E-4</v>
      </c>
      <c r="T42" s="9">
        <v>50</v>
      </c>
      <c r="U42" s="10">
        <f t="shared" si="10"/>
        <v>1.6855790319631972E-4</v>
      </c>
      <c r="V42" s="9"/>
      <c r="W42" s="10">
        <f t="shared" si="11"/>
        <v>0</v>
      </c>
      <c r="X42" s="9"/>
      <c r="Y42" s="10">
        <f t="shared" si="12"/>
        <v>0</v>
      </c>
      <c r="Z42" s="11">
        <f t="shared" si="24"/>
        <v>20.833333333333332</v>
      </c>
      <c r="AA42" s="10">
        <f t="shared" si="13"/>
        <v>7.3581625069438604E-5</v>
      </c>
      <c r="AB42" s="12">
        <f t="shared" si="25"/>
        <v>250</v>
      </c>
      <c r="AC42" s="122">
        <f t="shared" si="21"/>
        <v>7.3581625069438604E-5</v>
      </c>
      <c r="AD42" s="5"/>
      <c r="AE42" s="5"/>
    </row>
    <row r="43" spans="1:31" x14ac:dyDescent="0.2">
      <c r="A43" s="9" t="s">
        <v>145</v>
      </c>
      <c r="B43" s="9"/>
      <c r="C43" s="10">
        <f t="shared" si="23"/>
        <v>0</v>
      </c>
      <c r="D43" s="9"/>
      <c r="E43" s="10">
        <f t="shared" si="19"/>
        <v>0</v>
      </c>
      <c r="F43" s="9">
        <f>20854.02+4052.48+13270.4+1334</f>
        <v>39510.9</v>
      </c>
      <c r="G43" s="10">
        <f t="shared" si="3"/>
        <v>0.12835270350570646</v>
      </c>
      <c r="H43" s="9"/>
      <c r="I43" s="10">
        <f t="shared" si="4"/>
        <v>0</v>
      </c>
      <c r="J43" s="9"/>
      <c r="K43" s="10">
        <f t="shared" si="5"/>
        <v>0</v>
      </c>
      <c r="L43" s="9"/>
      <c r="M43" s="10">
        <f t="shared" si="20"/>
        <v>0</v>
      </c>
      <c r="N43" s="9"/>
      <c r="O43" s="10">
        <f t="shared" si="7"/>
        <v>0</v>
      </c>
      <c r="P43" s="9"/>
      <c r="Q43" s="10">
        <f t="shared" si="8"/>
        <v>0</v>
      </c>
      <c r="R43" s="9">
        <v>1000</v>
      </c>
      <c r="S43" s="10">
        <f t="shared" si="9"/>
        <v>3.2824876004030894E-3</v>
      </c>
      <c r="T43" s="9">
        <v>1000</v>
      </c>
      <c r="U43" s="10">
        <f t="shared" si="10"/>
        <v>3.3711580639263941E-3</v>
      </c>
      <c r="V43" s="9">
        <v>1000</v>
      </c>
      <c r="W43" s="10">
        <f t="shared" si="11"/>
        <v>3.4182217952179552E-3</v>
      </c>
      <c r="X43" s="9">
        <v>1000</v>
      </c>
      <c r="Y43" s="10">
        <f t="shared" si="12"/>
        <v>3.4576130865952973E-3</v>
      </c>
      <c r="Z43" s="11">
        <f t="shared" si="24"/>
        <v>3625.9083333333333</v>
      </c>
      <c r="AA43" s="10">
        <f t="shared" si="13"/>
        <v>1.2806410920935346E-2</v>
      </c>
      <c r="AB43" s="12">
        <f t="shared" si="25"/>
        <v>43510.9</v>
      </c>
      <c r="AC43" s="122">
        <f t="shared" si="21"/>
        <v>1.2806410920935346E-2</v>
      </c>
      <c r="AD43" s="5"/>
      <c r="AE43" s="5"/>
    </row>
    <row r="44" spans="1:31" x14ac:dyDescent="0.2">
      <c r="A44" s="9" t="s">
        <v>40</v>
      </c>
      <c r="B44" s="9">
        <f>SUBTOTAL(9,B45:B48)</f>
        <v>5366.55</v>
      </c>
      <c r="C44" s="10">
        <f t="shared" si="23"/>
        <v>2.2101582481624846E-2</v>
      </c>
      <c r="D44" s="9">
        <f>SUBTOTAL(9,D45:D48)</f>
        <v>5665.74</v>
      </c>
      <c r="E44" s="10">
        <f t="shared" si="19"/>
        <v>2.4479596749914363E-2</v>
      </c>
      <c r="F44" s="9">
        <f>SUBTOTAL(9,F45:F48)</f>
        <v>5665.74</v>
      </c>
      <c r="G44" s="10">
        <f t="shared" si="3"/>
        <v>1.8405377917496722E-2</v>
      </c>
      <c r="H44" s="9">
        <f>SUBTOTAL(9,H45:H48)</f>
        <v>5493.57</v>
      </c>
      <c r="I44" s="10">
        <f t="shared" si="4"/>
        <v>1.6570718497319368E-2</v>
      </c>
      <c r="J44" s="9">
        <f>SUBTOTAL(9,J45:J48)</f>
        <v>5678.46</v>
      </c>
      <c r="K44" s="10">
        <f t="shared" si="5"/>
        <v>1.9395876609453241E-2</v>
      </c>
      <c r="L44" s="9">
        <f>SUBTOTAL(9,L45:L48)</f>
        <v>5671.9400000000005</v>
      </c>
      <c r="M44" s="10">
        <f t="shared" si="20"/>
        <v>2.1000052944981279E-2</v>
      </c>
      <c r="N44" s="9">
        <f>SUBTOTAL(9,N45:N48)</f>
        <v>5700</v>
      </c>
      <c r="O44" s="10">
        <f t="shared" si="7"/>
        <v>2.1777797237704198E-2</v>
      </c>
      <c r="P44" s="9">
        <f>SUBTOTAL(9,P45:P48)</f>
        <v>5700</v>
      </c>
      <c r="Q44" s="10">
        <f t="shared" si="8"/>
        <v>2.0627251559501642E-2</v>
      </c>
      <c r="R44" s="9">
        <f>SUBTOTAL(9,R45:R48)</f>
        <v>5700</v>
      </c>
      <c r="S44" s="10">
        <f t="shared" si="9"/>
        <v>1.8710179322297609E-2</v>
      </c>
      <c r="T44" s="9">
        <f>SUBTOTAL(9,T45:T48)</f>
        <v>5700</v>
      </c>
      <c r="U44" s="10">
        <f t="shared" si="10"/>
        <v>1.9215600964380446E-2</v>
      </c>
      <c r="V44" s="9">
        <f>SUBTOTAL(9,V45:V48)</f>
        <v>5700</v>
      </c>
      <c r="W44" s="10">
        <f t="shared" si="11"/>
        <v>1.9483864232742346E-2</v>
      </c>
      <c r="X44" s="9">
        <f>SUBTOTAL(9,X45:X48)</f>
        <v>5700</v>
      </c>
      <c r="Y44" s="10">
        <f t="shared" si="12"/>
        <v>1.9708394593593196E-2</v>
      </c>
      <c r="Z44" s="11">
        <f t="shared" si="24"/>
        <v>5645.166666666667</v>
      </c>
      <c r="AA44" s="10">
        <f t="shared" si="13"/>
        <v>1.9938265781815644E-2</v>
      </c>
      <c r="AB44" s="12">
        <f>SUBTOTAL(9,AB45:AB48)</f>
        <v>67742</v>
      </c>
      <c r="AC44" s="122">
        <f t="shared" si="21"/>
        <v>1.993826578181564E-2</v>
      </c>
      <c r="AD44" s="5"/>
      <c r="AE44" s="5"/>
    </row>
    <row r="45" spans="1:31" x14ac:dyDescent="0.2">
      <c r="A45" s="14" t="s">
        <v>29</v>
      </c>
      <c r="B45" s="9">
        <v>2639.19</v>
      </c>
      <c r="C45" s="10">
        <f t="shared" si="23"/>
        <v>1.0869231716778838E-2</v>
      </c>
      <c r="D45" s="9">
        <v>2639.19</v>
      </c>
      <c r="E45" s="10">
        <f t="shared" si="19"/>
        <v>1.1402977712780059E-2</v>
      </c>
      <c r="F45" s="9">
        <v>2639.19</v>
      </c>
      <c r="G45" s="10">
        <f t="shared" si="3"/>
        <v>8.5735119059607706E-3</v>
      </c>
      <c r="H45" s="9">
        <v>2639.19</v>
      </c>
      <c r="I45" s="10">
        <f t="shared" si="4"/>
        <v>7.9608113760160169E-3</v>
      </c>
      <c r="J45" s="9">
        <v>2651.91</v>
      </c>
      <c r="K45" s="10">
        <f t="shared" si="5"/>
        <v>9.05811067426294E-3</v>
      </c>
      <c r="L45" s="9">
        <v>2651.91</v>
      </c>
      <c r="M45" s="10">
        <f t="shared" si="20"/>
        <v>9.8185542169566837E-3</v>
      </c>
      <c r="N45" s="9">
        <v>2651.91</v>
      </c>
      <c r="O45" s="17">
        <f t="shared" si="7"/>
        <v>1.0132062854849147E-2</v>
      </c>
      <c r="P45" s="9">
        <v>2690</v>
      </c>
      <c r="Q45" s="10">
        <f t="shared" si="8"/>
        <v>9.7346152096595469E-3</v>
      </c>
      <c r="R45" s="9">
        <v>2690</v>
      </c>
      <c r="S45" s="10">
        <f t="shared" si="9"/>
        <v>8.8298916450843101E-3</v>
      </c>
      <c r="T45" s="9">
        <v>2690</v>
      </c>
      <c r="U45" s="10">
        <f t="shared" si="10"/>
        <v>9.0684151919619999E-3</v>
      </c>
      <c r="V45" s="9">
        <v>2690</v>
      </c>
      <c r="W45" s="10">
        <f t="shared" si="11"/>
        <v>9.1950166291363006E-3</v>
      </c>
      <c r="X45" s="9">
        <v>2690</v>
      </c>
      <c r="Y45" s="10">
        <f t="shared" si="12"/>
        <v>9.3009792029413504E-3</v>
      </c>
      <c r="Z45" s="11">
        <f t="shared" si="24"/>
        <v>2663.540833333333</v>
      </c>
      <c r="AA45" s="10">
        <f t="shared" si="13"/>
        <v>9.4074078218627233E-3</v>
      </c>
      <c r="AB45" s="12">
        <f t="shared" ref="AB45:AB76" si="26">L45+N45+P45+R45+T45+V45+X45+J45+H45+F45+D45+B45</f>
        <v>31962.489999999994</v>
      </c>
      <c r="AC45" s="122">
        <f t="shared" si="21"/>
        <v>9.4074078218627216E-3</v>
      </c>
      <c r="AD45" s="5"/>
      <c r="AE45" s="5"/>
    </row>
    <row r="46" spans="1:31" x14ac:dyDescent="0.2">
      <c r="A46" s="5" t="s">
        <v>41</v>
      </c>
      <c r="B46" s="9"/>
      <c r="C46" s="10">
        <f t="shared" si="23"/>
        <v>0</v>
      </c>
      <c r="D46" s="9">
        <v>330</v>
      </c>
      <c r="E46" s="10">
        <f t="shared" si="19"/>
        <v>1.4258096784306622E-3</v>
      </c>
      <c r="F46" s="9">
        <v>330</v>
      </c>
      <c r="G46" s="17">
        <f t="shared" si="3"/>
        <v>1.0720179028289188E-3</v>
      </c>
      <c r="H46" s="9">
        <v>157.83000000000001</v>
      </c>
      <c r="I46" s="10">
        <f t="shared" si="4"/>
        <v>4.7607593976811371E-4</v>
      </c>
      <c r="J46" s="9">
        <v>330</v>
      </c>
      <c r="K46" s="10">
        <f t="shared" si="5"/>
        <v>1.1271787211884154E-3</v>
      </c>
      <c r="L46" s="9">
        <v>323.48</v>
      </c>
      <c r="M46" s="10">
        <f t="shared" si="20"/>
        <v>1.1976673107688982E-3</v>
      </c>
      <c r="N46" s="9">
        <v>330</v>
      </c>
      <c r="O46" s="17">
        <f t="shared" si="7"/>
        <v>1.2608198400776115E-3</v>
      </c>
      <c r="P46" s="9">
        <v>260</v>
      </c>
      <c r="Q46" s="10">
        <f t="shared" si="8"/>
        <v>9.4089217639832057E-4</v>
      </c>
      <c r="R46" s="9">
        <v>260</v>
      </c>
      <c r="S46" s="10">
        <f t="shared" si="9"/>
        <v>8.5344677610480325E-4</v>
      </c>
      <c r="T46" s="9">
        <v>260</v>
      </c>
      <c r="U46" s="10">
        <f t="shared" si="10"/>
        <v>8.7650109662086248E-4</v>
      </c>
      <c r="V46" s="9">
        <v>260</v>
      </c>
      <c r="W46" s="10">
        <f t="shared" si="11"/>
        <v>8.8873766675666844E-4</v>
      </c>
      <c r="X46" s="9">
        <v>260</v>
      </c>
      <c r="Y46" s="10">
        <f t="shared" si="12"/>
        <v>8.9897940251477731E-4</v>
      </c>
      <c r="Z46" s="11">
        <f t="shared" si="24"/>
        <v>258.4425</v>
      </c>
      <c r="AA46" s="10">
        <f t="shared" si="13"/>
        <v>9.1279771857640261E-4</v>
      </c>
      <c r="AB46" s="12">
        <f t="shared" si="26"/>
        <v>3101.31</v>
      </c>
      <c r="AC46" s="122">
        <f t="shared" si="21"/>
        <v>9.1279771857640261E-4</v>
      </c>
      <c r="AD46" s="5"/>
      <c r="AE46" s="5"/>
    </row>
    <row r="47" spans="1:31" x14ac:dyDescent="0.2">
      <c r="A47" s="5" t="s">
        <v>42</v>
      </c>
      <c r="B47" s="9">
        <v>30.81</v>
      </c>
      <c r="C47" s="10">
        <f t="shared" si="23"/>
        <v>1.2688780618066753E-4</v>
      </c>
      <c r="D47" s="9"/>
      <c r="E47" s="10">
        <f t="shared" si="19"/>
        <v>0</v>
      </c>
      <c r="F47" s="9"/>
      <c r="G47" s="17">
        <f t="shared" si="3"/>
        <v>0</v>
      </c>
      <c r="H47" s="9"/>
      <c r="I47" s="10">
        <f t="shared" si="4"/>
        <v>0</v>
      </c>
      <c r="J47" s="9"/>
      <c r="K47" s="10">
        <f t="shared" si="5"/>
        <v>0</v>
      </c>
      <c r="L47" s="9"/>
      <c r="M47" s="10">
        <f t="shared" si="20"/>
        <v>0</v>
      </c>
      <c r="N47" s="9">
        <v>18.09</v>
      </c>
      <c r="O47" s="17">
        <f t="shared" si="7"/>
        <v>6.9115851233345426E-5</v>
      </c>
      <c r="P47" s="9">
        <v>50</v>
      </c>
      <c r="Q47" s="17">
        <f t="shared" si="8"/>
        <v>1.8094080315352319E-4</v>
      </c>
      <c r="R47" s="9">
        <v>50</v>
      </c>
      <c r="S47" s="10">
        <f t="shared" si="9"/>
        <v>1.6412438002015448E-4</v>
      </c>
      <c r="T47" s="9">
        <v>50</v>
      </c>
      <c r="U47" s="10">
        <f t="shared" si="10"/>
        <v>1.6855790319631972E-4</v>
      </c>
      <c r="V47" s="9">
        <v>50</v>
      </c>
      <c r="W47" s="10">
        <f t="shared" si="11"/>
        <v>1.7091108976089776E-4</v>
      </c>
      <c r="X47" s="9">
        <v>50</v>
      </c>
      <c r="Y47" s="10">
        <f t="shared" si="12"/>
        <v>1.7288065432976489E-4</v>
      </c>
      <c r="Z47" s="11">
        <f t="shared" si="24"/>
        <v>24.908333333333331</v>
      </c>
      <c r="AA47" s="10">
        <f t="shared" si="13"/>
        <v>8.7974190933020799E-5</v>
      </c>
      <c r="AB47" s="12">
        <f t="shared" si="26"/>
        <v>298.90000000000003</v>
      </c>
      <c r="AC47" s="122">
        <f t="shared" si="21"/>
        <v>8.7974190933020813E-5</v>
      </c>
      <c r="AD47" s="5"/>
      <c r="AE47" s="5"/>
    </row>
    <row r="48" spans="1:31" x14ac:dyDescent="0.2">
      <c r="A48" s="9" t="s">
        <v>43</v>
      </c>
      <c r="B48" s="9">
        <v>2696.55</v>
      </c>
      <c r="C48" s="10">
        <f t="shared" si="23"/>
        <v>1.110546295866534E-2</v>
      </c>
      <c r="D48" s="9">
        <v>2696.55</v>
      </c>
      <c r="E48" s="10">
        <f t="shared" si="19"/>
        <v>1.1650809358703645E-2</v>
      </c>
      <c r="F48" s="9">
        <v>2696.55</v>
      </c>
      <c r="G48" s="17">
        <f t="shared" si="3"/>
        <v>8.7598481087070336E-3</v>
      </c>
      <c r="H48" s="15">
        <v>2696.55</v>
      </c>
      <c r="I48" s="10">
        <f t="shared" si="4"/>
        <v>8.1338311815352411E-3</v>
      </c>
      <c r="J48" s="9">
        <v>2696.55</v>
      </c>
      <c r="K48" s="10">
        <f t="shared" si="5"/>
        <v>9.2105872140018832E-3</v>
      </c>
      <c r="L48" s="9">
        <v>2696.55</v>
      </c>
      <c r="M48" s="10">
        <f t="shared" si="20"/>
        <v>9.9838314172556956E-3</v>
      </c>
      <c r="N48" s="15">
        <v>2700</v>
      </c>
      <c r="O48" s="17">
        <f t="shared" si="7"/>
        <v>1.0315798691544094E-2</v>
      </c>
      <c r="P48" s="9">
        <v>2700</v>
      </c>
      <c r="Q48" s="17">
        <f t="shared" si="8"/>
        <v>9.7708033702902514E-3</v>
      </c>
      <c r="R48" s="9">
        <v>2700</v>
      </c>
      <c r="S48" s="10">
        <f t="shared" si="9"/>
        <v>8.8627165210883423E-3</v>
      </c>
      <c r="T48" s="15">
        <v>2700</v>
      </c>
      <c r="U48" s="10">
        <f t="shared" si="10"/>
        <v>9.1021267726012645E-3</v>
      </c>
      <c r="V48" s="15">
        <v>2700</v>
      </c>
      <c r="W48" s="10">
        <f t="shared" si="11"/>
        <v>9.2291988470884802E-3</v>
      </c>
      <c r="X48" s="15">
        <v>2700</v>
      </c>
      <c r="Y48" s="10">
        <f t="shared" si="12"/>
        <v>9.3355553338073036E-3</v>
      </c>
      <c r="Z48" s="11">
        <f t="shared" si="24"/>
        <v>2698.2750000000001</v>
      </c>
      <c r="AA48" s="10">
        <f t="shared" si="13"/>
        <v>9.530086050443495E-3</v>
      </c>
      <c r="AB48" s="12">
        <f t="shared" si="26"/>
        <v>32379.299999999996</v>
      </c>
      <c r="AC48" s="122">
        <f t="shared" si="21"/>
        <v>9.5300860504434932E-3</v>
      </c>
      <c r="AD48" s="5"/>
      <c r="AE48" s="5"/>
    </row>
    <row r="49" spans="1:31" x14ac:dyDescent="0.2">
      <c r="A49" s="9" t="s">
        <v>45</v>
      </c>
      <c r="B49" s="9">
        <v>30000</v>
      </c>
      <c r="C49" s="10">
        <f t="shared" si="23"/>
        <v>0.12355190475235399</v>
      </c>
      <c r="D49" s="9">
        <v>30000</v>
      </c>
      <c r="E49" s="10">
        <f t="shared" si="19"/>
        <v>0.12961906167551476</v>
      </c>
      <c r="F49" s="9">
        <v>30000</v>
      </c>
      <c r="G49" s="10">
        <f t="shared" si="3"/>
        <v>9.745617298444717E-2</v>
      </c>
      <c r="H49" s="9">
        <v>30000</v>
      </c>
      <c r="I49" s="10">
        <f t="shared" si="4"/>
        <v>9.0491530083275734E-2</v>
      </c>
      <c r="J49" s="9">
        <v>30000</v>
      </c>
      <c r="K49" s="10">
        <f t="shared" si="5"/>
        <v>0.10247079283531049</v>
      </c>
      <c r="L49" s="9">
        <v>30000</v>
      </c>
      <c r="M49" s="10">
        <f t="shared" si="20"/>
        <v>0.11107338729772147</v>
      </c>
      <c r="N49" s="9">
        <v>30000</v>
      </c>
      <c r="O49" s="17">
        <f t="shared" si="7"/>
        <v>0.11461998546160104</v>
      </c>
      <c r="P49" s="9">
        <v>30000</v>
      </c>
      <c r="Q49" s="17">
        <f t="shared" si="8"/>
        <v>0.10856448189211391</v>
      </c>
      <c r="R49" s="9">
        <v>30000</v>
      </c>
      <c r="S49" s="10">
        <f t="shared" si="9"/>
        <v>9.8474628012092683E-2</v>
      </c>
      <c r="T49" s="9">
        <v>30000</v>
      </c>
      <c r="U49" s="10">
        <f t="shared" si="10"/>
        <v>0.10113474191779183</v>
      </c>
      <c r="V49" s="9">
        <v>30000</v>
      </c>
      <c r="W49" s="10">
        <f t="shared" si="11"/>
        <v>0.10254665385653866</v>
      </c>
      <c r="X49" s="9">
        <v>30000</v>
      </c>
      <c r="Y49" s="10">
        <f t="shared" si="12"/>
        <v>0.10372839259785893</v>
      </c>
      <c r="Z49" s="11">
        <f t="shared" si="24"/>
        <v>30000</v>
      </c>
      <c r="AA49" s="10">
        <f t="shared" si="13"/>
        <v>0.1059575400999916</v>
      </c>
      <c r="AB49" s="12">
        <f t="shared" si="26"/>
        <v>360000</v>
      </c>
      <c r="AC49" s="122">
        <f t="shared" si="21"/>
        <v>0.1059575400999916</v>
      </c>
      <c r="AD49" s="5"/>
      <c r="AE49" s="5"/>
    </row>
    <row r="50" spans="1:31" x14ac:dyDescent="0.2">
      <c r="A50" s="9" t="s">
        <v>46</v>
      </c>
      <c r="B50" s="9">
        <f>591.68+263.5+80.16</f>
        <v>935.33999999999992</v>
      </c>
      <c r="C50" s="10">
        <f t="shared" si="23"/>
        <v>3.8521012863688923E-3</v>
      </c>
      <c r="D50" s="9">
        <f>671.84+263.5</f>
        <v>935.34</v>
      </c>
      <c r="E50" s="10">
        <f t="shared" si="19"/>
        <v>4.041263104919199E-3</v>
      </c>
      <c r="F50" s="9">
        <f>591.68+80.16+264.02</f>
        <v>935.8599999999999</v>
      </c>
      <c r="G50" s="10">
        <f t="shared" si="3"/>
        <v>3.0401778016408238E-3</v>
      </c>
      <c r="H50" s="9">
        <f>591.68+253.74+80.16</f>
        <v>925.57999999999993</v>
      </c>
      <c r="I50" s="10">
        <f t="shared" si="4"/>
        <v>2.7919050138159448E-3</v>
      </c>
      <c r="J50" s="9">
        <v>925.58</v>
      </c>
      <c r="K50" s="10">
        <f t="shared" si="5"/>
        <v>3.1614972144168893E-3</v>
      </c>
      <c r="L50" s="9">
        <v>845.42</v>
      </c>
      <c r="M50" s="10">
        <f t="shared" si="20"/>
        <v>3.1301221029746561E-3</v>
      </c>
      <c r="N50" s="9">
        <v>820.2</v>
      </c>
      <c r="O50" s="17">
        <f t="shared" si="7"/>
        <v>3.1337104025201726E-3</v>
      </c>
      <c r="P50" s="9">
        <v>850.27</v>
      </c>
      <c r="Q50" s="17">
        <f t="shared" si="8"/>
        <v>3.0769707339469233E-3</v>
      </c>
      <c r="R50" s="9">
        <v>855.18</v>
      </c>
      <c r="S50" s="10">
        <f t="shared" si="9"/>
        <v>2.8071177461127137E-3</v>
      </c>
      <c r="T50" s="9">
        <v>850.1</v>
      </c>
      <c r="U50" s="10">
        <f t="shared" si="10"/>
        <v>2.8658214701438277E-3</v>
      </c>
      <c r="V50" s="9">
        <v>805</v>
      </c>
      <c r="W50" s="10">
        <f t="shared" si="11"/>
        <v>2.7516685451504539E-3</v>
      </c>
      <c r="X50" s="9">
        <v>805</v>
      </c>
      <c r="Y50" s="10">
        <f t="shared" si="12"/>
        <v>2.7833785347092144E-3</v>
      </c>
      <c r="Z50" s="11">
        <f t="shared" si="24"/>
        <v>874.0725000000001</v>
      </c>
      <c r="AA50" s="10">
        <f t="shared" si="13"/>
        <v>3.0871523989683307E-3</v>
      </c>
      <c r="AB50" s="12">
        <f t="shared" si="26"/>
        <v>10488.87</v>
      </c>
      <c r="AC50" s="122">
        <f t="shared" si="21"/>
        <v>3.0871523989683303E-3</v>
      </c>
      <c r="AD50" s="5"/>
      <c r="AE50" s="5"/>
    </row>
    <row r="51" spans="1:31" x14ac:dyDescent="0.2">
      <c r="A51" s="9" t="s">
        <v>47</v>
      </c>
      <c r="B51" s="9">
        <f>300+497</f>
        <v>797</v>
      </c>
      <c r="C51" s="10">
        <f t="shared" si="23"/>
        <v>3.2823622695875377E-3</v>
      </c>
      <c r="D51" s="9">
        <v>1192</v>
      </c>
      <c r="E51" s="10">
        <f t="shared" si="19"/>
        <v>5.1501973839071192E-3</v>
      </c>
      <c r="F51" s="9">
        <v>460</v>
      </c>
      <c r="G51" s="10">
        <f t="shared" si="3"/>
        <v>1.4943279857615231E-3</v>
      </c>
      <c r="H51" s="9">
        <v>300</v>
      </c>
      <c r="I51" s="10">
        <f t="shared" si="4"/>
        <v>9.0491530083275742E-4</v>
      </c>
      <c r="J51" s="9">
        <v>300</v>
      </c>
      <c r="K51" s="10">
        <f t="shared" si="5"/>
        <v>1.0247079283531048E-3</v>
      </c>
      <c r="L51" s="9">
        <v>300</v>
      </c>
      <c r="M51" s="10">
        <f t="shared" si="20"/>
        <v>1.1107338729772146E-3</v>
      </c>
      <c r="N51" s="9">
        <v>300</v>
      </c>
      <c r="O51" s="17">
        <f t="shared" si="7"/>
        <v>1.1461998546160104E-3</v>
      </c>
      <c r="P51" s="9">
        <v>300</v>
      </c>
      <c r="Q51" s="17">
        <f t="shared" si="8"/>
        <v>1.0856448189211392E-3</v>
      </c>
      <c r="R51" s="9">
        <v>300</v>
      </c>
      <c r="S51" s="10">
        <f t="shared" si="9"/>
        <v>9.8474628012092677E-4</v>
      </c>
      <c r="T51" s="9">
        <v>300</v>
      </c>
      <c r="U51" s="10">
        <f t="shared" si="10"/>
        <v>1.0113474191779182E-3</v>
      </c>
      <c r="V51" s="9">
        <v>300</v>
      </c>
      <c r="W51" s="10">
        <f t="shared" si="11"/>
        <v>1.0254665385653866E-3</v>
      </c>
      <c r="X51" s="9">
        <v>300</v>
      </c>
      <c r="Y51" s="10">
        <f t="shared" si="12"/>
        <v>1.0372839259785893E-3</v>
      </c>
      <c r="Z51" s="11">
        <f t="shared" si="24"/>
        <v>429.08333333333331</v>
      </c>
      <c r="AA51" s="10">
        <f t="shared" si="13"/>
        <v>1.5154871499301577E-3</v>
      </c>
      <c r="AB51" s="12">
        <f t="shared" si="26"/>
        <v>5149</v>
      </c>
      <c r="AC51" s="122">
        <f t="shared" si="21"/>
        <v>1.5154871499301575E-3</v>
      </c>
      <c r="AD51" s="5"/>
      <c r="AE51" s="5"/>
    </row>
    <row r="52" spans="1:31" x14ac:dyDescent="0.2">
      <c r="A52" s="9" t="s">
        <v>48</v>
      </c>
      <c r="B52" s="9">
        <v>2912.01</v>
      </c>
      <c r="C52" s="10">
        <f t="shared" si="23"/>
        <v>1.1992812738596747E-2</v>
      </c>
      <c r="D52" s="9">
        <v>2912.01</v>
      </c>
      <c r="E52" s="10">
        <f t="shared" si="19"/>
        <v>1.2581733459657192E-2</v>
      </c>
      <c r="F52" s="9">
        <f>1260+589.01+360+399+849.5+304+39</f>
        <v>3800.51</v>
      </c>
      <c r="G52" s="10">
        <f t="shared" si="3"/>
        <v>1.2346105332970711E-2</v>
      </c>
      <c r="H52" s="9">
        <v>5224.9399999999996</v>
      </c>
      <c r="I52" s="10">
        <f t="shared" si="4"/>
        <v>1.5760427173110356E-2</v>
      </c>
      <c r="J52" s="9">
        <f>643.5+399+360+589.01+1317.78+39</f>
        <v>3348.29</v>
      </c>
      <c r="K52" s="10">
        <f t="shared" si="5"/>
        <v>1.1436731031418058E-2</v>
      </c>
      <c r="L52" s="9">
        <f>399+360+589.01+39+1468.13</f>
        <v>2855.1400000000003</v>
      </c>
      <c r="M52" s="10">
        <f t="shared" si="20"/>
        <v>1.0571002366973885E-2</v>
      </c>
      <c r="N52" s="9">
        <v>2500</v>
      </c>
      <c r="O52" s="17">
        <f t="shared" si="7"/>
        <v>9.5516654551334214E-3</v>
      </c>
      <c r="P52" s="9">
        <v>2500</v>
      </c>
      <c r="Q52" s="17">
        <f t="shared" si="8"/>
        <v>9.0470401576761596E-3</v>
      </c>
      <c r="R52" s="9">
        <v>2500</v>
      </c>
      <c r="S52" s="10">
        <f t="shared" si="9"/>
        <v>8.2062190010077241E-3</v>
      </c>
      <c r="T52" s="9">
        <v>2500</v>
      </c>
      <c r="U52" s="10">
        <f t="shared" si="10"/>
        <v>8.4278951598159863E-3</v>
      </c>
      <c r="V52" s="9">
        <v>2500</v>
      </c>
      <c r="W52" s="10">
        <f t="shared" si="11"/>
        <v>8.5455544880448878E-3</v>
      </c>
      <c r="X52" s="9">
        <v>2500</v>
      </c>
      <c r="Y52" s="10">
        <f t="shared" si="12"/>
        <v>8.6440327164882431E-3</v>
      </c>
      <c r="Z52" s="11">
        <f t="shared" si="24"/>
        <v>3004.4083333333333</v>
      </c>
      <c r="AA52" s="10">
        <f t="shared" si="13"/>
        <v>1.0611323881863853E-2</v>
      </c>
      <c r="AB52" s="12">
        <f>L52+N52+P52+R52+T52+V52+X52+J52+H52+F52+D52+B52</f>
        <v>36052.9</v>
      </c>
      <c r="AC52" s="122">
        <f t="shared" si="21"/>
        <v>1.0611323881863853E-2</v>
      </c>
      <c r="AD52" s="5"/>
      <c r="AE52" s="5"/>
    </row>
    <row r="53" spans="1:31" x14ac:dyDescent="0.2">
      <c r="A53" s="9" t="s">
        <v>49</v>
      </c>
      <c r="B53" s="9">
        <v>482.45</v>
      </c>
      <c r="C53" s="10">
        <f t="shared" si="23"/>
        <v>1.9869205482591062E-3</v>
      </c>
      <c r="D53" s="9">
        <v>483.27</v>
      </c>
      <c r="E53" s="10">
        <f t="shared" si="19"/>
        <v>2.0880334645308669E-3</v>
      </c>
      <c r="F53" s="9">
        <v>482.45</v>
      </c>
      <c r="G53" s="10">
        <f t="shared" si="3"/>
        <v>1.5672576885448844E-3</v>
      </c>
      <c r="H53" s="9">
        <v>415.45</v>
      </c>
      <c r="I53" s="10">
        <f t="shared" si="4"/>
        <v>1.2531568724365634E-3</v>
      </c>
      <c r="J53" s="9">
        <f>39.99+279.83+43.47+122.64</f>
        <v>485.92999999999995</v>
      </c>
      <c r="K53" s="10">
        <f t="shared" si="5"/>
        <v>1.6597877454154141E-3</v>
      </c>
      <c r="L53" s="9">
        <v>812.1</v>
      </c>
      <c r="M53" s="10">
        <f t="shared" si="20"/>
        <v>3.0067565941493202E-3</v>
      </c>
      <c r="N53" s="9">
        <v>416.61</v>
      </c>
      <c r="O53" s="17">
        <f t="shared" si="7"/>
        <v>1.5917277381052538E-3</v>
      </c>
      <c r="P53" s="9">
        <v>415.78</v>
      </c>
      <c r="Q53" s="17">
        <f t="shared" si="8"/>
        <v>1.5046313427034372E-3</v>
      </c>
      <c r="R53" s="9">
        <v>457.46</v>
      </c>
      <c r="S53" s="10">
        <f t="shared" si="9"/>
        <v>1.5016067776803972E-3</v>
      </c>
      <c r="T53" s="9">
        <v>482.38</v>
      </c>
      <c r="U53" s="10">
        <f t="shared" si="10"/>
        <v>1.6261792268768139E-3</v>
      </c>
      <c r="V53" s="9">
        <v>590</v>
      </c>
      <c r="W53" s="10">
        <f t="shared" si="11"/>
        <v>2.0167508591785936E-3</v>
      </c>
      <c r="X53" s="9">
        <v>590</v>
      </c>
      <c r="Y53" s="10">
        <f t="shared" si="12"/>
        <v>2.0399917210912255E-3</v>
      </c>
      <c r="Z53" s="11">
        <f t="shared" si="24"/>
        <v>509.49</v>
      </c>
      <c r="AA53" s="10">
        <f t="shared" si="13"/>
        <v>1.7994769035181574E-3</v>
      </c>
      <c r="AB53" s="12">
        <f t="shared" si="26"/>
        <v>6113.88</v>
      </c>
      <c r="AC53" s="122">
        <f t="shared" si="21"/>
        <v>1.7994769035181574E-3</v>
      </c>
      <c r="AD53" s="5"/>
      <c r="AE53" s="5"/>
    </row>
    <row r="54" spans="1:31" x14ac:dyDescent="0.2">
      <c r="A54" s="9" t="s">
        <v>50</v>
      </c>
      <c r="B54" s="9">
        <v>203.62</v>
      </c>
      <c r="C54" s="10">
        <f t="shared" si="23"/>
        <v>8.3858796152247732E-4</v>
      </c>
      <c r="D54" s="9">
        <v>212.88</v>
      </c>
      <c r="E54" s="10">
        <f t="shared" si="19"/>
        <v>9.197768616494526E-4</v>
      </c>
      <c r="F54" s="9">
        <v>208.48</v>
      </c>
      <c r="G54" s="10">
        <f t="shared" si="3"/>
        <v>6.7725543145991812E-4</v>
      </c>
      <c r="H54" s="9">
        <v>279.83</v>
      </c>
      <c r="I54" s="10">
        <f t="shared" si="4"/>
        <v>8.4407482877343497E-4</v>
      </c>
      <c r="J54" s="9">
        <v>219.58</v>
      </c>
      <c r="K54" s="10">
        <f t="shared" si="5"/>
        <v>7.5001788969258259E-4</v>
      </c>
      <c r="L54" s="9">
        <v>223.48</v>
      </c>
      <c r="M54" s="10">
        <f t="shared" si="20"/>
        <v>8.2742268644315977E-4</v>
      </c>
      <c r="N54" s="9">
        <v>210</v>
      </c>
      <c r="O54" s="17">
        <f t="shared" si="7"/>
        <v>8.023398982312073E-4</v>
      </c>
      <c r="P54" s="9">
        <v>210</v>
      </c>
      <c r="Q54" s="17">
        <f t="shared" si="8"/>
        <v>7.599513732447974E-4</v>
      </c>
      <c r="R54" s="9">
        <v>210</v>
      </c>
      <c r="S54" s="10">
        <f t="shared" si="9"/>
        <v>6.8932239608464883E-4</v>
      </c>
      <c r="T54" s="9">
        <v>210</v>
      </c>
      <c r="U54" s="10">
        <f t="shared" si="10"/>
        <v>7.0794319342454282E-4</v>
      </c>
      <c r="V54" s="9">
        <v>210</v>
      </c>
      <c r="W54" s="10">
        <f t="shared" si="11"/>
        <v>7.1782657699577057E-4</v>
      </c>
      <c r="X54" s="9">
        <v>210</v>
      </c>
      <c r="Y54" s="10">
        <f t="shared" si="12"/>
        <v>7.2609874818501253E-4</v>
      </c>
      <c r="Z54" s="11">
        <f t="shared" si="24"/>
        <v>217.32249999999999</v>
      </c>
      <c r="AA54" s="10">
        <f t="shared" si="13"/>
        <v>7.6756525027934749E-4</v>
      </c>
      <c r="AB54" s="12">
        <f t="shared" si="26"/>
        <v>2607.87</v>
      </c>
      <c r="AC54" s="122">
        <f t="shared" si="21"/>
        <v>7.6756525027934738E-4</v>
      </c>
      <c r="AD54" s="5"/>
      <c r="AE54" s="5"/>
    </row>
    <row r="55" spans="1:31" x14ac:dyDescent="0.2">
      <c r="A55" s="9" t="s">
        <v>51</v>
      </c>
      <c r="B55" s="9">
        <v>1194.76</v>
      </c>
      <c r="C55" s="10">
        <f t="shared" si="23"/>
        <v>4.9204957907307487E-3</v>
      </c>
      <c r="D55" s="9">
        <v>699.52</v>
      </c>
      <c r="E55" s="10">
        <f t="shared" si="19"/>
        <v>3.0223708674418691E-3</v>
      </c>
      <c r="F55" s="9">
        <v>100.9</v>
      </c>
      <c r="G55" s="10">
        <f t="shared" si="3"/>
        <v>3.2777759513769066E-4</v>
      </c>
      <c r="H55" s="9">
        <v>407.08</v>
      </c>
      <c r="I55" s="10">
        <f t="shared" si="4"/>
        <v>1.2279097355433295E-3</v>
      </c>
      <c r="J55" s="9">
        <v>49.71</v>
      </c>
      <c r="K55" s="10">
        <f t="shared" si="5"/>
        <v>1.6979410372810948E-4</v>
      </c>
      <c r="L55" s="9">
        <v>597.1</v>
      </c>
      <c r="M55" s="10">
        <f t="shared" si="20"/>
        <v>2.2107306518489829E-3</v>
      </c>
      <c r="N55" s="9">
        <f>L55</f>
        <v>597.1</v>
      </c>
      <c r="O55" s="17">
        <f t="shared" si="7"/>
        <v>2.2813197773040661E-3</v>
      </c>
      <c r="P55" s="9">
        <f>N55</f>
        <v>597.1</v>
      </c>
      <c r="Q55" s="10">
        <f t="shared" si="8"/>
        <v>2.1607950712593739E-3</v>
      </c>
      <c r="R55" s="9">
        <f>P55</f>
        <v>597.1</v>
      </c>
      <c r="S55" s="10">
        <f t="shared" si="9"/>
        <v>1.9599733462006847E-3</v>
      </c>
      <c r="T55" s="9">
        <f>R55</f>
        <v>597.1</v>
      </c>
      <c r="U55" s="10">
        <f t="shared" si="10"/>
        <v>2.0129184799704499E-3</v>
      </c>
      <c r="V55" s="9">
        <f>T55</f>
        <v>597.1</v>
      </c>
      <c r="W55" s="10">
        <f t="shared" si="11"/>
        <v>2.0410202339246411E-3</v>
      </c>
      <c r="X55" s="9">
        <f>V55</f>
        <v>597.1</v>
      </c>
      <c r="Y55" s="10">
        <f t="shared" si="12"/>
        <v>2.0645407740060521E-3</v>
      </c>
      <c r="Z55" s="11">
        <f t="shared" si="24"/>
        <v>552.63916666666682</v>
      </c>
      <c r="AA55" s="10">
        <f t="shared" si="13"/>
        <v>1.9518762220969764E-3</v>
      </c>
      <c r="AB55" s="12">
        <f t="shared" si="26"/>
        <v>6631.67</v>
      </c>
      <c r="AC55" s="122">
        <f t="shared" si="21"/>
        <v>1.9518762220969758E-3</v>
      </c>
      <c r="AD55" s="5"/>
      <c r="AE55" s="5"/>
    </row>
    <row r="56" spans="1:31" x14ac:dyDescent="0.2">
      <c r="A56" s="9" t="s">
        <v>52</v>
      </c>
      <c r="B56" s="9"/>
      <c r="C56" s="10">
        <f t="shared" si="23"/>
        <v>0</v>
      </c>
      <c r="D56" s="9"/>
      <c r="E56" s="10">
        <f t="shared" si="19"/>
        <v>0</v>
      </c>
      <c r="F56" s="9">
        <v>139.57</v>
      </c>
      <c r="G56" s="10">
        <f t="shared" si="3"/>
        <v>4.5339860211464301E-4</v>
      </c>
      <c r="H56" s="9">
        <v>379.86</v>
      </c>
      <c r="I56" s="10">
        <f t="shared" si="4"/>
        <v>1.1458037539144375E-3</v>
      </c>
      <c r="J56" s="9"/>
      <c r="K56" s="10">
        <f t="shared" si="5"/>
        <v>0</v>
      </c>
      <c r="L56" s="9"/>
      <c r="M56" s="10">
        <f t="shared" si="20"/>
        <v>0</v>
      </c>
      <c r="N56" s="9"/>
      <c r="O56" s="17">
        <f t="shared" si="7"/>
        <v>0</v>
      </c>
      <c r="P56" s="9">
        <v>359.86</v>
      </c>
      <c r="Q56" s="10">
        <f t="shared" si="8"/>
        <v>1.3022671484565372E-3</v>
      </c>
      <c r="R56" s="9"/>
      <c r="S56" s="10">
        <f t="shared" si="9"/>
        <v>0</v>
      </c>
      <c r="T56" s="9"/>
      <c r="U56" s="10">
        <f t="shared" si="10"/>
        <v>0</v>
      </c>
      <c r="V56" s="9"/>
      <c r="W56" s="10">
        <f t="shared" si="11"/>
        <v>0</v>
      </c>
      <c r="X56" s="9"/>
      <c r="Y56" s="10">
        <f t="shared" si="12"/>
        <v>0</v>
      </c>
      <c r="Z56" s="11">
        <f t="shared" si="24"/>
        <v>73.274166666666673</v>
      </c>
      <c r="AA56" s="10">
        <f t="shared" si="13"/>
        <v>2.5879834842922674E-4</v>
      </c>
      <c r="AB56" s="12">
        <f t="shared" si="26"/>
        <v>879.29</v>
      </c>
      <c r="AC56" s="122">
        <f t="shared" si="21"/>
        <v>2.5879834842922669E-4</v>
      </c>
      <c r="AD56" s="5"/>
      <c r="AE56" s="5"/>
    </row>
    <row r="57" spans="1:31" x14ac:dyDescent="0.2">
      <c r="A57" s="9" t="s">
        <v>107</v>
      </c>
      <c r="B57" s="9">
        <v>360</v>
      </c>
      <c r="C57" s="10">
        <f t="shared" si="23"/>
        <v>1.4826228570282479E-3</v>
      </c>
      <c r="D57" s="9">
        <v>880</v>
      </c>
      <c r="E57" s="10">
        <f t="shared" si="19"/>
        <v>3.8021591424817658E-3</v>
      </c>
      <c r="F57" s="9">
        <v>580</v>
      </c>
      <c r="G57" s="10">
        <f t="shared" si="3"/>
        <v>1.8841526776993119E-3</v>
      </c>
      <c r="H57" s="9">
        <v>920</v>
      </c>
      <c r="I57" s="10">
        <f t="shared" si="4"/>
        <v>2.7750735892204561E-3</v>
      </c>
      <c r="J57" s="9">
        <v>700</v>
      </c>
      <c r="K57" s="10">
        <f t="shared" si="5"/>
        <v>2.3909851661572446E-3</v>
      </c>
      <c r="L57" s="9">
        <v>320</v>
      </c>
      <c r="M57" s="10">
        <f t="shared" si="20"/>
        <v>1.1847827978423624E-3</v>
      </c>
      <c r="N57" s="9">
        <v>750</v>
      </c>
      <c r="O57" s="10">
        <f t="shared" si="7"/>
        <v>2.8654996365400261E-3</v>
      </c>
      <c r="P57" s="9">
        <v>750</v>
      </c>
      <c r="Q57" s="10">
        <f t="shared" si="8"/>
        <v>2.7141120473028477E-3</v>
      </c>
      <c r="R57" s="9">
        <f>P57</f>
        <v>750</v>
      </c>
      <c r="S57" s="10">
        <f t="shared" si="9"/>
        <v>2.4618657003023172E-3</v>
      </c>
      <c r="T57" s="9">
        <v>750</v>
      </c>
      <c r="U57" s="10">
        <f t="shared" si="10"/>
        <v>2.5283685479447955E-3</v>
      </c>
      <c r="V57" s="9">
        <v>750</v>
      </c>
      <c r="W57" s="10">
        <f t="shared" si="11"/>
        <v>2.5636663464134665E-3</v>
      </c>
      <c r="X57" s="9">
        <v>750</v>
      </c>
      <c r="Y57" s="10">
        <f t="shared" si="12"/>
        <v>2.5932098149464731E-3</v>
      </c>
      <c r="Z57" s="11">
        <f t="shared" si="24"/>
        <v>688.33333333333337</v>
      </c>
      <c r="AA57" s="10">
        <f t="shared" si="13"/>
        <v>2.4311368922942519E-3</v>
      </c>
      <c r="AB57" s="12">
        <f t="shared" si="26"/>
        <v>8260</v>
      </c>
      <c r="AC57" s="122">
        <f t="shared" si="21"/>
        <v>2.4311368922942515E-3</v>
      </c>
      <c r="AD57" s="5"/>
      <c r="AE57" s="5"/>
    </row>
    <row r="58" spans="1:31" x14ac:dyDescent="0.2">
      <c r="A58" s="9" t="s">
        <v>53</v>
      </c>
      <c r="B58" s="9">
        <v>136.94999999999999</v>
      </c>
      <c r="C58" s="10">
        <f t="shared" si="23"/>
        <v>5.640144451944959E-4</v>
      </c>
      <c r="D58" s="9">
        <v>82.4</v>
      </c>
      <c r="E58" s="10">
        <f t="shared" si="19"/>
        <v>3.5602035606874721E-4</v>
      </c>
      <c r="F58" s="9">
        <v>420.02</v>
      </c>
      <c r="G58" s="10">
        <f t="shared" si="3"/>
        <v>1.3644513925642498E-3</v>
      </c>
      <c r="H58" s="9">
        <v>149.57</v>
      </c>
      <c r="I58" s="10">
        <f t="shared" si="4"/>
        <v>4.5116060515185174E-4</v>
      </c>
      <c r="J58" s="9"/>
      <c r="K58" s="10">
        <f t="shared" si="5"/>
        <v>0</v>
      </c>
      <c r="L58" s="9">
        <v>299</v>
      </c>
      <c r="M58" s="10">
        <f t="shared" si="20"/>
        <v>1.1070314267339573E-3</v>
      </c>
      <c r="N58" s="9">
        <v>300</v>
      </c>
      <c r="O58" s="10">
        <f t="shared" si="7"/>
        <v>1.1461998546160104E-3</v>
      </c>
      <c r="P58" s="9"/>
      <c r="Q58" s="10">
        <f t="shared" si="8"/>
        <v>0</v>
      </c>
      <c r="R58" s="9"/>
      <c r="S58" s="10">
        <f t="shared" si="9"/>
        <v>0</v>
      </c>
      <c r="T58" s="9">
        <v>300</v>
      </c>
      <c r="U58" s="10">
        <f t="shared" si="10"/>
        <v>1.0113474191779182E-3</v>
      </c>
      <c r="V58" s="9"/>
      <c r="W58" s="10">
        <f t="shared" si="11"/>
        <v>0</v>
      </c>
      <c r="X58" s="9"/>
      <c r="Y58" s="10">
        <f t="shared" si="12"/>
        <v>0</v>
      </c>
      <c r="Z58" s="11">
        <f t="shared" si="24"/>
        <v>140.66166666666666</v>
      </c>
      <c r="AA58" s="10">
        <f t="shared" si="13"/>
        <v>4.9680547287883289E-4</v>
      </c>
      <c r="AB58" s="12">
        <f t="shared" si="26"/>
        <v>1687.94</v>
      </c>
      <c r="AC58" s="122">
        <f t="shared" si="21"/>
        <v>4.9680547287883289E-4</v>
      </c>
      <c r="AD58" s="5"/>
      <c r="AE58" s="5"/>
    </row>
    <row r="59" spans="1:31" x14ac:dyDescent="0.2">
      <c r="A59" s="9" t="s">
        <v>54</v>
      </c>
      <c r="B59" s="9"/>
      <c r="C59" s="10">
        <f t="shared" si="23"/>
        <v>0</v>
      </c>
      <c r="D59" s="9">
        <f>B59</f>
        <v>0</v>
      </c>
      <c r="E59" s="10">
        <f t="shared" si="19"/>
        <v>0</v>
      </c>
      <c r="F59" s="9"/>
      <c r="G59" s="10">
        <f t="shared" si="3"/>
        <v>0</v>
      </c>
      <c r="H59" s="9">
        <f>F59</f>
        <v>0</v>
      </c>
      <c r="I59" s="10">
        <f t="shared" si="4"/>
        <v>0</v>
      </c>
      <c r="J59" s="9">
        <v>53</v>
      </c>
      <c r="K59" s="10">
        <f t="shared" si="5"/>
        <v>1.8103173400904854E-4</v>
      </c>
      <c r="L59" s="9">
        <v>446.36</v>
      </c>
      <c r="M59" s="10">
        <f t="shared" si="20"/>
        <v>1.6526239051403652E-3</v>
      </c>
      <c r="N59" s="9">
        <f>L59</f>
        <v>446.36</v>
      </c>
      <c r="O59" s="10">
        <f t="shared" si="7"/>
        <v>1.7053925570213416E-3</v>
      </c>
      <c r="P59" s="9">
        <f>N59</f>
        <v>446.36</v>
      </c>
      <c r="Q59" s="10">
        <f t="shared" si="8"/>
        <v>1.6152947379121322E-3</v>
      </c>
      <c r="R59" s="9">
        <f>P59</f>
        <v>446.36</v>
      </c>
      <c r="S59" s="10">
        <f t="shared" si="9"/>
        <v>1.465171165315923E-3</v>
      </c>
      <c r="T59" s="9">
        <f>R59</f>
        <v>446.36</v>
      </c>
      <c r="U59" s="10">
        <f t="shared" si="10"/>
        <v>1.5047501134141854E-3</v>
      </c>
      <c r="V59" s="9">
        <f>T59</f>
        <v>446.36</v>
      </c>
      <c r="W59" s="10">
        <f t="shared" si="11"/>
        <v>1.5257574805134866E-3</v>
      </c>
      <c r="X59" s="9">
        <f>V59</f>
        <v>446.36</v>
      </c>
      <c r="Y59" s="10">
        <f t="shared" si="12"/>
        <v>1.543340177332677E-3</v>
      </c>
      <c r="Z59" s="11">
        <f t="shared" si="24"/>
        <v>264.79333333333335</v>
      </c>
      <c r="AA59" s="10">
        <f t="shared" si="13"/>
        <v>9.3522834116257039E-4</v>
      </c>
      <c r="AB59" s="12">
        <f t="shared" si="26"/>
        <v>3177.5200000000004</v>
      </c>
      <c r="AC59" s="122">
        <f t="shared" si="21"/>
        <v>9.3522834116257039E-4</v>
      </c>
      <c r="AD59" s="5"/>
      <c r="AE59" s="5"/>
    </row>
    <row r="60" spans="1:31" x14ac:dyDescent="0.2">
      <c r="A60" s="9" t="s">
        <v>55</v>
      </c>
      <c r="B60" s="9">
        <v>110.05</v>
      </c>
      <c r="C60" s="10">
        <f t="shared" si="23"/>
        <v>4.5322957059988519E-4</v>
      </c>
      <c r="D60" s="9">
        <v>253.25</v>
      </c>
      <c r="E60" s="10">
        <f t="shared" si="19"/>
        <v>1.0942009123108038E-3</v>
      </c>
      <c r="F60" s="9">
        <v>525.11</v>
      </c>
      <c r="G60" s="10">
        <f t="shared" si="3"/>
        <v>1.7058403665287684E-3</v>
      </c>
      <c r="H60" s="9">
        <f>251.88+110.99</f>
        <v>362.87</v>
      </c>
      <c r="I60" s="10">
        <f t="shared" si="4"/>
        <v>1.0945553840439421E-3</v>
      </c>
      <c r="J60" s="9">
        <f>228.87+272.31</f>
        <v>501.18</v>
      </c>
      <c r="K60" s="10">
        <f t="shared" si="5"/>
        <v>1.711877065106697E-3</v>
      </c>
      <c r="L60" s="9">
        <v>385.25</v>
      </c>
      <c r="M60" s="10">
        <f t="shared" si="20"/>
        <v>1.4263674152149065E-3</v>
      </c>
      <c r="N60" s="9">
        <f t="shared" ref="D60:R63" si="27">L60</f>
        <v>385.25</v>
      </c>
      <c r="O60" s="10">
        <f t="shared" si="7"/>
        <v>1.47191164663606E-3</v>
      </c>
      <c r="P60" s="9">
        <f t="shared" si="27"/>
        <v>385.25</v>
      </c>
      <c r="Q60" s="10">
        <f t="shared" si="8"/>
        <v>1.3941488882978962E-3</v>
      </c>
      <c r="R60" s="9">
        <f t="shared" si="27"/>
        <v>385.25</v>
      </c>
      <c r="S60" s="10">
        <f t="shared" si="9"/>
        <v>1.2645783480552902E-3</v>
      </c>
      <c r="T60" s="9">
        <f t="shared" ref="T60:X63" si="28">R60</f>
        <v>385.25</v>
      </c>
      <c r="U60" s="10">
        <f t="shared" si="10"/>
        <v>1.2987386441276434E-3</v>
      </c>
      <c r="V60" s="9">
        <f t="shared" si="28"/>
        <v>385.25</v>
      </c>
      <c r="W60" s="10">
        <f t="shared" si="11"/>
        <v>1.3168699466077174E-3</v>
      </c>
      <c r="X60" s="9">
        <f t="shared" si="28"/>
        <v>385.25</v>
      </c>
      <c r="Y60" s="10">
        <f t="shared" si="12"/>
        <v>1.3320454416108384E-3</v>
      </c>
      <c r="Z60" s="11">
        <f t="shared" si="24"/>
        <v>370.76749999999998</v>
      </c>
      <c r="AA60" s="10">
        <f t="shared" si="13"/>
        <v>1.3095204083007879E-3</v>
      </c>
      <c r="AB60" s="12">
        <f t="shared" si="26"/>
        <v>4449.21</v>
      </c>
      <c r="AC60" s="122">
        <f t="shared" si="21"/>
        <v>1.3095204083007879E-3</v>
      </c>
      <c r="AD60" s="5"/>
      <c r="AE60" s="5"/>
    </row>
    <row r="61" spans="1:31" x14ac:dyDescent="0.2">
      <c r="A61" s="9" t="s">
        <v>56</v>
      </c>
      <c r="B61" s="9"/>
      <c r="C61" s="10">
        <f t="shared" si="23"/>
        <v>0</v>
      </c>
      <c r="D61" s="9">
        <v>18</v>
      </c>
      <c r="E61" s="10">
        <f t="shared" si="19"/>
        <v>7.777143700530885E-5</v>
      </c>
      <c r="F61" s="9"/>
      <c r="G61" s="10">
        <f t="shared" si="3"/>
        <v>0</v>
      </c>
      <c r="H61" s="9">
        <f t="shared" si="27"/>
        <v>0</v>
      </c>
      <c r="I61" s="10">
        <f t="shared" si="4"/>
        <v>0</v>
      </c>
      <c r="J61" s="9">
        <f>48</f>
        <v>48</v>
      </c>
      <c r="K61" s="10">
        <f t="shared" si="5"/>
        <v>1.6395326853649677E-4</v>
      </c>
      <c r="L61" s="9">
        <v>80</v>
      </c>
      <c r="M61" s="10">
        <f t="shared" si="20"/>
        <v>2.961956994605906E-4</v>
      </c>
      <c r="N61" s="9">
        <f t="shared" si="27"/>
        <v>80</v>
      </c>
      <c r="O61" s="10">
        <f t="shared" si="7"/>
        <v>3.0565329456426948E-4</v>
      </c>
      <c r="P61" s="9">
        <f t="shared" si="27"/>
        <v>80</v>
      </c>
      <c r="Q61" s="10">
        <f t="shared" si="8"/>
        <v>2.8950528504563712E-4</v>
      </c>
      <c r="R61" s="9">
        <f t="shared" si="27"/>
        <v>80</v>
      </c>
      <c r="S61" s="10">
        <f t="shared" si="9"/>
        <v>2.6259900803224715E-4</v>
      </c>
      <c r="T61" s="9">
        <f t="shared" si="28"/>
        <v>80</v>
      </c>
      <c r="U61" s="10">
        <f t="shared" si="10"/>
        <v>2.6969264511411152E-4</v>
      </c>
      <c r="V61" s="9">
        <f t="shared" si="28"/>
        <v>80</v>
      </c>
      <c r="W61" s="10">
        <f t="shared" si="11"/>
        <v>2.7345774361743641E-4</v>
      </c>
      <c r="X61" s="9">
        <f t="shared" si="28"/>
        <v>80</v>
      </c>
      <c r="Y61" s="10">
        <f t="shared" si="12"/>
        <v>2.7660904692762382E-4</v>
      </c>
      <c r="Z61" s="11">
        <f t="shared" si="24"/>
        <v>52.166666666666664</v>
      </c>
      <c r="AA61" s="10">
        <f t="shared" si="13"/>
        <v>1.8424838917387428E-4</v>
      </c>
      <c r="AB61" s="12">
        <f t="shared" si="26"/>
        <v>626</v>
      </c>
      <c r="AC61" s="122">
        <f t="shared" si="21"/>
        <v>1.8424838917387428E-4</v>
      </c>
      <c r="AD61" s="5"/>
      <c r="AE61" s="5"/>
    </row>
    <row r="62" spans="1:31" x14ac:dyDescent="0.2">
      <c r="A62" s="9" t="s">
        <v>57</v>
      </c>
      <c r="B62" s="9"/>
      <c r="C62" s="10">
        <f t="shared" si="23"/>
        <v>0</v>
      </c>
      <c r="D62" s="9">
        <f t="shared" si="27"/>
        <v>0</v>
      </c>
      <c r="E62" s="10">
        <f t="shared" si="19"/>
        <v>0</v>
      </c>
      <c r="F62" s="9"/>
      <c r="G62" s="10">
        <f t="shared" si="3"/>
        <v>0</v>
      </c>
      <c r="H62" s="9">
        <f t="shared" si="27"/>
        <v>0</v>
      </c>
      <c r="I62" s="10">
        <f t="shared" si="4"/>
        <v>0</v>
      </c>
      <c r="J62" s="9">
        <f t="shared" si="27"/>
        <v>0</v>
      </c>
      <c r="K62" s="10">
        <f t="shared" si="5"/>
        <v>0</v>
      </c>
      <c r="L62" s="9">
        <v>547.22</v>
      </c>
      <c r="M62" s="10">
        <f t="shared" si="20"/>
        <v>2.0260526332353049E-3</v>
      </c>
      <c r="N62" s="9">
        <f t="shared" si="27"/>
        <v>547.22</v>
      </c>
      <c r="O62" s="10">
        <f t="shared" si="7"/>
        <v>2.0907449481432443E-3</v>
      </c>
      <c r="P62" s="9">
        <f t="shared" si="27"/>
        <v>547.22</v>
      </c>
      <c r="Q62" s="10">
        <f t="shared" si="8"/>
        <v>1.9802885260334193E-3</v>
      </c>
      <c r="R62" s="9">
        <f t="shared" si="27"/>
        <v>547.22</v>
      </c>
      <c r="S62" s="10">
        <f t="shared" si="9"/>
        <v>1.7962428646925788E-3</v>
      </c>
      <c r="T62" s="9">
        <f t="shared" si="28"/>
        <v>547.22</v>
      </c>
      <c r="U62" s="10">
        <f t="shared" si="10"/>
        <v>1.8447651157418015E-3</v>
      </c>
      <c r="V62" s="9">
        <f t="shared" si="28"/>
        <v>547.22</v>
      </c>
      <c r="W62" s="10">
        <f t="shared" si="11"/>
        <v>1.8705193307791696E-3</v>
      </c>
      <c r="X62" s="9">
        <f t="shared" si="28"/>
        <v>547.22</v>
      </c>
      <c r="Y62" s="10">
        <f t="shared" si="12"/>
        <v>1.8920750332466789E-3</v>
      </c>
      <c r="Z62" s="11">
        <f t="shared" si="24"/>
        <v>319.21166666666676</v>
      </c>
      <c r="AA62" s="10">
        <f t="shared" si="13"/>
        <v>1.1274294323739499E-3</v>
      </c>
      <c r="AB62" s="12">
        <f t="shared" si="26"/>
        <v>3830.5400000000009</v>
      </c>
      <c r="AC62" s="122">
        <f t="shared" si="21"/>
        <v>1.1274294323739497E-3</v>
      </c>
      <c r="AD62" s="5"/>
      <c r="AE62" s="5"/>
    </row>
    <row r="63" spans="1:31" x14ac:dyDescent="0.2">
      <c r="A63" s="5" t="s">
        <v>58</v>
      </c>
      <c r="B63" s="9">
        <v>248.01</v>
      </c>
      <c r="C63" s="10">
        <f t="shared" si="23"/>
        <v>1.0214035965877104E-3</v>
      </c>
      <c r="D63" s="9">
        <v>31.2</v>
      </c>
      <c r="E63" s="10">
        <f t="shared" si="19"/>
        <v>1.3480382414253535E-4</v>
      </c>
      <c r="F63" s="9">
        <v>12.5</v>
      </c>
      <c r="G63" s="10">
        <f t="shared" si="3"/>
        <v>4.0606738743519656E-5</v>
      </c>
      <c r="H63" s="9">
        <v>38.590000000000003</v>
      </c>
      <c r="I63" s="10">
        <f t="shared" si="4"/>
        <v>1.1640227153045369E-4</v>
      </c>
      <c r="J63" s="9">
        <v>145.36000000000001</v>
      </c>
      <c r="K63" s="10">
        <f t="shared" si="5"/>
        <v>4.965051482180245E-4</v>
      </c>
      <c r="L63" s="9">
        <v>136.86000000000001</v>
      </c>
      <c r="M63" s="10">
        <f t="shared" si="20"/>
        <v>5.0671679285220538E-4</v>
      </c>
      <c r="N63" s="15">
        <f t="shared" si="27"/>
        <v>136.86000000000001</v>
      </c>
      <c r="O63" s="10">
        <f t="shared" si="7"/>
        <v>5.2289637367582402E-4</v>
      </c>
      <c r="P63" s="9">
        <f t="shared" si="27"/>
        <v>136.86000000000001</v>
      </c>
      <c r="Q63" s="10">
        <f t="shared" si="8"/>
        <v>4.9527116639182375E-4</v>
      </c>
      <c r="R63" s="9">
        <f t="shared" si="27"/>
        <v>136.86000000000001</v>
      </c>
      <c r="S63" s="10">
        <f t="shared" si="9"/>
        <v>4.4924125299116688E-4</v>
      </c>
      <c r="T63" s="15">
        <f t="shared" si="28"/>
        <v>136.86000000000001</v>
      </c>
      <c r="U63" s="10">
        <f t="shared" si="10"/>
        <v>4.6137669262896633E-4</v>
      </c>
      <c r="V63" s="15">
        <f t="shared" si="28"/>
        <v>136.86000000000001</v>
      </c>
      <c r="W63" s="10">
        <f t="shared" si="11"/>
        <v>4.678178348935294E-4</v>
      </c>
      <c r="X63" s="15">
        <f t="shared" si="28"/>
        <v>136.86000000000001</v>
      </c>
      <c r="Y63" s="10">
        <f t="shared" si="12"/>
        <v>4.7320892703143249E-4</v>
      </c>
      <c r="Z63" s="11">
        <f t="shared" si="24"/>
        <v>119.47333333333336</v>
      </c>
      <c r="AA63" s="10">
        <f t="shared" si="13"/>
        <v>4.2197001691821111E-4</v>
      </c>
      <c r="AB63" s="12">
        <f t="shared" si="26"/>
        <v>1433.68</v>
      </c>
      <c r="AC63" s="122">
        <f t="shared" si="21"/>
        <v>4.21970016918211E-4</v>
      </c>
      <c r="AD63" s="5"/>
      <c r="AE63" s="5"/>
    </row>
    <row r="64" spans="1:31" x14ac:dyDescent="0.2">
      <c r="A64" s="15" t="s">
        <v>59</v>
      </c>
      <c r="B64" s="9"/>
      <c r="C64" s="10">
        <f t="shared" si="23"/>
        <v>0</v>
      </c>
      <c r="D64" s="9"/>
      <c r="E64" s="10">
        <f t="shared" si="19"/>
        <v>0</v>
      </c>
      <c r="F64" s="9"/>
      <c r="G64" s="10">
        <f t="shared" si="3"/>
        <v>0</v>
      </c>
      <c r="H64" s="9">
        <v>1542.83</v>
      </c>
      <c r="I64" s="10">
        <f t="shared" si="4"/>
        <v>4.6537682452793437E-3</v>
      </c>
      <c r="J64" s="9"/>
      <c r="K64" s="10">
        <f t="shared" si="5"/>
        <v>0</v>
      </c>
      <c r="L64" s="9"/>
      <c r="M64" s="10">
        <f t="shared" si="20"/>
        <v>0</v>
      </c>
      <c r="N64" s="9"/>
      <c r="O64" s="10">
        <f t="shared" si="7"/>
        <v>0</v>
      </c>
      <c r="P64" s="9">
        <v>584.4</v>
      </c>
      <c r="Q64" s="10">
        <f t="shared" si="8"/>
        <v>2.114836107258379E-3</v>
      </c>
      <c r="R64" s="9"/>
      <c r="S64" s="10">
        <f t="shared" si="9"/>
        <v>0</v>
      </c>
      <c r="T64" s="9">
        <v>880.59</v>
      </c>
      <c r="U64" s="10">
        <f t="shared" si="10"/>
        <v>2.9686080795129437E-3</v>
      </c>
      <c r="V64" s="9">
        <v>1000</v>
      </c>
      <c r="W64" s="10">
        <f t="shared" si="11"/>
        <v>3.4182217952179552E-3</v>
      </c>
      <c r="X64" s="9"/>
      <c r="Y64" s="10">
        <f t="shared" si="12"/>
        <v>0</v>
      </c>
      <c r="Z64" s="11">
        <f t="shared" si="24"/>
        <v>333.98500000000001</v>
      </c>
      <c r="AA64" s="10">
        <f t="shared" si="13"/>
        <v>1.17960763434319E-3</v>
      </c>
      <c r="AB64" s="12">
        <f t="shared" si="26"/>
        <v>4007.8199999999997</v>
      </c>
      <c r="AC64" s="122">
        <f t="shared" si="21"/>
        <v>1.1796076343431898E-3</v>
      </c>
      <c r="AD64" s="5"/>
      <c r="AE64" s="5"/>
    </row>
    <row r="65" spans="1:31" x14ac:dyDescent="0.2">
      <c r="A65" s="9" t="s">
        <v>60</v>
      </c>
      <c r="B65" s="9">
        <v>2500</v>
      </c>
      <c r="C65" s="10">
        <f t="shared" si="23"/>
        <v>1.0295992062696166E-2</v>
      </c>
      <c r="D65" s="9">
        <v>2500</v>
      </c>
      <c r="E65" s="10">
        <f t="shared" si="19"/>
        <v>1.0801588472959563E-2</v>
      </c>
      <c r="F65" s="9">
        <f>1000+1598.1</f>
        <v>2598.1</v>
      </c>
      <c r="G65" s="10">
        <f t="shared" si="3"/>
        <v>8.4400294343630732E-3</v>
      </c>
      <c r="H65" s="9">
        <v>2598.1</v>
      </c>
      <c r="I65" s="10">
        <f t="shared" si="4"/>
        <v>7.8368681436452904E-3</v>
      </c>
      <c r="J65" s="9">
        <f>1598.1+1000</f>
        <v>2598.1</v>
      </c>
      <c r="K65" s="10">
        <f t="shared" si="5"/>
        <v>8.8743122288473392E-3</v>
      </c>
      <c r="L65" s="9">
        <v>2598.1</v>
      </c>
      <c r="M65" s="10">
        <f t="shared" si="20"/>
        <v>9.6193255846070049E-3</v>
      </c>
      <c r="N65" s="9">
        <v>2500</v>
      </c>
      <c r="O65" s="10">
        <f t="shared" si="7"/>
        <v>9.5516654551334214E-3</v>
      </c>
      <c r="P65" s="9">
        <v>2500</v>
      </c>
      <c r="Q65" s="10">
        <f t="shared" si="8"/>
        <v>9.0470401576761596E-3</v>
      </c>
      <c r="R65" s="9">
        <v>2500</v>
      </c>
      <c r="S65" s="10">
        <f t="shared" si="9"/>
        <v>8.2062190010077241E-3</v>
      </c>
      <c r="T65" s="9">
        <v>2500</v>
      </c>
      <c r="U65" s="10">
        <f t="shared" si="10"/>
        <v>8.4278951598159863E-3</v>
      </c>
      <c r="V65" s="9">
        <v>2500</v>
      </c>
      <c r="W65" s="10">
        <f t="shared" si="11"/>
        <v>8.5455544880448878E-3</v>
      </c>
      <c r="X65" s="9">
        <v>2500</v>
      </c>
      <c r="Y65" s="10">
        <f t="shared" si="12"/>
        <v>8.6440327164882431E-3</v>
      </c>
      <c r="Z65" s="11">
        <f t="shared" si="24"/>
        <v>2532.7000000000003</v>
      </c>
      <c r="AA65" s="10">
        <f t="shared" si="13"/>
        <v>8.9452887270416257E-3</v>
      </c>
      <c r="AB65" s="12">
        <f t="shared" si="26"/>
        <v>30392.399999999994</v>
      </c>
      <c r="AC65" s="122">
        <f t="shared" si="21"/>
        <v>8.9452887270416222E-3</v>
      </c>
      <c r="AD65" s="5"/>
      <c r="AE65" s="5"/>
    </row>
    <row r="66" spans="1:31" x14ac:dyDescent="0.2">
      <c r="A66" s="9" t="s">
        <v>130</v>
      </c>
      <c r="B66" s="9">
        <v>485.79</v>
      </c>
      <c r="C66" s="10">
        <f t="shared" si="23"/>
        <v>2.0006759936548684E-3</v>
      </c>
      <c r="D66" s="9">
        <v>868.36</v>
      </c>
      <c r="E66" s="10">
        <f t="shared" si="19"/>
        <v>3.7518669465516664E-3</v>
      </c>
      <c r="F66" s="9">
        <v>1284.01</v>
      </c>
      <c r="G66" s="10">
        <f t="shared" si="3"/>
        <v>4.1711566891253337E-3</v>
      </c>
      <c r="H66" s="9">
        <v>687.54</v>
      </c>
      <c r="I66" s="10">
        <f t="shared" si="4"/>
        <v>2.0738848864485133E-3</v>
      </c>
      <c r="J66" s="9">
        <f>39.87+1589.4</f>
        <v>1629.27</v>
      </c>
      <c r="K66" s="10">
        <f t="shared" si="5"/>
        <v>5.5650862880928771E-3</v>
      </c>
      <c r="L66" s="9">
        <f>951.39+39.91-741.95</f>
        <v>249.34999999999991</v>
      </c>
      <c r="M66" s="10">
        <f t="shared" si="20"/>
        <v>9.2320497075622796E-4</v>
      </c>
      <c r="N66" s="9">
        <v>1200</v>
      </c>
      <c r="O66" s="10">
        <f t="shared" si="7"/>
        <v>4.5847994184640417E-3</v>
      </c>
      <c r="P66" s="9">
        <v>1200</v>
      </c>
      <c r="Q66" s="10">
        <f t="shared" si="8"/>
        <v>4.3425792756845568E-3</v>
      </c>
      <c r="R66" s="9">
        <v>1200</v>
      </c>
      <c r="S66" s="10">
        <f t="shared" si="9"/>
        <v>3.9389851204837071E-3</v>
      </c>
      <c r="T66" s="9">
        <v>1200</v>
      </c>
      <c r="U66" s="10">
        <f t="shared" si="10"/>
        <v>4.0453896767116727E-3</v>
      </c>
      <c r="V66" s="9">
        <v>1200</v>
      </c>
      <c r="W66" s="10">
        <f t="shared" si="11"/>
        <v>4.1018661542615463E-3</v>
      </c>
      <c r="X66" s="9">
        <v>1200</v>
      </c>
      <c r="Y66" s="10">
        <f t="shared" si="12"/>
        <v>4.1491357039143573E-3</v>
      </c>
      <c r="Z66" s="11">
        <f t="shared" si="24"/>
        <v>1033.6933333333334</v>
      </c>
      <c r="AA66" s="10">
        <f t="shared" si="13"/>
        <v>3.6509200939253555E-3</v>
      </c>
      <c r="AB66" s="12">
        <f t="shared" si="26"/>
        <v>12404.320000000002</v>
      </c>
      <c r="AC66" s="122">
        <f t="shared" si="21"/>
        <v>3.6509200939253555E-3</v>
      </c>
      <c r="AD66" s="5"/>
      <c r="AE66" s="5"/>
    </row>
    <row r="67" spans="1:31" x14ac:dyDescent="0.2">
      <c r="A67" s="9" t="s">
        <v>131</v>
      </c>
      <c r="B67" s="9">
        <f>300+150+150+90</f>
        <v>690</v>
      </c>
      <c r="C67" s="10">
        <f t="shared" si="23"/>
        <v>2.8416938093041417E-3</v>
      </c>
      <c r="D67" s="9">
        <v>26.1</v>
      </c>
      <c r="E67" s="10">
        <f t="shared" si="19"/>
        <v>1.1276858365769784E-4</v>
      </c>
      <c r="F67" s="9">
        <f>170+202.58+740.4</f>
        <v>1112.98</v>
      </c>
      <c r="G67" s="10">
        <f t="shared" si="3"/>
        <v>3.6155590469410001E-3</v>
      </c>
      <c r="H67" s="9">
        <v>1077.23</v>
      </c>
      <c r="I67" s="10">
        <f t="shared" si="4"/>
        <v>3.2493396983869043E-3</v>
      </c>
      <c r="J67" s="9">
        <f>679.32+150+18.76+168.58</f>
        <v>1016.6600000000001</v>
      </c>
      <c r="K67" s="10">
        <f t="shared" si="5"/>
        <v>3.4725985414648924E-3</v>
      </c>
      <c r="L67" s="9">
        <f>245.89+100+42.95+314.9</f>
        <v>703.74</v>
      </c>
      <c r="M67" s="10">
        <f t="shared" si="20"/>
        <v>2.6055595192299502E-3</v>
      </c>
      <c r="N67" s="9">
        <v>800</v>
      </c>
      <c r="O67" s="10">
        <f t="shared" si="7"/>
        <v>3.0565329456426946E-3</v>
      </c>
      <c r="P67" s="9">
        <v>800</v>
      </c>
      <c r="Q67" s="10">
        <f t="shared" si="8"/>
        <v>2.8950528504563711E-3</v>
      </c>
      <c r="R67" s="9">
        <v>800</v>
      </c>
      <c r="S67" s="10">
        <f t="shared" si="9"/>
        <v>2.6259900803224717E-3</v>
      </c>
      <c r="T67" s="9">
        <v>800</v>
      </c>
      <c r="U67" s="10">
        <f t="shared" si="10"/>
        <v>2.6969264511411154E-3</v>
      </c>
      <c r="V67" s="9">
        <v>1050</v>
      </c>
      <c r="W67" s="10">
        <f t="shared" si="11"/>
        <v>3.5891328849788533E-3</v>
      </c>
      <c r="X67" s="9">
        <v>1800</v>
      </c>
      <c r="Y67" s="10">
        <f t="shared" si="12"/>
        <v>6.223703555871536E-3</v>
      </c>
      <c r="Z67" s="11">
        <f t="shared" si="24"/>
        <v>889.7258333333333</v>
      </c>
      <c r="AA67" s="10">
        <f t="shared" si="13"/>
        <v>3.1424386887805036E-3</v>
      </c>
      <c r="AB67" s="12">
        <f>L67+N67+P67+R67+T67+V67+X67+J67+H67+F67+D67+B67</f>
        <v>10676.71</v>
      </c>
      <c r="AC67" s="122">
        <f t="shared" si="21"/>
        <v>3.1424386887805031E-3</v>
      </c>
      <c r="AD67" s="5"/>
      <c r="AE67" s="5"/>
    </row>
    <row r="68" spans="1:31" x14ac:dyDescent="0.2">
      <c r="A68" s="9" t="s">
        <v>61</v>
      </c>
      <c r="B68" s="9">
        <f>1500+914</f>
        <v>2414</v>
      </c>
      <c r="C68" s="10">
        <f t="shared" si="23"/>
        <v>9.9418099357394176E-3</v>
      </c>
      <c r="D68" s="9">
        <v>1500</v>
      </c>
      <c r="E68" s="10">
        <f t="shared" si="19"/>
        <v>6.4809530837757374E-3</v>
      </c>
      <c r="F68" s="9">
        <v>1500</v>
      </c>
      <c r="G68" s="10">
        <f t="shared" si="3"/>
        <v>4.8728086492223583E-3</v>
      </c>
      <c r="H68" s="9">
        <v>1500</v>
      </c>
      <c r="I68" s="10">
        <f t="shared" si="4"/>
        <v>4.5245765041637869E-3</v>
      </c>
      <c r="J68" s="9">
        <v>1818</v>
      </c>
      <c r="K68" s="10">
        <f t="shared" ref="K68:K87" si="29">J68/J$2</f>
        <v>6.2097300458198159E-3</v>
      </c>
      <c r="L68" s="9">
        <v>1500</v>
      </c>
      <c r="M68" s="10">
        <f t="shared" si="20"/>
        <v>5.5536693648860734E-3</v>
      </c>
      <c r="N68" s="9">
        <v>1500</v>
      </c>
      <c r="O68" s="10">
        <f t="shared" si="7"/>
        <v>5.7309992730800521E-3</v>
      </c>
      <c r="P68" s="9">
        <v>1500</v>
      </c>
      <c r="Q68" s="10">
        <f t="shared" si="8"/>
        <v>5.4282240946056954E-3</v>
      </c>
      <c r="R68" s="9">
        <v>1500</v>
      </c>
      <c r="S68" s="10">
        <f t="shared" si="9"/>
        <v>4.9237314006046343E-3</v>
      </c>
      <c r="T68" s="9">
        <v>1500</v>
      </c>
      <c r="U68" s="10">
        <f t="shared" si="10"/>
        <v>5.0567370958895909E-3</v>
      </c>
      <c r="V68" s="9">
        <v>1500</v>
      </c>
      <c r="W68" s="10">
        <f t="shared" si="11"/>
        <v>5.127332692826933E-3</v>
      </c>
      <c r="X68" s="9">
        <v>1500</v>
      </c>
      <c r="Y68" s="10">
        <f t="shared" si="12"/>
        <v>5.1864196298929462E-3</v>
      </c>
      <c r="Z68" s="11">
        <f t="shared" si="24"/>
        <v>1602.6666666666667</v>
      </c>
      <c r="AA68" s="10">
        <f t="shared" si="13"/>
        <v>5.6604872533417743E-3</v>
      </c>
      <c r="AB68" s="12">
        <f t="shared" si="26"/>
        <v>19232</v>
      </c>
      <c r="AC68" s="122">
        <f t="shared" si="21"/>
        <v>5.6604872533417734E-3</v>
      </c>
      <c r="AD68" s="5"/>
      <c r="AE68" s="5"/>
    </row>
    <row r="69" spans="1:31" x14ac:dyDescent="0.2">
      <c r="A69" s="132" t="s">
        <v>155</v>
      </c>
      <c r="B69" s="9"/>
      <c r="C69" s="10">
        <f t="shared" si="23"/>
        <v>0</v>
      </c>
      <c r="D69" s="9">
        <f>SUBTOTAL(9,D70:D76)</f>
        <v>150</v>
      </c>
      <c r="E69" s="10">
        <f t="shared" si="19"/>
        <v>6.480953083775737E-4</v>
      </c>
      <c r="F69" s="9">
        <f>SUBTOTAL(9,F70:F76)</f>
        <v>291.02</v>
      </c>
      <c r="G69" s="10">
        <f t="shared" si="3"/>
        <v>9.4538984873112708E-4</v>
      </c>
      <c r="H69" s="9">
        <f>SUBTOTAL(9,H70:H76)</f>
        <v>1216.28</v>
      </c>
      <c r="I69" s="10">
        <f t="shared" si="4"/>
        <v>3.6687679403228871E-3</v>
      </c>
      <c r="J69" s="9">
        <f>SUBTOTAL(9,J70:J76)</f>
        <v>4607.0700000000006</v>
      </c>
      <c r="K69" s="10">
        <f t="shared" si="29"/>
        <v>1.57363371849258E-2</v>
      </c>
      <c r="L69" s="9">
        <f>SUBTOTAL(9,L70:L76)</f>
        <v>5731.99</v>
      </c>
      <c r="M69" s="10">
        <f t="shared" si="20"/>
        <v>2.1222384841888882E-2</v>
      </c>
      <c r="N69" s="9">
        <f>SUBTOTAL(9,N70:N76)</f>
        <v>2398.56</v>
      </c>
      <c r="O69" s="10">
        <f t="shared" si="7"/>
        <v>9.164097077625926E-3</v>
      </c>
      <c r="P69" s="9">
        <f>SUBTOTAL(9,P70:P76)</f>
        <v>2050</v>
      </c>
      <c r="Q69" s="10">
        <f t="shared" si="8"/>
        <v>7.4185729292944504E-3</v>
      </c>
      <c r="R69" s="9">
        <f>SUBTOTAL(9,R70:R76)</f>
        <v>2050</v>
      </c>
      <c r="S69" s="10">
        <f t="shared" si="9"/>
        <v>6.7290995808263337E-3</v>
      </c>
      <c r="T69" s="9">
        <f>SUBTOTAL(9,T70:T76)</f>
        <v>2050</v>
      </c>
      <c r="U69" s="10">
        <f t="shared" si="10"/>
        <v>6.9108740310491077E-3</v>
      </c>
      <c r="V69" s="9">
        <f>SUBTOTAL(9,V70:V76)</f>
        <v>2050</v>
      </c>
      <c r="W69" s="10">
        <f t="shared" si="11"/>
        <v>7.0073546801968081E-3</v>
      </c>
      <c r="X69" s="9">
        <f>SUBTOTAL(9,X70:X76)</f>
        <v>2050</v>
      </c>
      <c r="Y69" s="10">
        <f t="shared" si="12"/>
        <v>7.0881068275203598E-3</v>
      </c>
      <c r="Z69" s="11">
        <f t="shared" si="24"/>
        <v>2053.7433333333333</v>
      </c>
      <c r="AA69" s="10">
        <f t="shared" si="13"/>
        <v>7.2536530532252364E-3</v>
      </c>
      <c r="AB69" s="12">
        <f t="shared" si="26"/>
        <v>24644.92</v>
      </c>
      <c r="AC69" s="122">
        <f t="shared" si="21"/>
        <v>7.2536530532252355E-3</v>
      </c>
      <c r="AD69" s="5"/>
      <c r="AE69" s="5"/>
    </row>
    <row r="70" spans="1:31" x14ac:dyDescent="0.2">
      <c r="A70" s="132" t="s">
        <v>157</v>
      </c>
      <c r="B70" s="9"/>
      <c r="C70" s="10">
        <f t="shared" si="23"/>
        <v>0</v>
      </c>
      <c r="D70" s="9">
        <v>150</v>
      </c>
      <c r="E70" s="10">
        <f t="shared" si="19"/>
        <v>6.480953083775737E-4</v>
      </c>
      <c r="F70" s="9">
        <v>150</v>
      </c>
      <c r="G70" s="10">
        <f t="shared" si="3"/>
        <v>4.8728086492223581E-4</v>
      </c>
      <c r="H70" s="9">
        <v>150</v>
      </c>
      <c r="I70" s="10">
        <f t="shared" si="4"/>
        <v>4.5245765041637871E-4</v>
      </c>
      <c r="J70" s="9">
        <v>150</v>
      </c>
      <c r="K70" s="10">
        <f t="shared" si="29"/>
        <v>5.1235396417655241E-4</v>
      </c>
      <c r="L70" s="9">
        <v>150</v>
      </c>
      <c r="M70" s="10">
        <f t="shared" si="20"/>
        <v>5.5536693648860732E-4</v>
      </c>
      <c r="N70" s="9">
        <v>150</v>
      </c>
      <c r="O70" s="10">
        <f t="shared" si="7"/>
        <v>5.7309992730800521E-4</v>
      </c>
      <c r="P70" s="9">
        <v>150</v>
      </c>
      <c r="Q70" s="10">
        <f t="shared" si="8"/>
        <v>5.428224094605696E-4</v>
      </c>
      <c r="R70" s="9">
        <v>150</v>
      </c>
      <c r="S70" s="10">
        <f t="shared" si="9"/>
        <v>4.9237314006046339E-4</v>
      </c>
      <c r="T70" s="9">
        <v>150</v>
      </c>
      <c r="U70" s="10">
        <f t="shared" si="10"/>
        <v>5.0567370958895909E-4</v>
      </c>
      <c r="V70" s="9">
        <v>150</v>
      </c>
      <c r="W70" s="10">
        <f t="shared" si="11"/>
        <v>5.1273326928269328E-4</v>
      </c>
      <c r="X70" s="9">
        <v>150</v>
      </c>
      <c r="Y70" s="10">
        <f t="shared" si="12"/>
        <v>5.1864196298929467E-4</v>
      </c>
      <c r="Z70" s="11">
        <f t="shared" si="24"/>
        <v>137.5</v>
      </c>
      <c r="AA70" s="10">
        <f t="shared" si="13"/>
        <v>4.8563872545829488E-4</v>
      </c>
      <c r="AB70" s="12">
        <f t="shared" si="26"/>
        <v>1650</v>
      </c>
      <c r="AC70" s="122">
        <f t="shared" si="21"/>
        <v>4.8563872545829482E-4</v>
      </c>
      <c r="AD70" s="5"/>
      <c r="AE70" s="5"/>
    </row>
    <row r="71" spans="1:31" x14ac:dyDescent="0.2">
      <c r="A71" s="132" t="s">
        <v>162</v>
      </c>
      <c r="B71" s="9"/>
      <c r="C71" s="10">
        <f t="shared" si="23"/>
        <v>0</v>
      </c>
      <c r="D71" s="9"/>
      <c r="E71" s="10">
        <f t="shared" si="19"/>
        <v>0</v>
      </c>
      <c r="F71" s="9"/>
      <c r="G71" s="10">
        <f t="shared" si="3"/>
        <v>0</v>
      </c>
      <c r="H71" s="9"/>
      <c r="I71" s="10">
        <f t="shared" si="4"/>
        <v>0</v>
      </c>
      <c r="J71" s="9">
        <f>2379.4</f>
        <v>2379.4</v>
      </c>
      <c r="K71" s="10">
        <f t="shared" si="29"/>
        <v>8.1273001490779258E-3</v>
      </c>
      <c r="L71" s="9">
        <v>1766.08</v>
      </c>
      <c r="M71" s="10">
        <f t="shared" si="20"/>
        <v>6.5388162612919978E-3</v>
      </c>
      <c r="N71" s="9">
        <v>1135.49</v>
      </c>
      <c r="O71" s="10">
        <f t="shared" si="7"/>
        <v>4.3383282430597796E-3</v>
      </c>
      <c r="P71" s="9">
        <v>1000</v>
      </c>
      <c r="Q71" s="10">
        <f t="shared" si="8"/>
        <v>3.6188160630704637E-3</v>
      </c>
      <c r="R71" s="9">
        <v>1000</v>
      </c>
      <c r="S71" s="10">
        <f t="shared" si="9"/>
        <v>3.2824876004030894E-3</v>
      </c>
      <c r="T71" s="9">
        <v>1000</v>
      </c>
      <c r="U71" s="10">
        <f t="shared" si="10"/>
        <v>3.3711580639263941E-3</v>
      </c>
      <c r="V71" s="9">
        <v>1000</v>
      </c>
      <c r="W71" s="10">
        <f t="shared" si="11"/>
        <v>3.4182217952179552E-3</v>
      </c>
      <c r="X71" s="9">
        <v>1000</v>
      </c>
      <c r="Y71" s="10">
        <f t="shared" si="12"/>
        <v>3.4576130865952973E-3</v>
      </c>
      <c r="Z71" s="11">
        <f t="shared" si="24"/>
        <v>856.74749999999995</v>
      </c>
      <c r="AA71" s="10">
        <f t="shared" si="13"/>
        <v>3.025961919560585E-3</v>
      </c>
      <c r="AB71" s="12">
        <f t="shared" si="26"/>
        <v>10280.969999999999</v>
      </c>
      <c r="AC71" s="122">
        <f t="shared" si="21"/>
        <v>3.025961919560585E-3</v>
      </c>
      <c r="AD71" s="5"/>
      <c r="AE71" s="5"/>
    </row>
    <row r="72" spans="1:31" x14ac:dyDescent="0.2">
      <c r="A72" s="132" t="s">
        <v>161</v>
      </c>
      <c r="B72" s="9"/>
      <c r="C72" s="10"/>
      <c r="D72" s="9"/>
      <c r="E72" s="10"/>
      <c r="F72" s="9"/>
      <c r="G72" s="10"/>
      <c r="H72" s="9">
        <v>411.97</v>
      </c>
      <c r="I72" s="10"/>
      <c r="J72" s="9">
        <v>258.88</v>
      </c>
      <c r="K72" s="10">
        <f t="shared" si="29"/>
        <v>8.8425462830683929E-4</v>
      </c>
      <c r="L72" s="9">
        <v>219.39</v>
      </c>
      <c r="M72" s="10">
        <f t="shared" si="20"/>
        <v>8.122796813082371E-4</v>
      </c>
      <c r="N72" s="9">
        <v>200</v>
      </c>
      <c r="O72" s="10">
        <f t="shared" si="7"/>
        <v>7.6413323641067365E-4</v>
      </c>
      <c r="P72" s="9">
        <v>200</v>
      </c>
      <c r="Q72" s="10"/>
      <c r="R72" s="9">
        <v>200</v>
      </c>
      <c r="S72" s="10"/>
      <c r="T72" s="9">
        <v>200</v>
      </c>
      <c r="U72" s="10"/>
      <c r="V72" s="9">
        <v>200</v>
      </c>
      <c r="W72" s="10"/>
      <c r="X72" s="9">
        <v>200</v>
      </c>
      <c r="Y72" s="10"/>
      <c r="Z72" s="11"/>
      <c r="AA72" s="10"/>
      <c r="AB72" s="12"/>
      <c r="AC72" s="122"/>
      <c r="AD72" s="5"/>
      <c r="AE72" s="5"/>
    </row>
    <row r="73" spans="1:31" x14ac:dyDescent="0.2">
      <c r="A73" s="132" t="s">
        <v>163</v>
      </c>
      <c r="B73" s="9"/>
      <c r="C73" s="10"/>
      <c r="D73" s="9"/>
      <c r="E73" s="10"/>
      <c r="F73" s="9"/>
      <c r="G73" s="10"/>
      <c r="H73" s="9"/>
      <c r="I73" s="10"/>
      <c r="J73" s="9">
        <v>615.16999999999996</v>
      </c>
      <c r="K73" s="10"/>
      <c r="L73" s="9">
        <v>1007.05</v>
      </c>
      <c r="M73" s="10">
        <f t="shared" si="20"/>
        <v>3.728548489272347E-3</v>
      </c>
      <c r="N73" s="9">
        <v>507.2</v>
      </c>
      <c r="O73" s="10">
        <f t="shared" si="7"/>
        <v>1.9378418875374683E-3</v>
      </c>
      <c r="P73" s="9">
        <v>200</v>
      </c>
      <c r="Q73" s="10"/>
      <c r="R73" s="9">
        <v>200</v>
      </c>
      <c r="S73" s="10"/>
      <c r="T73" s="9">
        <v>200</v>
      </c>
      <c r="U73" s="10"/>
      <c r="V73" s="9">
        <v>200</v>
      </c>
      <c r="W73" s="10"/>
      <c r="X73" s="9">
        <v>200</v>
      </c>
      <c r="Y73" s="10"/>
      <c r="Z73" s="11"/>
      <c r="AA73" s="10"/>
      <c r="AB73" s="12"/>
      <c r="AC73" s="122"/>
      <c r="AD73" s="5"/>
      <c r="AE73" s="5"/>
    </row>
    <row r="74" spans="1:31" x14ac:dyDescent="0.2">
      <c r="A74" s="132" t="s">
        <v>159</v>
      </c>
      <c r="B74" s="9"/>
      <c r="C74" s="10"/>
      <c r="D74" s="9"/>
      <c r="E74" s="10"/>
      <c r="F74" s="9"/>
      <c r="G74" s="10"/>
      <c r="H74" s="9">
        <f>120</f>
        <v>120</v>
      </c>
      <c r="I74" s="10"/>
      <c r="J74" s="9">
        <f>46+46</f>
        <v>92</v>
      </c>
      <c r="K74" s="10"/>
      <c r="L74" s="9">
        <f>48+530</f>
        <v>578</v>
      </c>
      <c r="M74" s="10">
        <f t="shared" si="20"/>
        <v>2.1400139286027672E-3</v>
      </c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10"/>
      <c r="Z74" s="11"/>
      <c r="AA74" s="10"/>
      <c r="AB74" s="12"/>
      <c r="AC74" s="122"/>
      <c r="AD74" s="5"/>
      <c r="AE74" s="5"/>
    </row>
    <row r="75" spans="1:31" x14ac:dyDescent="0.2">
      <c r="A75" s="132" t="s">
        <v>160</v>
      </c>
      <c r="B75" s="9"/>
      <c r="C75" s="10"/>
      <c r="D75" s="9"/>
      <c r="E75" s="10"/>
      <c r="F75" s="9"/>
      <c r="G75" s="10"/>
      <c r="H75" s="9">
        <v>217.78</v>
      </c>
      <c r="I75" s="10"/>
      <c r="J75" s="9">
        <v>591.46</v>
      </c>
      <c r="K75" s="10"/>
      <c r="L75" s="9">
        <f>175.95+1438.46</f>
        <v>1614.41</v>
      </c>
      <c r="M75" s="10"/>
      <c r="N75" s="9">
        <v>205.87</v>
      </c>
      <c r="O75" s="10"/>
      <c r="P75" s="9">
        <v>300</v>
      </c>
      <c r="Q75" s="10"/>
      <c r="R75" s="9">
        <v>300</v>
      </c>
      <c r="S75" s="10"/>
      <c r="T75" s="9">
        <v>300</v>
      </c>
      <c r="U75" s="10"/>
      <c r="V75" s="9">
        <v>300</v>
      </c>
      <c r="W75" s="10"/>
      <c r="X75" s="9">
        <v>300</v>
      </c>
      <c r="Y75" s="10"/>
      <c r="Z75" s="11"/>
      <c r="AA75" s="10"/>
      <c r="AB75" s="12"/>
      <c r="AC75" s="122"/>
      <c r="AD75" s="5"/>
      <c r="AE75" s="5"/>
    </row>
    <row r="76" spans="1:31" x14ac:dyDescent="0.2">
      <c r="A76" s="132" t="s">
        <v>158</v>
      </c>
      <c r="B76" s="9"/>
      <c r="C76" s="10">
        <f t="shared" si="23"/>
        <v>0</v>
      </c>
      <c r="D76" s="9"/>
      <c r="E76" s="10">
        <f t="shared" si="19"/>
        <v>0</v>
      </c>
      <c r="F76" s="9">
        <v>141.02000000000001</v>
      </c>
      <c r="G76" s="10">
        <f t="shared" si="3"/>
        <v>4.5810898380889133E-4</v>
      </c>
      <c r="H76" s="9">
        <v>316.52999999999997</v>
      </c>
      <c r="I76" s="10">
        <f t="shared" si="4"/>
        <v>9.5477613390864227E-4</v>
      </c>
      <c r="J76" s="9">
        <f>94.7+425.46</f>
        <v>520.16</v>
      </c>
      <c r="K76" s="10">
        <f t="shared" si="29"/>
        <v>1.7767069200405033E-3</v>
      </c>
      <c r="L76" s="9">
        <v>397.06</v>
      </c>
      <c r="M76" s="10">
        <f t="shared" si="20"/>
        <v>1.4700933053477764E-3</v>
      </c>
      <c r="N76" s="9">
        <v>200</v>
      </c>
      <c r="O76" s="10">
        <f t="shared" si="7"/>
        <v>7.6413323641067365E-4</v>
      </c>
      <c r="P76" s="9">
        <v>200</v>
      </c>
      <c r="Q76" s="10">
        <f t="shared" si="8"/>
        <v>7.2376321261409277E-4</v>
      </c>
      <c r="R76" s="9">
        <v>200</v>
      </c>
      <c r="S76" s="10">
        <f t="shared" si="9"/>
        <v>6.5649752008061792E-4</v>
      </c>
      <c r="T76" s="9">
        <v>200</v>
      </c>
      <c r="U76" s="10">
        <f t="shared" si="10"/>
        <v>6.7423161278527886E-4</v>
      </c>
      <c r="V76" s="9">
        <v>200</v>
      </c>
      <c r="W76" s="10">
        <f t="shared" si="11"/>
        <v>6.8364435904359104E-4</v>
      </c>
      <c r="X76" s="9">
        <v>200</v>
      </c>
      <c r="Y76" s="10">
        <f t="shared" si="12"/>
        <v>6.9152261731905956E-4</v>
      </c>
      <c r="Z76" s="11">
        <f t="shared" si="24"/>
        <v>214.56416666666667</v>
      </c>
      <c r="AA76" s="10">
        <f t="shared" si="13"/>
        <v>7.5782304312015385E-4</v>
      </c>
      <c r="AB76" s="12">
        <f t="shared" si="26"/>
        <v>2574.77</v>
      </c>
      <c r="AC76" s="122">
        <f t="shared" si="21"/>
        <v>7.5782304312015374E-4</v>
      </c>
      <c r="AD76" s="5"/>
      <c r="AE76" s="5"/>
    </row>
    <row r="77" spans="1:31" x14ac:dyDescent="0.2">
      <c r="A77" s="73" t="s">
        <v>62</v>
      </c>
      <c r="B77" s="71">
        <f>SUM(B78:B87)</f>
        <v>12991.310000000001</v>
      </c>
      <c r="C77" s="6">
        <f t="shared" si="1"/>
        <v>5.3503369857610138E-2</v>
      </c>
      <c r="D77" s="71">
        <f>SUM(D78:D87)</f>
        <v>12646.9</v>
      </c>
      <c r="E77" s="6">
        <f t="shared" si="19"/>
        <v>5.4642643703468913E-2</v>
      </c>
      <c r="F77" s="71">
        <f>SUM(F78:F87)</f>
        <v>11364.5</v>
      </c>
      <c r="G77" s="6">
        <f t="shared" si="3"/>
        <v>3.6918022596058329E-2</v>
      </c>
      <c r="H77" s="71">
        <f>SUM(H78:H87)</f>
        <v>23206.33</v>
      </c>
      <c r="I77" s="6">
        <f t="shared" si="4"/>
        <v>6.9999210310580817E-2</v>
      </c>
      <c r="J77" s="71">
        <f>SUM(J78:J87)</f>
        <v>8609.630000000001</v>
      </c>
      <c r="K77" s="6">
        <f t="shared" si="29"/>
        <v>2.9407853737289144E-2</v>
      </c>
      <c r="L77" s="71">
        <f>SUM(L78:L87)</f>
        <v>18330</v>
      </c>
      <c r="M77" s="6">
        <f t="shared" si="20"/>
        <v>6.7865839638907827E-2</v>
      </c>
      <c r="N77" s="71">
        <f>SUM(N78:N87)</f>
        <v>17357.830000000002</v>
      </c>
      <c r="O77" s="6">
        <f t="shared" si="7"/>
        <v>6.6318474074831421E-2</v>
      </c>
      <c r="P77" s="71">
        <f>SUM(P78:P87)</f>
        <v>12357.83</v>
      </c>
      <c r="Q77" s="6">
        <f t="shared" si="8"/>
        <v>4.4720713708694071E-2</v>
      </c>
      <c r="R77" s="71">
        <f>SUM(R78:R87)</f>
        <v>5357.83</v>
      </c>
      <c r="S77" s="6">
        <f t="shared" si="9"/>
        <v>1.7587010540067685E-2</v>
      </c>
      <c r="T77" s="71">
        <f>SUM(T78:T87)</f>
        <v>5357.83</v>
      </c>
      <c r="U77" s="6">
        <f t="shared" si="10"/>
        <v>1.8062091809646751E-2</v>
      </c>
      <c r="V77" s="71">
        <f>SUM(V78:V87)</f>
        <v>5357.83</v>
      </c>
      <c r="W77" s="6">
        <f t="shared" si="11"/>
        <v>1.8314251281072617E-2</v>
      </c>
      <c r="X77" s="71">
        <f>SUM(X78:X87)</f>
        <v>15357.83</v>
      </c>
      <c r="Y77" s="6">
        <f t="shared" si="12"/>
        <v>5.3101433989705855E-2</v>
      </c>
      <c r="Z77" s="70">
        <f>(B77+D77+F77+H77+J77+L77+N77+P77+R77+T77+V77+X77)/AE$2</f>
        <v>12357.970833333333</v>
      </c>
      <c r="AA77" s="58">
        <f t="shared" si="13"/>
        <v>4.3647339670914775E-2</v>
      </c>
      <c r="AB77" s="71">
        <f>SUM(AB78:AB87)</f>
        <v>148295.65000000002</v>
      </c>
      <c r="AC77" s="124">
        <f>AB77/AB$2</f>
        <v>4.3647339670914782E-2</v>
      </c>
      <c r="AD77" s="5"/>
      <c r="AE77" s="5">
        <f>152/120</f>
        <v>1.2666666666666666</v>
      </c>
    </row>
    <row r="78" spans="1:31" x14ac:dyDescent="0.2">
      <c r="A78" s="9" t="s">
        <v>141</v>
      </c>
      <c r="B78" s="9"/>
      <c r="C78" s="10">
        <f t="shared" si="1"/>
        <v>0</v>
      </c>
      <c r="D78" s="9">
        <v>2317.08</v>
      </c>
      <c r="E78" s="10">
        <f t="shared" si="19"/>
        <v>1.0011257847570057E-2</v>
      </c>
      <c r="F78" s="9">
        <v>1094.17</v>
      </c>
      <c r="G78" s="10">
        <f t="shared" si="3"/>
        <v>3.5544540264797523E-3</v>
      </c>
      <c r="H78" s="9"/>
      <c r="I78" s="10">
        <f t="shared" si="4"/>
        <v>0</v>
      </c>
      <c r="J78" s="9"/>
      <c r="K78" s="10">
        <f t="shared" si="29"/>
        <v>0</v>
      </c>
      <c r="L78" s="9">
        <v>986.1</v>
      </c>
      <c r="M78" s="10">
        <f t="shared" si="20"/>
        <v>3.6509822404761048E-3</v>
      </c>
      <c r="N78" s="9">
        <v>898</v>
      </c>
      <c r="O78" s="10">
        <f t="shared" si="7"/>
        <v>3.4309582314839245E-3</v>
      </c>
      <c r="P78" s="9">
        <v>898</v>
      </c>
      <c r="Q78" s="10">
        <f t="shared" si="8"/>
        <v>3.2496968246372763E-3</v>
      </c>
      <c r="R78" s="9">
        <v>898</v>
      </c>
      <c r="S78" s="10">
        <f t="shared" si="9"/>
        <v>2.9476738651619742E-3</v>
      </c>
      <c r="T78" s="9">
        <v>898</v>
      </c>
      <c r="U78" s="10">
        <f t="shared" si="10"/>
        <v>3.0272999414059018E-3</v>
      </c>
      <c r="V78" s="9">
        <v>898</v>
      </c>
      <c r="W78" s="10">
        <f t="shared" si="11"/>
        <v>3.0695631721057237E-3</v>
      </c>
      <c r="X78" s="9">
        <v>898</v>
      </c>
      <c r="Y78" s="10">
        <f t="shared" si="12"/>
        <v>3.104936551762577E-3</v>
      </c>
      <c r="Z78" s="11">
        <f t="shared" si="24"/>
        <v>815.44583333333333</v>
      </c>
      <c r="AA78" s="10">
        <f t="shared" si="13"/>
        <v>2.8800878194929244E-3</v>
      </c>
      <c r="AB78" s="12">
        <f t="shared" ref="AB78:AB87" si="30">L78+N78+P78+R78+T78+V78+X78+J78+H78+F78+D78+B78</f>
        <v>9785.35</v>
      </c>
      <c r="AC78" s="126">
        <f>AB78/AB$2</f>
        <v>2.8800878194929244E-3</v>
      </c>
      <c r="AD78" s="5"/>
      <c r="AE78" s="18"/>
    </row>
    <row r="79" spans="1:31" x14ac:dyDescent="0.2">
      <c r="A79" s="9" t="s">
        <v>63</v>
      </c>
      <c r="B79" s="9">
        <f>20</f>
        <v>20</v>
      </c>
      <c r="C79" s="10">
        <f t="shared" si="1"/>
        <v>8.2367936501569333E-5</v>
      </c>
      <c r="D79" s="9">
        <v>20</v>
      </c>
      <c r="E79" s="10">
        <f t="shared" si="19"/>
        <v>8.6412707783676502E-5</v>
      </c>
      <c r="F79" s="9">
        <v>20</v>
      </c>
      <c r="G79" s="10">
        <f t="shared" si="3"/>
        <v>6.4970781989631438E-5</v>
      </c>
      <c r="H79" s="9">
        <v>20</v>
      </c>
      <c r="I79" s="10">
        <f t="shared" si="4"/>
        <v>6.0327686722183825E-5</v>
      </c>
      <c r="J79" s="9"/>
      <c r="K79" s="10">
        <f t="shared" si="29"/>
        <v>0</v>
      </c>
      <c r="L79" s="9">
        <f>308+128</f>
        <v>436</v>
      </c>
      <c r="M79" s="10">
        <f t="shared" si="20"/>
        <v>1.6142665620602187E-3</v>
      </c>
      <c r="N79" s="9"/>
      <c r="O79" s="10">
        <f t="shared" si="7"/>
        <v>0</v>
      </c>
      <c r="P79" s="9"/>
      <c r="Q79" s="10">
        <f t="shared" si="8"/>
        <v>0</v>
      </c>
      <c r="R79" s="9"/>
      <c r="S79" s="10">
        <f t="shared" si="9"/>
        <v>0</v>
      </c>
      <c r="T79" s="9"/>
      <c r="U79" s="10">
        <f t="shared" si="10"/>
        <v>0</v>
      </c>
      <c r="V79" s="9"/>
      <c r="W79" s="10">
        <f t="shared" si="11"/>
        <v>0</v>
      </c>
      <c r="X79" s="9"/>
      <c r="Y79" s="10">
        <f t="shared" si="12"/>
        <v>0</v>
      </c>
      <c r="Z79" s="11">
        <f t="shared" si="24"/>
        <v>43</v>
      </c>
      <c r="AA79" s="10">
        <f t="shared" si="13"/>
        <v>1.5187247414332131E-4</v>
      </c>
      <c r="AB79" s="12">
        <f t="shared" si="30"/>
        <v>516</v>
      </c>
      <c r="AC79" s="126">
        <f t="shared" ref="AC79:AC87" si="31">AB79/AB$2</f>
        <v>1.5187247414332128E-4</v>
      </c>
      <c r="AD79" s="5"/>
      <c r="AE79" s="18"/>
    </row>
    <row r="80" spans="1:31" x14ac:dyDescent="0.2">
      <c r="A80" s="9" t="s">
        <v>64</v>
      </c>
      <c r="B80" s="9"/>
      <c r="C80" s="10">
        <f t="shared" si="1"/>
        <v>0</v>
      </c>
      <c r="D80" s="9"/>
      <c r="E80" s="10">
        <f t="shared" si="19"/>
        <v>0</v>
      </c>
      <c r="F80" s="9"/>
      <c r="G80" s="10">
        <f t="shared" si="3"/>
        <v>0</v>
      </c>
      <c r="H80" s="9"/>
      <c r="I80" s="10">
        <f t="shared" si="4"/>
        <v>0</v>
      </c>
      <c r="J80" s="9"/>
      <c r="K80" s="10">
        <f t="shared" si="29"/>
        <v>0</v>
      </c>
      <c r="L80" s="9"/>
      <c r="M80" s="10">
        <f t="shared" si="20"/>
        <v>0</v>
      </c>
      <c r="N80" s="9">
        <v>5000</v>
      </c>
      <c r="O80" s="10">
        <f t="shared" si="7"/>
        <v>1.9103330910266843E-2</v>
      </c>
      <c r="P80" s="9"/>
      <c r="Q80" s="10">
        <f t="shared" si="8"/>
        <v>0</v>
      </c>
      <c r="R80" s="9"/>
      <c r="S80" s="10">
        <f t="shared" si="9"/>
        <v>0</v>
      </c>
      <c r="T80" s="9"/>
      <c r="U80" s="10">
        <f t="shared" si="10"/>
        <v>0</v>
      </c>
      <c r="V80" s="9"/>
      <c r="W80" s="10">
        <f t="shared" si="11"/>
        <v>0</v>
      </c>
      <c r="X80" s="9"/>
      <c r="Y80" s="10">
        <f t="shared" si="12"/>
        <v>0</v>
      </c>
      <c r="Z80" s="11">
        <f t="shared" si="24"/>
        <v>416.66666666666669</v>
      </c>
      <c r="AA80" s="10">
        <f t="shared" si="13"/>
        <v>1.4716325013887724E-3</v>
      </c>
      <c r="AB80" s="12">
        <f t="shared" si="30"/>
        <v>5000</v>
      </c>
      <c r="AC80" s="126">
        <f t="shared" si="31"/>
        <v>1.4716325013887721E-3</v>
      </c>
      <c r="AD80" s="5"/>
      <c r="AE80" s="5"/>
    </row>
    <row r="81" spans="1:31" x14ac:dyDescent="0.2">
      <c r="A81" s="9" t="s">
        <v>65</v>
      </c>
      <c r="B81" s="9">
        <v>1056.6500000000001</v>
      </c>
      <c r="C81" s="10">
        <f t="shared" si="1"/>
        <v>4.3517040052191616E-3</v>
      </c>
      <c r="D81" s="9">
        <v>33.49</v>
      </c>
      <c r="E81" s="10">
        <f t="shared" si="19"/>
        <v>1.446980791837663E-4</v>
      </c>
      <c r="F81" s="9"/>
      <c r="G81" s="10">
        <f t="shared" si="3"/>
        <v>0</v>
      </c>
      <c r="H81" s="9"/>
      <c r="I81" s="10">
        <f t="shared" si="4"/>
        <v>0</v>
      </c>
      <c r="J81" s="9"/>
      <c r="K81" s="10">
        <f t="shared" si="29"/>
        <v>0</v>
      </c>
      <c r="L81" s="9">
        <v>1425.87</v>
      </c>
      <c r="M81" s="10">
        <f t="shared" si="20"/>
        <v>5.2792070248734039E-3</v>
      </c>
      <c r="N81" s="9"/>
      <c r="O81" s="10">
        <f t="shared" si="7"/>
        <v>0</v>
      </c>
      <c r="P81" s="9"/>
      <c r="Q81" s="10">
        <f t="shared" si="8"/>
        <v>0</v>
      </c>
      <c r="R81" s="9"/>
      <c r="S81" s="10">
        <f t="shared" si="9"/>
        <v>0</v>
      </c>
      <c r="T81" s="9"/>
      <c r="U81" s="10">
        <f t="shared" si="10"/>
        <v>0</v>
      </c>
      <c r="V81" s="9"/>
      <c r="W81" s="10">
        <f t="shared" si="11"/>
        <v>0</v>
      </c>
      <c r="X81" s="9">
        <v>10000</v>
      </c>
      <c r="Y81" s="10">
        <f t="shared" si="12"/>
        <v>3.4576130865952973E-2</v>
      </c>
      <c r="Z81" s="11">
        <f t="shared" si="24"/>
        <v>1043.0008333333333</v>
      </c>
      <c r="AA81" s="10">
        <f t="shared" si="13"/>
        <v>3.6837934207413774E-3</v>
      </c>
      <c r="AB81" s="12">
        <f t="shared" si="30"/>
        <v>12516.009999999998</v>
      </c>
      <c r="AC81" s="126">
        <f t="shared" si="31"/>
        <v>3.6837934207413769E-3</v>
      </c>
      <c r="AD81" s="5"/>
      <c r="AE81" s="5"/>
    </row>
    <row r="82" spans="1:31" x14ac:dyDescent="0.2">
      <c r="A82" s="9" t="s">
        <v>66</v>
      </c>
      <c r="B82" s="9">
        <f>202+1014.79+79.74</f>
        <v>1296.53</v>
      </c>
      <c r="C82" s="10">
        <f t="shared" si="1"/>
        <v>5.3396250356189841E-3</v>
      </c>
      <c r="D82" s="9"/>
      <c r="E82" s="10">
        <f t="shared" si="19"/>
        <v>0</v>
      </c>
      <c r="F82" s="9"/>
      <c r="G82" s="10">
        <f t="shared" si="3"/>
        <v>0</v>
      </c>
      <c r="H82" s="9"/>
      <c r="I82" s="10">
        <f t="shared" si="4"/>
        <v>0</v>
      </c>
      <c r="J82" s="9"/>
      <c r="K82" s="10">
        <f t="shared" si="29"/>
        <v>0</v>
      </c>
      <c r="L82" s="9">
        <f>1208.33+2878.84</f>
        <v>4087.17</v>
      </c>
      <c r="M82" s="10">
        <f t="shared" si="20"/>
        <v>1.5132527212054277E-2</v>
      </c>
      <c r="N82" s="9"/>
      <c r="O82" s="10">
        <f t="shared" si="7"/>
        <v>0</v>
      </c>
      <c r="P82" s="9"/>
      <c r="Q82" s="10">
        <f t="shared" si="8"/>
        <v>0</v>
      </c>
      <c r="R82" s="9"/>
      <c r="S82" s="10">
        <f t="shared" si="9"/>
        <v>0</v>
      </c>
      <c r="T82" s="9"/>
      <c r="U82" s="10">
        <f t="shared" si="10"/>
        <v>0</v>
      </c>
      <c r="V82" s="9"/>
      <c r="W82" s="10">
        <f t="shared" si="11"/>
        <v>0</v>
      </c>
      <c r="X82" s="9"/>
      <c r="Y82" s="10">
        <f t="shared" si="12"/>
        <v>0</v>
      </c>
      <c r="Z82" s="11">
        <f t="shared" si="24"/>
        <v>448.64166666666665</v>
      </c>
      <c r="AA82" s="10">
        <f t="shared" si="13"/>
        <v>1.5845655795453466E-3</v>
      </c>
      <c r="AB82" s="12">
        <f t="shared" si="30"/>
        <v>5383.7</v>
      </c>
      <c r="AC82" s="126">
        <f t="shared" si="31"/>
        <v>1.5845655795453464E-3</v>
      </c>
      <c r="AD82" s="5"/>
      <c r="AE82" s="5"/>
    </row>
    <row r="83" spans="1:31" x14ac:dyDescent="0.2">
      <c r="A83" s="9" t="s">
        <v>68</v>
      </c>
      <c r="B83" s="9"/>
      <c r="C83" s="10">
        <f t="shared" ref="C83:C87" si="32">B83/B$2</f>
        <v>0</v>
      </c>
      <c r="D83" s="9"/>
      <c r="E83" s="10">
        <f t="shared" si="19"/>
        <v>0</v>
      </c>
      <c r="F83" s="9"/>
      <c r="G83" s="10">
        <f t="shared" ref="G83:G87" si="33">F83/F$2</f>
        <v>0</v>
      </c>
      <c r="H83" s="9"/>
      <c r="I83" s="10">
        <f t="shared" ref="I83:I88" si="34">H83/H$2</f>
        <v>0</v>
      </c>
      <c r="J83" s="9"/>
      <c r="K83" s="10">
        <f t="shared" si="29"/>
        <v>0</v>
      </c>
      <c r="L83" s="9"/>
      <c r="M83" s="10">
        <f t="shared" si="20"/>
        <v>0</v>
      </c>
      <c r="N83" s="9"/>
      <c r="O83" s="10">
        <f t="shared" ref="O83:O86" si="35">N83/N$2</f>
        <v>0</v>
      </c>
      <c r="P83" s="9"/>
      <c r="Q83" s="10">
        <f t="shared" ref="Q83:Q87" si="36">P83/P$2</f>
        <v>0</v>
      </c>
      <c r="R83" s="9"/>
      <c r="S83" s="10">
        <f t="shared" ref="S83:S87" si="37">R83/R$2</f>
        <v>0</v>
      </c>
      <c r="T83" s="9"/>
      <c r="U83" s="10">
        <f t="shared" ref="U83:U87" si="38">T83/T$2</f>
        <v>0</v>
      </c>
      <c r="V83" s="9"/>
      <c r="W83" s="10">
        <f t="shared" ref="W83:W87" si="39">V83/V$2</f>
        <v>0</v>
      </c>
      <c r="X83" s="9"/>
      <c r="Y83" s="10">
        <f t="shared" ref="Y83:Y87" si="40">X83/X$2</f>
        <v>0</v>
      </c>
      <c r="Z83" s="11">
        <f>(B83+D83+F83+H83+J83+L83+N83+P83+R83+T83+V83+X83)/AE$2</f>
        <v>0</v>
      </c>
      <c r="AA83" s="10">
        <f t="shared" si="13"/>
        <v>0</v>
      </c>
      <c r="AB83" s="12">
        <f>L83+N83+P83+R83+T83+V83+X83+J83+H83+F83+D83+B83</f>
        <v>0</v>
      </c>
      <c r="AC83" s="126">
        <f t="shared" si="31"/>
        <v>0</v>
      </c>
      <c r="AD83" s="5"/>
      <c r="AE83" s="18"/>
    </row>
    <row r="84" spans="1:31" x14ac:dyDescent="0.2">
      <c r="A84" s="9" t="s">
        <v>69</v>
      </c>
      <c r="B84" s="9">
        <v>4459.83</v>
      </c>
      <c r="C84" s="10">
        <f t="shared" si="32"/>
        <v>1.8367349712389697E-2</v>
      </c>
      <c r="D84" s="9">
        <v>4459.83</v>
      </c>
      <c r="E84" s="10">
        <f t="shared" si="19"/>
        <v>1.9269299327743697E-2</v>
      </c>
      <c r="F84" s="9">
        <v>4459.83</v>
      </c>
      <c r="G84" s="10">
        <f t="shared" si="33"/>
        <v>1.4487932132040899E-2</v>
      </c>
      <c r="H84" s="9">
        <v>4459.83</v>
      </c>
      <c r="I84" s="10">
        <f t="shared" si="34"/>
        <v>1.3452561353709855E-2</v>
      </c>
      <c r="J84" s="9">
        <v>4459.83</v>
      </c>
      <c r="K84" s="10">
        <f t="shared" si="29"/>
        <v>1.5233410533690091E-2</v>
      </c>
      <c r="L84" s="9">
        <v>4459.83</v>
      </c>
      <c r="M84" s="10">
        <f t="shared" si="20"/>
        <v>1.6512280829066573E-2</v>
      </c>
      <c r="N84" s="9">
        <v>4459.83</v>
      </c>
      <c r="O84" s="10">
        <f t="shared" si="35"/>
        <v>1.7039521658707073E-2</v>
      </c>
      <c r="P84" s="9">
        <v>4459.83</v>
      </c>
      <c r="Q84" s="10">
        <f t="shared" si="36"/>
        <v>1.6139304442563545E-2</v>
      </c>
      <c r="R84" s="9">
        <v>4459.83</v>
      </c>
      <c r="S84" s="10">
        <f t="shared" si="37"/>
        <v>1.4639336674905711E-2</v>
      </c>
      <c r="T84" s="9">
        <v>4459.83</v>
      </c>
      <c r="U84" s="10">
        <f t="shared" si="38"/>
        <v>1.5034791868240849E-2</v>
      </c>
      <c r="V84" s="9">
        <v>4459.83</v>
      </c>
      <c r="W84" s="10">
        <f t="shared" si="39"/>
        <v>1.5244688108966894E-2</v>
      </c>
      <c r="X84" s="9">
        <v>4459.83</v>
      </c>
      <c r="Y84" s="10">
        <f t="shared" si="40"/>
        <v>1.5420366571990305E-2</v>
      </c>
      <c r="Z84" s="11">
        <f>(B84+D84+F84+H84+J84+L84+N84+P84+R84+T84+V84+X84)/AE$2</f>
        <v>4459.8300000000008</v>
      </c>
      <c r="AA84" s="10">
        <f t="shared" si="13"/>
        <v>1.5751753868804855E-2</v>
      </c>
      <c r="AB84" s="12">
        <f>L84+N84+P84+R84+T84+V84+X84+J84+H84+F84+D84+B84</f>
        <v>53517.960000000014</v>
      </c>
      <c r="AC84" s="126">
        <f t="shared" si="31"/>
        <v>1.5751753868804855E-2</v>
      </c>
      <c r="AD84" s="5"/>
      <c r="AE84" s="18"/>
    </row>
    <row r="85" spans="1:31" x14ac:dyDescent="0.2">
      <c r="A85" s="9" t="s">
        <v>132</v>
      </c>
      <c r="B85" s="9">
        <v>367.8</v>
      </c>
      <c r="C85" s="10">
        <f t="shared" si="32"/>
        <v>1.51474635226386E-3</v>
      </c>
      <c r="D85" s="9">
        <v>26</v>
      </c>
      <c r="E85" s="10">
        <f t="shared" si="19"/>
        <v>1.1233652011877946E-4</v>
      </c>
      <c r="F85" s="9"/>
      <c r="G85" s="10">
        <f t="shared" si="33"/>
        <v>0</v>
      </c>
      <c r="H85" s="9"/>
      <c r="I85" s="10">
        <f t="shared" si="34"/>
        <v>0</v>
      </c>
      <c r="J85" s="9">
        <v>33.799999999999997</v>
      </c>
      <c r="K85" s="10">
        <f t="shared" si="29"/>
        <v>1.154504265944498E-4</v>
      </c>
      <c r="L85" s="9"/>
      <c r="M85" s="10">
        <f t="shared" si="20"/>
        <v>0</v>
      </c>
      <c r="N85" s="9"/>
      <c r="O85" s="10">
        <f t="shared" si="35"/>
        <v>0</v>
      </c>
      <c r="P85" s="9"/>
      <c r="Q85" s="10">
        <f t="shared" si="36"/>
        <v>0</v>
      </c>
      <c r="R85" s="9"/>
      <c r="S85" s="10">
        <f t="shared" si="37"/>
        <v>0</v>
      </c>
      <c r="T85" s="9"/>
      <c r="U85" s="10">
        <f t="shared" si="38"/>
        <v>0</v>
      </c>
      <c r="V85" s="9"/>
      <c r="W85" s="10">
        <f t="shared" si="39"/>
        <v>0</v>
      </c>
      <c r="X85" s="9"/>
      <c r="Y85" s="10">
        <f t="shared" si="40"/>
        <v>0</v>
      </c>
      <c r="Z85" s="11">
        <f t="shared" ref="Z85:Z86" si="41">(B85+D85+F85+H85+J85+L85+N85+P85+R85+T85+V85+X85)/AE$2</f>
        <v>35.633333333333333</v>
      </c>
      <c r="AA85" s="10">
        <f t="shared" si="13"/>
        <v>1.258540115187678E-4</v>
      </c>
      <c r="AB85" s="12">
        <f t="shared" ref="AB85:AB86" si="42">L85+N85+P85+R85+T85+V85+X85+J85+H85+F85+D85+B85</f>
        <v>427.6</v>
      </c>
      <c r="AC85" s="126">
        <f t="shared" si="31"/>
        <v>1.258540115187678E-4</v>
      </c>
      <c r="AD85" s="5"/>
      <c r="AE85" s="18"/>
    </row>
    <row r="86" spans="1:31" x14ac:dyDescent="0.2">
      <c r="A86" s="9" t="s">
        <v>146</v>
      </c>
      <c r="B86" s="9">
        <v>5600</v>
      </c>
      <c r="C86" s="10">
        <f t="shared" si="32"/>
        <v>2.3063022220439412E-2</v>
      </c>
      <c r="D86" s="9">
        <v>5600</v>
      </c>
      <c r="E86" s="10">
        <f t="shared" si="19"/>
        <v>2.4195558179429422E-2</v>
      </c>
      <c r="F86" s="9">
        <v>5600</v>
      </c>
      <c r="G86" s="10">
        <f t="shared" si="33"/>
        <v>1.8191818957096803E-2</v>
      </c>
      <c r="H86" s="9">
        <f>5600+8820+4116</f>
        <v>18536</v>
      </c>
      <c r="I86" s="10">
        <f t="shared" si="34"/>
        <v>5.5911700054119967E-2</v>
      </c>
      <c r="J86" s="9">
        <v>4116</v>
      </c>
      <c r="K86" s="10">
        <f t="shared" si="29"/>
        <v>1.4058992777004599E-2</v>
      </c>
      <c r="L86" s="9">
        <f>4116+2686.04</f>
        <v>6802.04</v>
      </c>
      <c r="M86" s="10">
        <f t="shared" si="20"/>
        <v>2.5184187444486444E-2</v>
      </c>
      <c r="N86" s="9">
        <v>7000</v>
      </c>
      <c r="O86" s="10">
        <f t="shared" si="35"/>
        <v>2.6744663274373578E-2</v>
      </c>
      <c r="P86" s="9">
        <v>7000</v>
      </c>
      <c r="Q86" s="10">
        <f t="shared" si="36"/>
        <v>2.5331712441493247E-2</v>
      </c>
      <c r="R86" s="9"/>
      <c r="S86" s="10">
        <f t="shared" si="37"/>
        <v>0</v>
      </c>
      <c r="T86" s="9"/>
      <c r="U86" s="10">
        <f t="shared" si="38"/>
        <v>0</v>
      </c>
      <c r="V86" s="9"/>
      <c r="W86" s="10">
        <f t="shared" si="39"/>
        <v>0</v>
      </c>
      <c r="X86" s="9"/>
      <c r="Y86" s="10">
        <f t="shared" si="40"/>
        <v>0</v>
      </c>
      <c r="Z86" s="11">
        <f t="shared" si="41"/>
        <v>5021.17</v>
      </c>
      <c r="AA86" s="10">
        <f t="shared" si="13"/>
        <v>1.7734360720795827E-2</v>
      </c>
      <c r="AB86" s="12">
        <f t="shared" si="42"/>
        <v>60254.04</v>
      </c>
      <c r="AC86" s="126">
        <f t="shared" si="31"/>
        <v>1.7734360720795827E-2</v>
      </c>
      <c r="AD86" s="5"/>
      <c r="AE86" s="18"/>
    </row>
    <row r="87" spans="1:31" x14ac:dyDescent="0.2">
      <c r="A87" s="9" t="s">
        <v>70</v>
      </c>
      <c r="B87" s="9">
        <v>190.5</v>
      </c>
      <c r="C87" s="10">
        <f t="shared" si="32"/>
        <v>7.8455459517744782E-4</v>
      </c>
      <c r="D87" s="9">
        <v>190.5</v>
      </c>
      <c r="E87" s="10">
        <f t="shared" si="19"/>
        <v>8.2308104163951869E-4</v>
      </c>
      <c r="F87" s="9">
        <v>190.5</v>
      </c>
      <c r="G87" s="10">
        <f t="shared" si="33"/>
        <v>6.1884669845123949E-4</v>
      </c>
      <c r="H87" s="9">
        <v>190.5</v>
      </c>
      <c r="I87" s="10">
        <f t="shared" si="34"/>
        <v>5.7462121602880095E-4</v>
      </c>
      <c r="J87" s="9"/>
      <c r="K87" s="10">
        <f t="shared" si="29"/>
        <v>0</v>
      </c>
      <c r="L87" s="9">
        <v>132.99</v>
      </c>
      <c r="M87" s="10">
        <f t="shared" si="20"/>
        <v>4.9238832589079933E-4</v>
      </c>
      <c r="N87" s="9"/>
      <c r="O87" s="10">
        <f>N87/N$2</f>
        <v>0</v>
      </c>
      <c r="P87" s="9"/>
      <c r="Q87" s="10">
        <f t="shared" si="36"/>
        <v>0</v>
      </c>
      <c r="R87" s="9"/>
      <c r="S87" s="10">
        <f t="shared" si="37"/>
        <v>0</v>
      </c>
      <c r="T87" s="9"/>
      <c r="U87" s="10">
        <f t="shared" si="38"/>
        <v>0</v>
      </c>
      <c r="V87" s="9"/>
      <c r="W87" s="10">
        <f t="shared" si="39"/>
        <v>0</v>
      </c>
      <c r="X87" s="9"/>
      <c r="Y87" s="10">
        <f t="shared" si="40"/>
        <v>0</v>
      </c>
      <c r="Z87" s="11">
        <f>(B87+D87+F87+H87+J87+L87+N87+P87+R87+T87+V87+X87)/AE$2</f>
        <v>74.582499999999996</v>
      </c>
      <c r="AA87" s="10">
        <f t="shared" si="13"/>
        <v>2.6341927448358742E-4</v>
      </c>
      <c r="AB87" s="12">
        <f t="shared" si="30"/>
        <v>894.99</v>
      </c>
      <c r="AC87" s="126">
        <f t="shared" si="31"/>
        <v>2.6341927448358742E-4</v>
      </c>
      <c r="AD87" s="5"/>
      <c r="AE87" s="18"/>
    </row>
    <row r="88" spans="1:31" x14ac:dyDescent="0.2">
      <c r="A88" s="73" t="s">
        <v>71</v>
      </c>
      <c r="B88" s="72">
        <f>B2-B6-B20-B77</f>
        <v>31889.170000000009</v>
      </c>
      <c r="C88" s="6">
        <f>B88/B$2</f>
        <v>0.13133225648238753</v>
      </c>
      <c r="D88" s="72">
        <f>D2-D6-D20-D77</f>
        <v>45735.870000000017</v>
      </c>
      <c r="E88" s="6">
        <f>D88/D$2</f>
        <v>0.1976080184771109</v>
      </c>
      <c r="F88" s="72">
        <f>F2-F6-F20-F77</f>
        <v>57716.369999999966</v>
      </c>
      <c r="G88" s="6">
        <f>F88/F$2</f>
        <v>0.18749388462514513</v>
      </c>
      <c r="H88" s="72">
        <f>H2-H6-H20-H77</f>
        <v>120508.11</v>
      </c>
      <c r="I88" s="6">
        <f t="shared" si="34"/>
        <v>0.36349877537812342</v>
      </c>
      <c r="J88" s="72">
        <f>J2-J6-J20-J77</f>
        <v>84239.069999999949</v>
      </c>
      <c r="K88" s="6">
        <f>J88/J$2</f>
        <v>0.28773480968697379</v>
      </c>
      <c r="L88" s="72">
        <f>L2-L6-L20-L77</f>
        <v>57125.819999999949</v>
      </c>
      <c r="M88" s="6">
        <f>L88/L$2</f>
        <v>0.21150527765199725</v>
      </c>
      <c r="N88" s="72">
        <f>N2-N6-N20-N77</f>
        <v>53950.287999999986</v>
      </c>
      <c r="O88" s="6">
        <f>N88/N$2</f>
        <v>0.20612604087363959</v>
      </c>
      <c r="P88" s="72">
        <f>P2-P6-P20-P77</f>
        <v>70284.286399999997</v>
      </c>
      <c r="Q88" s="6">
        <f>P88/P$2</f>
        <v>0.25434590460576495</v>
      </c>
      <c r="R88" s="72">
        <f>R2-R6-R20-R77</f>
        <v>107868.47479999998</v>
      </c>
      <c r="S88" s="6">
        <f>R88/R$2</f>
        <v>0.35407693100539306</v>
      </c>
      <c r="T88" s="72">
        <f>T2-T6-T20-T77</f>
        <v>98837.559999999954</v>
      </c>
      <c r="U88" s="6">
        <f>T88/T$2</f>
        <v>0.33319703741280865</v>
      </c>
      <c r="V88" s="72">
        <f>V2-V6-V20-V77</f>
        <v>89034.214800000002</v>
      </c>
      <c r="W88" s="6">
        <f>V88/V$2</f>
        <v>0.30433869354947707</v>
      </c>
      <c r="X88" s="72">
        <f>X2-X6-X20-X77</f>
        <v>67611.806800000006</v>
      </c>
      <c r="Y88" s="6">
        <f>X88/X$2</f>
        <v>0.23377546800003296</v>
      </c>
      <c r="Z88" s="72">
        <f>Z2-Z6-Z20-Z77</f>
        <v>73733.420066666644</v>
      </c>
      <c r="AA88" s="6">
        <f>Z88/Z$2</f>
        <v>0.26042039378077853</v>
      </c>
      <c r="AB88" s="72">
        <f>AB2-AB6-AB20-AB77</f>
        <v>872095.3008000002</v>
      </c>
      <c r="AC88" s="125">
        <f>AB88/AB$2</f>
        <v>0.25668075779313959</v>
      </c>
      <c r="AD88" s="5"/>
      <c r="AE88" s="5">
        <f>27.87/29.75-1</f>
        <v>-6.3193277310924389E-2</v>
      </c>
    </row>
    <row r="89" spans="1:31" x14ac:dyDescent="0.2">
      <c r="A89" s="73" t="s">
        <v>72</v>
      </c>
      <c r="B89" s="116">
        <f>B88/B2</f>
        <v>0.13133225648238753</v>
      </c>
      <c r="C89" s="68"/>
      <c r="D89" s="116">
        <f>D88/D2</f>
        <v>0.1976080184771109</v>
      </c>
      <c r="E89" s="68"/>
      <c r="F89" s="116">
        <f>F88/F2</f>
        <v>0.18749388462514513</v>
      </c>
      <c r="G89" s="68"/>
      <c r="H89" s="116">
        <f>H88/H2</f>
        <v>0.36349877537812342</v>
      </c>
      <c r="I89" s="68"/>
      <c r="J89" s="116">
        <f>J88/J2</f>
        <v>0.28773480968697379</v>
      </c>
      <c r="K89" s="68"/>
      <c r="L89" s="116">
        <f>L88/L2</f>
        <v>0.21150527765199725</v>
      </c>
      <c r="M89" s="68"/>
      <c r="N89" s="116">
        <f>N88/N2</f>
        <v>0.20612604087363959</v>
      </c>
      <c r="O89" s="68"/>
      <c r="P89" s="116">
        <f>P88/P2</f>
        <v>0.25434590460576495</v>
      </c>
      <c r="Q89" s="68"/>
      <c r="R89" s="116">
        <f>R88/R2</f>
        <v>0.35407693100539306</v>
      </c>
      <c r="S89" s="68"/>
      <c r="T89" s="116">
        <f>T88/T2</f>
        <v>0.33319703741280865</v>
      </c>
      <c r="U89" s="68"/>
      <c r="V89" s="116">
        <f>V88/V2</f>
        <v>0.30433869354947707</v>
      </c>
      <c r="W89" s="68"/>
      <c r="X89" s="116">
        <f>X88/X2</f>
        <v>0.23377546800003296</v>
      </c>
      <c r="Y89" s="68"/>
      <c r="Z89" s="116">
        <f>Z88/Z2</f>
        <v>0.26042039378077853</v>
      </c>
      <c r="AA89" s="6">
        <f t="shared" si="13"/>
        <v>9.1978347722941481E-7</v>
      </c>
      <c r="AB89" s="117">
        <f>AB88/AB2</f>
        <v>0.25668075779313959</v>
      </c>
      <c r="AC89" s="125">
        <f>AB89/AB$2</f>
        <v>7.5547949129896721E-8</v>
      </c>
      <c r="AD89" s="5"/>
      <c r="AE89" s="5">
        <f>941910/893047</f>
        <v>1.0547149254182591</v>
      </c>
    </row>
    <row r="90" spans="1:31" x14ac:dyDescent="0.2">
      <c r="A90" s="73" t="s">
        <v>73</v>
      </c>
      <c r="B90" s="74">
        <f>(B20+B77)/C19</f>
        <v>200748.50289181084</v>
      </c>
      <c r="C90" s="6">
        <f>B90/B$2</f>
        <v>0.82676199694888908</v>
      </c>
      <c r="D90" s="74">
        <f>(D20+D77)/E19</f>
        <v>172250.97987234799</v>
      </c>
      <c r="E90" s="6">
        <f>D90/D$2</f>
        <v>0.74423367945805752</v>
      </c>
      <c r="F90" s="74">
        <f>(F20+F77)/G19</f>
        <v>238926.30093791857</v>
      </c>
      <c r="G90" s="6">
        <f>F90/F$2</f>
        <v>0.77616143049132913</v>
      </c>
      <c r="H90" s="74">
        <f>(H20+H77)/I19</f>
        <v>183816.6429483064</v>
      </c>
      <c r="I90" s="6">
        <f>H90/H$2</f>
        <v>0.55446164250544749</v>
      </c>
      <c r="J90" s="74">
        <f>(J20+J77)/K19</f>
        <v>182564.44134256893</v>
      </c>
      <c r="K90" s="6">
        <f>J90/J$2</f>
        <v>0.62358410159695243</v>
      </c>
      <c r="L90" s="74">
        <f>(L20+L77)/M19</f>
        <v>197365.79324488324</v>
      </c>
      <c r="M90" s="6">
        <f>L90/L$2</f>
        <v>0.73073623974703128</v>
      </c>
      <c r="N90" s="74">
        <f>(N20+N77)/O19</f>
        <v>192283.91379104793</v>
      </c>
      <c r="O90" s="6">
        <f>N90/N$2</f>
        <v>0.73465264677432207</v>
      </c>
      <c r="P90" s="74">
        <f>(P20+P77)/Q19</f>
        <v>189124.75290353253</v>
      </c>
      <c r="Q90" s="6">
        <f>P90/P$2</f>
        <v>0.68440769373153587</v>
      </c>
      <c r="R90" s="74">
        <f>(R20+R77)/S19</f>
        <v>172503.98243716749</v>
      </c>
      <c r="S90" s="6">
        <f>R90/R$2</f>
        <v>0.56624218337015464</v>
      </c>
      <c r="T90" s="74">
        <f>(T20+T77)/U19</f>
        <v>172476.5975214043</v>
      </c>
      <c r="U90" s="6">
        <f>T90/T$2</f>
        <v>0.58144587257286928</v>
      </c>
      <c r="V90" s="74">
        <f>(V20+V77)/W19</f>
        <v>181161.10875184182</v>
      </c>
      <c r="W90" s="6">
        <f>V90/V$2</f>
        <v>0.61924885038139599</v>
      </c>
      <c r="X90" s="74">
        <f>(X20+X77)/Y19</f>
        <v>204623.64411118522</v>
      </c>
      <c r="Y90" s="6">
        <f>X90/X$2</f>
        <v>0.7075093897056528</v>
      </c>
      <c r="Z90" s="89">
        <f>(B90+D90+F90+H90+J90+L90+N90+P90+R90+T90+V90+X90)/AE$2</f>
        <v>190653.88839616792</v>
      </c>
      <c r="AA90" s="6">
        <f t="shared" si="13"/>
        <v>0.6733739008318762</v>
      </c>
      <c r="AB90" s="74">
        <f>(AB20+AB77)/AC19</f>
        <v>2301397.3849167479</v>
      </c>
      <c r="AC90" s="125">
        <f>AB90/AB$2</f>
        <v>0.67736223805092255</v>
      </c>
      <c r="AD90" s="5"/>
      <c r="AE90" s="5"/>
    </row>
    <row r="91" spans="1:31" x14ac:dyDescent="0.2">
      <c r="A91" s="75" t="s">
        <v>74</v>
      </c>
      <c r="B91" s="71">
        <f>B6+B20+B77</f>
        <v>210923.76</v>
      </c>
      <c r="C91" s="6">
        <f>B91/B$2</f>
        <v>0.86866774351761245</v>
      </c>
      <c r="D91" s="71">
        <f>D6+D20+D77</f>
        <v>185711.56999999998</v>
      </c>
      <c r="E91" s="6">
        <f>D91/D$2</f>
        <v>0.80239198152288904</v>
      </c>
      <c r="F91" s="71">
        <f>F6+F20+F77</f>
        <v>250114.31000000003</v>
      </c>
      <c r="G91" s="6">
        <f>F91/F$2</f>
        <v>0.81250611537485484</v>
      </c>
      <c r="H91" s="71">
        <f>H77+H20+H6</f>
        <v>211014.63000000003</v>
      </c>
      <c r="I91" s="6">
        <f>H91/H$2</f>
        <v>0.63650122462187675</v>
      </c>
      <c r="J91" s="71">
        <f>J77+J20+J6</f>
        <v>208527.28000000003</v>
      </c>
      <c r="K91" s="6">
        <f>J91/J$2</f>
        <v>0.71226519031302626</v>
      </c>
      <c r="L91" s="71">
        <f>L77+L20+L6</f>
        <v>212965.88000000006</v>
      </c>
      <c r="M91" s="6">
        <f>L91/L$2</f>
        <v>0.78849472234800277</v>
      </c>
      <c r="N91" s="71">
        <f>N77+N20+N6</f>
        <v>207784.17200000002</v>
      </c>
      <c r="O91" s="6">
        <f>N91/N$2</f>
        <v>0.7938739591263605</v>
      </c>
      <c r="P91" s="71">
        <f>P77+P20+P6</f>
        <v>206049.18359999996</v>
      </c>
      <c r="Q91" s="6">
        <f>P91/P$2</f>
        <v>0.74565409539423499</v>
      </c>
      <c r="R91" s="71">
        <f>R77+R20+R6</f>
        <v>196778.5252</v>
      </c>
      <c r="S91" s="6">
        <f>R91/R$2</f>
        <v>0.64592306899460683</v>
      </c>
      <c r="T91" s="71">
        <f>T77+T20+T6</f>
        <v>197796.40999999997</v>
      </c>
      <c r="U91" s="6">
        <f>T91/T$2</f>
        <v>0.66680296258719118</v>
      </c>
      <c r="V91" s="71">
        <f>V77+V20+V6</f>
        <v>203515.5552</v>
      </c>
      <c r="W91" s="6">
        <f>V91/V$2</f>
        <v>0.69566130645052293</v>
      </c>
      <c r="X91" s="71">
        <f>X77+X20+X6</f>
        <v>221605.05319999997</v>
      </c>
      <c r="Y91" s="6">
        <f>X91/X$2</f>
        <v>0.76622453199996698</v>
      </c>
      <c r="Z91" s="90">
        <f>(B91+D91+F91+H91+J91+L91+N91+P91+R91+T91+V91+X91)/AE$2</f>
        <v>209398.86076666668</v>
      </c>
      <c r="AA91" s="6">
        <f>Z91/Z$2</f>
        <v>0.73957960621922147</v>
      </c>
      <c r="AB91" s="71">
        <f>B91+D91+F91+H91+J91+L91+N91+P91+R91+T91+V91+X91</f>
        <v>2512786.3292</v>
      </c>
      <c r="AC91" s="125">
        <f>AB91/AB$2</f>
        <v>0.73957960621922136</v>
      </c>
      <c r="AD91" s="5"/>
      <c r="AE91" s="5"/>
    </row>
    <row r="92" spans="1:31" x14ac:dyDescent="0.2">
      <c r="A92" s="76" t="s">
        <v>75</v>
      </c>
      <c r="B92" s="74"/>
      <c r="C92" s="19"/>
      <c r="D92" s="74"/>
      <c r="E92" s="19"/>
      <c r="F92" s="74"/>
      <c r="G92" s="19"/>
      <c r="H92" s="74"/>
      <c r="I92" s="19"/>
      <c r="J92" s="74"/>
      <c r="K92" s="19"/>
      <c r="L92" s="74"/>
      <c r="M92" s="19"/>
      <c r="N92" s="74"/>
      <c r="O92" s="99"/>
      <c r="P92" s="74"/>
      <c r="Q92" s="19"/>
      <c r="R92" s="88"/>
      <c r="S92" s="19"/>
      <c r="T92" s="74"/>
      <c r="U92" s="19"/>
      <c r="V92" s="74"/>
      <c r="W92" s="19"/>
      <c r="X92" s="74"/>
      <c r="Y92" s="19"/>
      <c r="Z92" s="90">
        <f>(B92+D92+F92+H92+J92+L92+N92+P92+R92+T92+V92+X92)/AE$2</f>
        <v>0</v>
      </c>
      <c r="AA92" s="19"/>
      <c r="AB92" s="95"/>
      <c r="AC92" s="127"/>
      <c r="AD92" s="5"/>
      <c r="AE92" s="5"/>
    </row>
    <row r="93" spans="1:31" x14ac:dyDescent="0.2">
      <c r="A93" s="76" t="s">
        <v>76</v>
      </c>
      <c r="B93" s="77">
        <v>36000</v>
      </c>
      <c r="C93" s="10"/>
      <c r="D93" s="77">
        <v>22000</v>
      </c>
      <c r="E93" s="10"/>
      <c r="F93" s="77">
        <v>18000</v>
      </c>
      <c r="G93" s="10"/>
      <c r="H93" s="77">
        <v>20000</v>
      </c>
      <c r="I93" s="10"/>
      <c r="J93" s="77">
        <v>283100</v>
      </c>
      <c r="K93" s="10"/>
      <c r="L93" s="77">
        <v>28200</v>
      </c>
      <c r="M93" s="10"/>
      <c r="N93" s="77">
        <v>45000</v>
      </c>
      <c r="O93" s="10"/>
      <c r="P93" s="77">
        <v>70000</v>
      </c>
      <c r="Q93" s="10"/>
      <c r="R93" s="77">
        <v>55000</v>
      </c>
      <c r="S93" s="10">
        <f>R93/R$2</f>
        <v>0.18053681802216992</v>
      </c>
      <c r="T93" s="77">
        <v>200000</v>
      </c>
      <c r="U93" s="10"/>
      <c r="V93" s="86"/>
      <c r="W93" s="10"/>
      <c r="X93" s="77"/>
      <c r="Y93" s="10"/>
      <c r="Z93" s="91">
        <f>(B93+D93+F93+H93+J93+L93+N93+P93+R93+T93+V93+X93)/AE$2</f>
        <v>64775</v>
      </c>
      <c r="AA93" s="10">
        <f>Z93/Z$2</f>
        <v>0.22877998866589855</v>
      </c>
      <c r="AB93" s="77">
        <f>L93+N93+P93+R93+T93+V93+X93+J93+H93+F93+D93+B93</f>
        <v>777300</v>
      </c>
      <c r="AC93" s="122">
        <f>AB93/AB$2</f>
        <v>0.22877998866589852</v>
      </c>
      <c r="AD93" s="5"/>
      <c r="AE93" s="5"/>
    </row>
    <row r="94" spans="1:31" ht="16" thickBot="1" x14ac:dyDescent="0.25">
      <c r="A94" s="78" t="s">
        <v>77</v>
      </c>
      <c r="B94" s="79">
        <f>B88-B92-B93</f>
        <v>-4110.8299999999908</v>
      </c>
      <c r="C94" s="20"/>
      <c r="D94" s="79">
        <f>D88-D92-D93</f>
        <v>23735.870000000017</v>
      </c>
      <c r="E94" s="20"/>
      <c r="F94" s="79">
        <f>F88-F92-F93</f>
        <v>39716.369999999966</v>
      </c>
      <c r="G94" s="21"/>
      <c r="H94" s="79">
        <f>H88</f>
        <v>120508.11</v>
      </c>
      <c r="I94" s="21"/>
      <c r="J94" s="79">
        <f>J88-J92-J93</f>
        <v>-198860.93000000005</v>
      </c>
      <c r="K94" s="21"/>
      <c r="L94" s="79">
        <f>L88-L92-L93</f>
        <v>28925.819999999949</v>
      </c>
      <c r="M94" s="21"/>
      <c r="N94" s="79">
        <f>N88-N92-N93</f>
        <v>8950.2879999999859</v>
      </c>
      <c r="O94" s="100"/>
      <c r="P94" s="79">
        <f>P88-P92-P93</f>
        <v>284.28639999999723</v>
      </c>
      <c r="Q94" s="21"/>
      <c r="R94" s="79">
        <f>R88-R92-R93</f>
        <v>52868.474799999982</v>
      </c>
      <c r="S94" s="21"/>
      <c r="T94" s="79">
        <f>T88-T92-T93</f>
        <v>-101162.44000000005</v>
      </c>
      <c r="U94" s="21"/>
      <c r="V94" s="79">
        <f>V88-V92-V93</f>
        <v>89034.214800000002</v>
      </c>
      <c r="W94" s="21"/>
      <c r="X94" s="79">
        <f>X88-X92-X93</f>
        <v>67611.806800000006</v>
      </c>
      <c r="Y94" s="20"/>
      <c r="Z94" s="90">
        <f>(B94+D94+F94+H94+J94+L94+N94+P94+R94+T94+V94+X94)/AE$2</f>
        <v>10625.086733333317</v>
      </c>
      <c r="AA94" s="20"/>
      <c r="AB94" s="79">
        <f>AB88-AB92-AB93</f>
        <v>94795.300800000201</v>
      </c>
      <c r="AC94" s="128"/>
      <c r="AD94" s="5"/>
      <c r="AE94" s="5"/>
    </row>
    <row r="95" spans="1:31" x14ac:dyDescent="0.2">
      <c r="A95" s="80" t="s">
        <v>78</v>
      </c>
      <c r="B95" s="81">
        <f>B94/B2</f>
        <v>-1.6930029220437275E-2</v>
      </c>
      <c r="C95" s="22"/>
      <c r="D95" s="81">
        <f>D94/D2</f>
        <v>0.10255403991506674</v>
      </c>
      <c r="E95" s="22"/>
      <c r="F95" s="81">
        <f>F94/F2</f>
        <v>0.12902018083447683</v>
      </c>
      <c r="G95" s="23"/>
      <c r="H95" s="81">
        <f>H94/H2</f>
        <v>0.36349877537812342</v>
      </c>
      <c r="I95" s="23"/>
      <c r="J95" s="81">
        <f>J94/J2</f>
        <v>-0.67924790536890622</v>
      </c>
      <c r="K95" s="23"/>
      <c r="L95" s="81">
        <f>L94/L2</f>
        <v>0.10709629359213907</v>
      </c>
      <c r="M95" s="23"/>
      <c r="N95" s="87">
        <f>N94/N2</f>
        <v>3.4196062681238024E-2</v>
      </c>
      <c r="O95" s="101"/>
      <c r="P95" s="87">
        <f>P94/P2</f>
        <v>1.028780190832465E-3</v>
      </c>
      <c r="Q95" s="23"/>
      <c r="R95" s="87">
        <f>R94/R2</f>
        <v>0.17354011298322314</v>
      </c>
      <c r="S95" s="23"/>
      <c r="T95" s="87">
        <f>T94/T2</f>
        <v>-0.34103457537247017</v>
      </c>
      <c r="U95" s="23"/>
      <c r="V95" s="87">
        <f>V94/V2</f>
        <v>0.30433869354947707</v>
      </c>
      <c r="W95" s="23"/>
      <c r="X95" s="87">
        <f>X94/X2</f>
        <v>0.23377546800003296</v>
      </c>
      <c r="Y95" s="22"/>
      <c r="Z95" s="92">
        <f>Z94/Z2</f>
        <v>3.7526935120435125E-2</v>
      </c>
      <c r="AA95" s="22"/>
      <c r="AB95" s="96">
        <f>AB94/AB2</f>
        <v>2.7900769127241074E-2</v>
      </c>
      <c r="AC95" s="129"/>
      <c r="AD95" s="5"/>
      <c r="AE95" s="5"/>
    </row>
    <row r="96" spans="1:31" x14ac:dyDescent="0.2">
      <c r="A96" s="82" t="s">
        <v>79</v>
      </c>
      <c r="B96" s="83">
        <f>(B20+B77+B93)/C19</f>
        <v>248235.45146697943</v>
      </c>
      <c r="C96" s="24"/>
      <c r="D96" s="83">
        <f>(D20+D77+D93)/E19</f>
        <v>200725.83172950833</v>
      </c>
      <c r="E96" s="25"/>
      <c r="F96" s="83">
        <f>(F20+F77+F93)/G19</f>
        <v>260415.5044882712</v>
      </c>
      <c r="G96" s="25"/>
      <c r="H96" s="83">
        <f>(H20+H77)/I19</f>
        <v>183816.6429483064</v>
      </c>
      <c r="I96" s="25"/>
      <c r="J96" s="83">
        <f>(J20+J77-J93)/K19</f>
        <v>-187788.17937034671</v>
      </c>
      <c r="K96" s="25"/>
      <c r="L96" s="83">
        <f>(L20+L77-L93)/M19</f>
        <v>161464.85439631538</v>
      </c>
      <c r="M96" s="25"/>
      <c r="N96" s="83">
        <f>(N20+N77-N93)/O19</f>
        <v>134355.12980748803</v>
      </c>
      <c r="O96" s="102"/>
      <c r="P96" s="83">
        <f>(P20+P77-P93)/Q19</f>
        <v>102268.77826916931</v>
      </c>
      <c r="Q96" s="25"/>
      <c r="R96" s="83">
        <f>(R20+R77-R93)/S19</f>
        <v>105126.87360688869</v>
      </c>
      <c r="S96" s="25"/>
      <c r="T96" s="83">
        <f>(T20+T77-T93)/U19</f>
        <v>-78758.605934843887</v>
      </c>
      <c r="U96" s="25"/>
      <c r="V96" s="83">
        <f>(V20+V77-V93)/W19</f>
        <v>181161.10875184182</v>
      </c>
      <c r="W96" s="25"/>
      <c r="X96" s="83">
        <f>(X20+X77-X93)/Y19</f>
        <v>204623.64411118522</v>
      </c>
      <c r="Y96" s="24"/>
      <c r="Z96" s="93">
        <f>(B96+D96+F96+H96+J96+L96+N96+P96+R96+T96+V96+X96)/12</f>
        <v>126303.91952256362</v>
      </c>
      <c r="AA96" s="24"/>
      <c r="AB96" s="97">
        <f>(AB20+AB77+AB93)/AC19</f>
        <v>3278433.351769892</v>
      </c>
      <c r="AC96" s="130"/>
      <c r="AD96" s="5"/>
      <c r="AE96" s="5"/>
    </row>
    <row r="97" spans="1:31" ht="16" thickBot="1" x14ac:dyDescent="0.25">
      <c r="A97" s="84" t="s">
        <v>80</v>
      </c>
      <c r="B97" s="85">
        <f>B91+B93</f>
        <v>246923.76</v>
      </c>
      <c r="C97" s="26"/>
      <c r="D97" s="85">
        <f>D91+D93</f>
        <v>207711.56999999998</v>
      </c>
      <c r="E97" s="26"/>
      <c r="F97" s="85">
        <f>F91+F93</f>
        <v>268114.31000000006</v>
      </c>
      <c r="G97" s="27"/>
      <c r="H97" s="85">
        <f>H91+H93</f>
        <v>231014.63000000003</v>
      </c>
      <c r="I97" s="27"/>
      <c r="J97" s="85">
        <f>J91+J93</f>
        <v>491627.28</v>
      </c>
      <c r="K97" s="27"/>
      <c r="L97" s="85">
        <f>L91+L93</f>
        <v>241165.88000000006</v>
      </c>
      <c r="M97" s="27"/>
      <c r="N97" s="85">
        <f>N91+N93</f>
        <v>252784.17200000002</v>
      </c>
      <c r="O97" s="103"/>
      <c r="P97" s="85">
        <f>P91+P93</f>
        <v>276049.18359999999</v>
      </c>
      <c r="Q97" s="27"/>
      <c r="R97" s="85">
        <f>R91+R93</f>
        <v>251778.5252</v>
      </c>
      <c r="S97" s="27"/>
      <c r="T97" s="85">
        <f>T91+T93</f>
        <v>397796.41</v>
      </c>
      <c r="U97" s="27"/>
      <c r="V97" s="85">
        <f>V91+V93</f>
        <v>203515.5552</v>
      </c>
      <c r="W97" s="27"/>
      <c r="X97" s="85">
        <f>X91+X93</f>
        <v>221605.05319999997</v>
      </c>
      <c r="Y97" s="26"/>
      <c r="Z97" s="94">
        <f>Z91+Z93</f>
        <v>274173.86076666671</v>
      </c>
      <c r="AA97" s="26"/>
      <c r="AB97" s="98">
        <f>AB91+AB93</f>
        <v>3290086.3292</v>
      </c>
      <c r="AC97" s="131"/>
      <c r="AD97" s="5"/>
      <c r="AE97" s="5"/>
    </row>
    <row r="98" spans="1:31" x14ac:dyDescent="0.2">
      <c r="A98" s="28"/>
      <c r="B98" s="29"/>
      <c r="C98" s="30"/>
      <c r="D98" s="29"/>
      <c r="E98" s="30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30"/>
      <c r="Z98" s="31"/>
      <c r="AA98" s="30"/>
      <c r="AB98" s="32"/>
      <c r="AC98" s="5"/>
      <c r="AD98" s="5"/>
      <c r="AE98" s="5"/>
    </row>
    <row r="99" spans="1:31" x14ac:dyDescent="0.2">
      <c r="A99" s="33"/>
      <c r="B99" s="14"/>
      <c r="C99" s="5"/>
      <c r="D99" s="14"/>
      <c r="E99" s="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5"/>
      <c r="Z99" s="34"/>
      <c r="AA99" s="5"/>
      <c r="AB99" s="35"/>
      <c r="AC99" s="5"/>
      <c r="AD99" s="5"/>
      <c r="AE99" s="5"/>
    </row>
    <row r="100" spans="1:3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118"/>
      <c r="AA100" s="5"/>
      <c r="AB100" s="5"/>
      <c r="AC100" s="5"/>
      <c r="AD100" s="5"/>
      <c r="AE100" s="5"/>
    </row>
    <row r="101" spans="1:31" x14ac:dyDescent="0.2">
      <c r="A101" s="104" t="s">
        <v>81</v>
      </c>
      <c r="B101" s="105">
        <f>SUM(B102:B105)</f>
        <v>91139.140000000014</v>
      </c>
      <c r="C101" s="36"/>
      <c r="D101" s="105">
        <f>SUM(D102:D105)</f>
        <v>124875.01000000001</v>
      </c>
      <c r="E101" s="36"/>
      <c r="F101" s="105">
        <f>SUM(F102:F105)</f>
        <v>175591.38</v>
      </c>
      <c r="G101" s="36"/>
      <c r="H101" s="105">
        <f>SUM(H102:H105)</f>
        <v>276099.49000000005</v>
      </c>
      <c r="I101" s="36"/>
      <c r="J101" s="105">
        <f>SUM(J102:J105)</f>
        <v>77238.040000000066</v>
      </c>
      <c r="K101" s="36"/>
      <c r="L101" s="105">
        <f>SUM(L102:L105)</f>
        <v>106164.36000000007</v>
      </c>
      <c r="M101" s="36"/>
      <c r="N101" s="108">
        <f>SUM(N102:N105)</f>
        <v>155753.7600000001</v>
      </c>
      <c r="O101" s="36"/>
      <c r="P101" s="105">
        <f>SUM(P102:P105)</f>
        <v>135698.24000000011</v>
      </c>
      <c r="Q101" s="36"/>
      <c r="R101" s="105">
        <f>SUM(R102:R105)</f>
        <v>201003.8000000001</v>
      </c>
      <c r="S101" s="36"/>
      <c r="T101" s="105">
        <f>SUM(T102:T105)</f>
        <v>65209.730000000098</v>
      </c>
      <c r="U101" s="36"/>
      <c r="V101" s="109">
        <f>SUM(V102:V105)</f>
        <v>104462.4200000001</v>
      </c>
      <c r="W101" s="36"/>
      <c r="X101" s="110">
        <f>SUM(X102:X105)</f>
        <v>0</v>
      </c>
      <c r="Y101" s="33"/>
      <c r="Z101" s="33"/>
      <c r="AA101" s="33"/>
      <c r="AB101" s="33"/>
      <c r="AC101" s="33"/>
      <c r="AD101" s="5"/>
      <c r="AE101" s="5"/>
    </row>
    <row r="102" spans="1:31" ht="16" x14ac:dyDescent="0.2">
      <c r="A102" s="37" t="s">
        <v>82</v>
      </c>
      <c r="B102" s="65">
        <v>25000</v>
      </c>
      <c r="C102" s="135"/>
      <c r="D102" s="38">
        <v>13782.81</v>
      </c>
      <c r="E102" s="5"/>
      <c r="F102" s="38">
        <v>25000</v>
      </c>
      <c r="G102" s="5"/>
      <c r="H102" s="39">
        <v>10160.34</v>
      </c>
      <c r="I102" s="5"/>
      <c r="J102" s="39">
        <v>13182.46</v>
      </c>
      <c r="K102" s="5"/>
      <c r="L102" s="38">
        <v>17088.48</v>
      </c>
      <c r="M102" s="5"/>
      <c r="N102" s="39">
        <v>25000</v>
      </c>
      <c r="O102" s="5"/>
      <c r="P102" s="39">
        <v>25000</v>
      </c>
      <c r="Q102" s="5"/>
      <c r="R102" s="39">
        <v>25000</v>
      </c>
      <c r="S102" s="5"/>
      <c r="T102" s="38">
        <v>25000</v>
      </c>
      <c r="U102" s="5"/>
      <c r="V102" s="40">
        <v>0</v>
      </c>
      <c r="W102" s="5"/>
      <c r="X102" s="26"/>
      <c r="Y102" s="5"/>
      <c r="Z102" s="5"/>
      <c r="AA102" s="5"/>
      <c r="AB102" s="5"/>
      <c r="AC102" s="5"/>
      <c r="AD102" s="5"/>
      <c r="AE102" s="5"/>
    </row>
    <row r="103" spans="1:31" ht="16" x14ac:dyDescent="0.2">
      <c r="A103" s="41" t="s">
        <v>164</v>
      </c>
      <c r="B103" s="66"/>
      <c r="C103" s="135"/>
      <c r="D103" s="42"/>
      <c r="E103" s="5"/>
      <c r="F103" s="42"/>
      <c r="G103" s="5"/>
      <c r="H103" s="43"/>
      <c r="I103" s="5"/>
      <c r="J103" s="43">
        <v>500</v>
      </c>
      <c r="K103" s="5"/>
      <c r="L103" s="42">
        <v>64</v>
      </c>
      <c r="M103" s="5"/>
      <c r="N103" s="43"/>
      <c r="O103" s="5"/>
      <c r="P103" s="43"/>
      <c r="Q103" s="5"/>
      <c r="R103" s="43"/>
      <c r="S103" s="5"/>
      <c r="T103" s="42"/>
      <c r="U103" s="5"/>
      <c r="V103" s="44"/>
      <c r="W103" s="5"/>
      <c r="X103" s="45"/>
      <c r="Y103" s="5"/>
      <c r="Z103" s="5"/>
      <c r="AA103" s="5"/>
      <c r="AB103" s="5"/>
      <c r="AC103" s="5"/>
      <c r="AD103" s="5"/>
      <c r="AE103" s="5"/>
    </row>
    <row r="104" spans="1:31" ht="16" x14ac:dyDescent="0.2">
      <c r="A104" s="41" t="s">
        <v>83</v>
      </c>
      <c r="B104" s="66">
        <v>4.16</v>
      </c>
      <c r="C104" s="135"/>
      <c r="D104" s="42">
        <f>-941.44+0.62</f>
        <v>-940.82</v>
      </c>
      <c r="E104" s="5"/>
      <c r="F104" s="42">
        <f>1428.56+0.62</f>
        <v>1429.1799999999998</v>
      </c>
      <c r="G104" s="5"/>
      <c r="H104" s="43">
        <v>359.08</v>
      </c>
      <c r="I104" s="5"/>
      <c r="J104" s="43">
        <v>474.76</v>
      </c>
      <c r="K104" s="5"/>
      <c r="L104" s="42">
        <v>4.76</v>
      </c>
      <c r="M104" s="5"/>
      <c r="N104" s="43">
        <v>2650.66</v>
      </c>
      <c r="O104" s="5"/>
      <c r="P104" s="43">
        <v>2177.7600000000002</v>
      </c>
      <c r="Q104" s="5"/>
      <c r="R104" s="43">
        <v>2157.16</v>
      </c>
      <c r="S104" s="5"/>
      <c r="T104" s="42">
        <v>1257.1600000000001</v>
      </c>
      <c r="U104" s="5"/>
      <c r="V104" s="44">
        <v>604.72</v>
      </c>
      <c r="W104" s="5"/>
      <c r="X104" s="45"/>
      <c r="Y104" s="5"/>
      <c r="Z104" s="5"/>
      <c r="AA104" s="5"/>
      <c r="AB104" s="5"/>
      <c r="AC104" s="5"/>
      <c r="AD104" s="5"/>
      <c r="AE104" s="5"/>
    </row>
    <row r="105" spans="1:31" ht="16" x14ac:dyDescent="0.2">
      <c r="A105" s="46" t="s">
        <v>84</v>
      </c>
      <c r="B105" s="67">
        <f>29245.82+99966.43-63077.27</f>
        <v>66134.98000000001</v>
      </c>
      <c r="C105" s="136"/>
      <c r="D105" s="47">
        <f>B105+130750.75-84852.71</f>
        <v>112033.02</v>
      </c>
      <c r="E105" s="48"/>
      <c r="F105" s="47">
        <f>D105+166617.5-129488.32</f>
        <v>149162.20000000001</v>
      </c>
      <c r="G105" s="48"/>
      <c r="H105" s="49">
        <f>F105+165533.1-49115.23</f>
        <v>265580.07000000007</v>
      </c>
      <c r="I105" s="48"/>
      <c r="J105" s="49">
        <f>H105+118354.33-320853.58</f>
        <v>63080.820000000065</v>
      </c>
      <c r="K105" s="48"/>
      <c r="L105" s="50">
        <f>J105+127261.88-101335.58</f>
        <v>89007.120000000068</v>
      </c>
      <c r="M105" s="48"/>
      <c r="N105" s="50">
        <f>L105+152789.04-113693.06</f>
        <v>128103.10000000009</v>
      </c>
      <c r="O105" s="48"/>
      <c r="P105" s="49">
        <f>N105+77460.91-97043.53</f>
        <v>108520.4800000001</v>
      </c>
      <c r="Q105" s="48"/>
      <c r="R105" s="49">
        <f>P105+206794.57-141468.41</f>
        <v>173846.6400000001</v>
      </c>
      <c r="S105" s="48"/>
      <c r="T105" s="47">
        <f>R105+68298.18-203192.25</f>
        <v>38952.570000000094</v>
      </c>
      <c r="U105" s="48"/>
      <c r="V105" s="51">
        <f>T105+126019.32-61114.19</f>
        <v>103857.7000000001</v>
      </c>
      <c r="W105" s="48"/>
      <c r="X105" s="22"/>
      <c r="Y105" s="5"/>
      <c r="Z105" s="5"/>
      <c r="AA105" s="5"/>
      <c r="AB105" s="5"/>
      <c r="AC105" s="5"/>
      <c r="AD105" s="5"/>
      <c r="AE105" s="5"/>
    </row>
    <row r="106" spans="1:31" x14ac:dyDescent="0.2">
      <c r="A106" s="52"/>
      <c r="B106" s="52"/>
      <c r="C106" s="5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6" thickBot="1" x14ac:dyDescent="0.25">
      <c r="A108" s="33" t="s">
        <v>85</v>
      </c>
      <c r="B108" s="35">
        <f>SUM(B2)</f>
        <v>242812.93000000002</v>
      </c>
      <c r="C108" s="33"/>
      <c r="D108" s="35">
        <f>SUM(D2)</f>
        <v>231447.44</v>
      </c>
      <c r="E108" s="33"/>
      <c r="F108" s="35">
        <f>SUM(F2)</f>
        <v>307830.68</v>
      </c>
      <c r="G108" s="33"/>
      <c r="H108" s="35">
        <f>SUM(H2)</f>
        <v>331522.74</v>
      </c>
      <c r="I108" s="33"/>
      <c r="J108" s="35">
        <f>SUM(J2)</f>
        <v>292766.34999999998</v>
      </c>
      <c r="K108" s="33"/>
      <c r="L108" s="35">
        <f>SUM(L2)</f>
        <v>270091.7</v>
      </c>
      <c r="M108" s="33"/>
      <c r="N108" s="35">
        <f>SUM(N2)</f>
        <v>261734.46</v>
      </c>
      <c r="O108" s="33"/>
      <c r="P108" s="35">
        <f>SUM(P2)</f>
        <v>276333.46999999997</v>
      </c>
      <c r="Q108" s="33"/>
      <c r="R108" s="35">
        <f>SUM(R2)</f>
        <v>304647</v>
      </c>
      <c r="S108" s="33"/>
      <c r="T108" s="35">
        <f>SUM(T2)</f>
        <v>296633.96999999997</v>
      </c>
      <c r="U108" s="33"/>
      <c r="V108" s="35">
        <f>SUM(V2)</f>
        <v>292549.77</v>
      </c>
      <c r="W108" s="33"/>
      <c r="X108" s="35">
        <f>SUM(X2)</f>
        <v>289216.86</v>
      </c>
      <c r="Y108" s="33"/>
      <c r="Z108" s="35">
        <f>SUM(Z2)</f>
        <v>283132.28083333332</v>
      </c>
      <c r="AA108" s="33"/>
      <c r="AB108" s="35">
        <f>SUM(AB2)</f>
        <v>3397587.37</v>
      </c>
      <c r="AC108" s="33"/>
      <c r="AD108" s="33"/>
      <c r="AE108" s="33"/>
    </row>
    <row r="109" spans="1:31" x14ac:dyDescent="0.2">
      <c r="A109" s="53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5"/>
      <c r="AD109" s="5"/>
      <c r="AE109" s="5"/>
    </row>
    <row r="110" spans="1:3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x14ac:dyDescent="0.2">
      <c r="A112" s="106">
        <v>2025</v>
      </c>
      <c r="B112" s="107" t="s">
        <v>86</v>
      </c>
      <c r="C112" s="5"/>
      <c r="D112" s="107" t="s">
        <v>87</v>
      </c>
      <c r="E112" s="5"/>
      <c r="F112" s="107" t="s">
        <v>88</v>
      </c>
      <c r="G112" s="5"/>
      <c r="H112" s="107" t="s">
        <v>89</v>
      </c>
      <c r="I112" s="5"/>
      <c r="J112" s="107" t="s">
        <v>90</v>
      </c>
      <c r="K112" s="5"/>
      <c r="L112" s="107" t="s">
        <v>91</v>
      </c>
      <c r="M112" s="5"/>
      <c r="N112" s="107" t="s">
        <v>92</v>
      </c>
      <c r="O112" s="5"/>
      <c r="P112" s="107" t="s">
        <v>93</v>
      </c>
      <c r="Q112" s="5"/>
      <c r="R112" s="107" t="s">
        <v>94</v>
      </c>
      <c r="S112" s="5"/>
      <c r="T112" s="107" t="s">
        <v>95</v>
      </c>
      <c r="U112" s="5"/>
      <c r="V112" s="107" t="s">
        <v>96</v>
      </c>
      <c r="W112" s="5"/>
      <c r="X112" s="107" t="s">
        <v>97</v>
      </c>
      <c r="Y112" s="5"/>
      <c r="Z112" s="107" t="s">
        <v>14</v>
      </c>
      <c r="AA112" s="5"/>
      <c r="AB112" s="5"/>
      <c r="AC112" s="5"/>
      <c r="AD112" s="5"/>
      <c r="AE112" s="5"/>
    </row>
    <row r="113" spans="1:31" x14ac:dyDescent="0.2">
      <c r="A113" s="54" t="s">
        <v>98</v>
      </c>
      <c r="B113" s="55">
        <v>29249.97</v>
      </c>
      <c r="C113" s="5"/>
      <c r="D113" s="55">
        <f>B120</f>
        <v>91139.14</v>
      </c>
      <c r="E113" s="5"/>
      <c r="F113" s="55">
        <f>D120</f>
        <v>124875.01000000004</v>
      </c>
      <c r="G113" s="5"/>
      <c r="H113" s="55">
        <f>F120</f>
        <v>175591.38000000003</v>
      </c>
      <c r="I113" s="5"/>
      <c r="J113" s="55">
        <f>H120</f>
        <v>276099.48999999993</v>
      </c>
      <c r="K113" s="5"/>
      <c r="L113" s="55">
        <f>J120</f>
        <v>77238.559999999765</v>
      </c>
      <c r="M113" s="5"/>
      <c r="N113" s="55">
        <f>L120</f>
        <v>106164.37999999971</v>
      </c>
      <c r="O113" s="5"/>
      <c r="P113" s="55">
        <f>N120</f>
        <v>115114.66799999971</v>
      </c>
      <c r="Q113" s="5"/>
      <c r="R113" s="55">
        <f>P120</f>
        <v>115398.95439999973</v>
      </c>
      <c r="S113" s="5"/>
      <c r="T113" s="55">
        <f>R120</f>
        <v>168267.42919999969</v>
      </c>
      <c r="U113" s="5"/>
      <c r="V113" s="55">
        <f>T120</f>
        <v>13971.00919999968</v>
      </c>
      <c r="W113" s="5"/>
      <c r="X113" s="55">
        <f>V120</f>
        <v>103005.2239999997</v>
      </c>
      <c r="Y113" s="5"/>
      <c r="Z113" s="55"/>
      <c r="AA113" s="5"/>
      <c r="AB113" s="5"/>
      <c r="AC113" s="5"/>
      <c r="AD113" s="5"/>
      <c r="AE113" s="5"/>
    </row>
    <row r="114" spans="1:31" x14ac:dyDescent="0.2">
      <c r="A114" s="54" t="s">
        <v>99</v>
      </c>
      <c r="B114" s="55">
        <f>B2</f>
        <v>242812.93000000002</v>
      </c>
      <c r="C114" s="5"/>
      <c r="D114" s="55">
        <f>D2</f>
        <v>231447.44</v>
      </c>
      <c r="E114" s="5"/>
      <c r="F114" s="55">
        <v>307830.68</v>
      </c>
      <c r="G114" s="5"/>
      <c r="H114" s="56">
        <f>H2</f>
        <v>331522.74</v>
      </c>
      <c r="I114" s="5"/>
      <c r="J114" s="56">
        <f>J2</f>
        <v>292766.34999999998</v>
      </c>
      <c r="K114" s="5"/>
      <c r="L114" s="56">
        <f>L2</f>
        <v>270091.7</v>
      </c>
      <c r="M114" s="5"/>
      <c r="N114" s="56">
        <f>N2</f>
        <v>261734.46</v>
      </c>
      <c r="O114" s="5"/>
      <c r="P114" s="56">
        <f>P2</f>
        <v>276333.46999999997</v>
      </c>
      <c r="Q114" s="5"/>
      <c r="R114" s="56">
        <f>R2</f>
        <v>304647</v>
      </c>
      <c r="S114" s="5"/>
      <c r="T114" s="56">
        <f>T3</f>
        <v>243500</v>
      </c>
      <c r="U114" s="5"/>
      <c r="V114" s="56">
        <f>V3+V4</f>
        <v>292549.77</v>
      </c>
      <c r="W114" s="5"/>
      <c r="X114" s="56">
        <f>X3</f>
        <v>253500</v>
      </c>
      <c r="Y114" s="5"/>
      <c r="Z114" s="55">
        <f t="shared" ref="Z114:Z119" si="43">B114+D114+F114+H114+J114+L114+N114+P114+R114+T114+V114+X114</f>
        <v>3308736.54</v>
      </c>
      <c r="AA114" s="5"/>
      <c r="AB114" s="5"/>
      <c r="AC114" s="5"/>
      <c r="AD114" s="5"/>
      <c r="AE114" s="5"/>
    </row>
    <row r="115" spans="1:31" x14ac:dyDescent="0.2">
      <c r="A115" s="54" t="s">
        <v>100</v>
      </c>
      <c r="B115" s="55">
        <f>B91-B116-B117</f>
        <v>175557.21000000002</v>
      </c>
      <c r="C115" s="5"/>
      <c r="D115" s="55">
        <f>D91-D49-D44</f>
        <v>150045.82999999999</v>
      </c>
      <c r="E115" s="5"/>
      <c r="F115" s="55">
        <f>F91-F49-F44</f>
        <v>214448.57000000004</v>
      </c>
      <c r="G115" s="5"/>
      <c r="H115" s="55">
        <f>H91-H116-H117</f>
        <v>175521.06000000003</v>
      </c>
      <c r="I115" s="5"/>
      <c r="J115" s="55">
        <f>J91-J116-J117</f>
        <v>172848.82000000004</v>
      </c>
      <c r="K115" s="5"/>
      <c r="L115" s="55">
        <f>L91-L116-L117</f>
        <v>177293.94000000006</v>
      </c>
      <c r="M115" s="5"/>
      <c r="N115" s="55">
        <f>N91-N116-N117</f>
        <v>172084.17200000002</v>
      </c>
      <c r="O115" s="5"/>
      <c r="P115" s="55">
        <f>P91-P116-P117</f>
        <v>170349.18359999996</v>
      </c>
      <c r="Q115" s="5"/>
      <c r="R115" s="55">
        <f>R91-R116-R117</f>
        <v>161078.5252</v>
      </c>
      <c r="S115" s="5"/>
      <c r="T115" s="55">
        <f>T91-T116-T117+0.01</f>
        <v>162096.41999999998</v>
      </c>
      <c r="U115" s="5"/>
      <c r="V115" s="55">
        <f>V91-V116-V117</f>
        <v>167815.5552</v>
      </c>
      <c r="W115" s="5"/>
      <c r="X115" s="55">
        <f>X91</f>
        <v>221605.05319999997</v>
      </c>
      <c r="Y115" s="5"/>
      <c r="Z115" s="55">
        <f t="shared" si="43"/>
        <v>2120744.3392000003</v>
      </c>
      <c r="AA115" s="5"/>
      <c r="AB115" s="5"/>
      <c r="AC115" s="5"/>
      <c r="AD115" s="5"/>
      <c r="AE115" s="5"/>
    </row>
    <row r="116" spans="1:31" x14ac:dyDescent="0.2">
      <c r="A116" s="54" t="s">
        <v>101</v>
      </c>
      <c r="B116" s="55">
        <f>B44</f>
        <v>5366.55</v>
      </c>
      <c r="C116" s="5"/>
      <c r="D116" s="55">
        <f>D44</f>
        <v>5665.74</v>
      </c>
      <c r="E116" s="5"/>
      <c r="F116" s="55">
        <f>F44</f>
        <v>5665.74</v>
      </c>
      <c r="G116" s="5"/>
      <c r="H116" s="55">
        <f>H44</f>
        <v>5493.57</v>
      </c>
      <c r="I116" s="5"/>
      <c r="J116" s="55">
        <f>J44</f>
        <v>5678.46</v>
      </c>
      <c r="K116" s="5"/>
      <c r="L116" s="55">
        <f>L44</f>
        <v>5671.9400000000005</v>
      </c>
      <c r="M116" s="5"/>
      <c r="N116" s="55">
        <f>N44</f>
        <v>5700</v>
      </c>
      <c r="O116" s="5"/>
      <c r="P116" s="55">
        <f>P44</f>
        <v>5700</v>
      </c>
      <c r="Q116" s="5"/>
      <c r="R116" s="55">
        <f>R44</f>
        <v>5700</v>
      </c>
      <c r="S116" s="5"/>
      <c r="T116" s="55">
        <f>T44</f>
        <v>5700</v>
      </c>
      <c r="U116" s="5"/>
      <c r="V116" s="55">
        <f>V44</f>
        <v>5700</v>
      </c>
      <c r="W116" s="5"/>
      <c r="X116" s="55">
        <f>X44</f>
        <v>5700</v>
      </c>
      <c r="Y116" s="5"/>
      <c r="Z116" s="55">
        <f t="shared" si="43"/>
        <v>67742</v>
      </c>
      <c r="AA116" s="5"/>
      <c r="AB116" s="5"/>
      <c r="AC116" s="5"/>
      <c r="AD116" s="5"/>
      <c r="AE116" s="5"/>
    </row>
    <row r="117" spans="1:31" x14ac:dyDescent="0.2">
      <c r="A117" s="54" t="s">
        <v>102</v>
      </c>
      <c r="B117" s="55">
        <f>B49</f>
        <v>30000</v>
      </c>
      <c r="C117" s="5"/>
      <c r="D117" s="55">
        <f>D49</f>
        <v>30000</v>
      </c>
      <c r="E117" s="5"/>
      <c r="F117" s="55">
        <f>F49</f>
        <v>30000</v>
      </c>
      <c r="G117" s="5"/>
      <c r="H117" s="55">
        <f>H49</f>
        <v>30000</v>
      </c>
      <c r="I117" s="5"/>
      <c r="J117" s="55">
        <f>J49</f>
        <v>30000</v>
      </c>
      <c r="K117" s="5"/>
      <c r="L117" s="55">
        <f>L49</f>
        <v>30000</v>
      </c>
      <c r="M117" s="5"/>
      <c r="N117" s="55">
        <f>N49</f>
        <v>30000</v>
      </c>
      <c r="O117" s="5"/>
      <c r="P117" s="55">
        <f>P49</f>
        <v>30000</v>
      </c>
      <c r="Q117" s="5"/>
      <c r="R117" s="55">
        <f>R49</f>
        <v>30000</v>
      </c>
      <c r="S117" s="5"/>
      <c r="T117" s="55">
        <f>T49</f>
        <v>30000</v>
      </c>
      <c r="U117" s="5"/>
      <c r="V117" s="55">
        <f>V49</f>
        <v>30000</v>
      </c>
      <c r="W117" s="5"/>
      <c r="X117" s="55">
        <f>X49</f>
        <v>30000</v>
      </c>
      <c r="Y117" s="5"/>
      <c r="Z117" s="55">
        <f t="shared" si="43"/>
        <v>360000</v>
      </c>
      <c r="AA117" s="5"/>
      <c r="AB117" s="5"/>
      <c r="AC117" s="5"/>
      <c r="AD117" s="5"/>
      <c r="AE117" s="5"/>
    </row>
    <row r="118" spans="1:31" x14ac:dyDescent="0.2">
      <c r="A118" s="54" t="s">
        <v>103</v>
      </c>
      <c r="B118" s="55">
        <f>B93</f>
        <v>36000</v>
      </c>
      <c r="C118" s="5"/>
      <c r="D118" s="55">
        <f>D93</f>
        <v>22000</v>
      </c>
      <c r="E118" s="5"/>
      <c r="F118" s="55">
        <f>F93</f>
        <v>18000</v>
      </c>
      <c r="G118" s="5"/>
      <c r="H118" s="55">
        <f>H93</f>
        <v>20000</v>
      </c>
      <c r="I118" s="5"/>
      <c r="J118" s="55">
        <f>J93</f>
        <v>283100</v>
      </c>
      <c r="K118" s="5"/>
      <c r="L118" s="55">
        <f>L93</f>
        <v>28200</v>
      </c>
      <c r="M118" s="5"/>
      <c r="N118" s="55">
        <f>N93</f>
        <v>45000</v>
      </c>
      <c r="O118" s="5"/>
      <c r="P118" s="55">
        <f>P93</f>
        <v>70000</v>
      </c>
      <c r="Q118" s="5"/>
      <c r="R118" s="55">
        <f>R93</f>
        <v>55000</v>
      </c>
      <c r="S118" s="5"/>
      <c r="T118" s="55">
        <f>T93</f>
        <v>200000</v>
      </c>
      <c r="U118" s="5"/>
      <c r="V118" s="55">
        <f>V93</f>
        <v>0</v>
      </c>
      <c r="W118" s="5"/>
      <c r="X118" s="55">
        <f>X93</f>
        <v>0</v>
      </c>
      <c r="Y118" s="5"/>
      <c r="Z118" s="55">
        <f t="shared" si="43"/>
        <v>777300</v>
      </c>
      <c r="AA118" s="5"/>
      <c r="AB118" s="5"/>
      <c r="AC118" s="5"/>
      <c r="AD118" s="5"/>
      <c r="AE118" s="5"/>
    </row>
    <row r="119" spans="1:31" x14ac:dyDescent="0.2">
      <c r="A119" s="54" t="s">
        <v>104</v>
      </c>
      <c r="B119" s="55">
        <v>-66000</v>
      </c>
      <c r="C119" s="5"/>
      <c r="D119" s="55">
        <v>-10000</v>
      </c>
      <c r="E119" s="5"/>
      <c r="F119" s="55">
        <v>-11000</v>
      </c>
      <c r="G119" s="5"/>
      <c r="H119" s="55"/>
      <c r="I119" s="5"/>
      <c r="J119" s="55"/>
      <c r="K119" s="5"/>
      <c r="L119" s="55">
        <f>L92</f>
        <v>0</v>
      </c>
      <c r="M119" s="5"/>
      <c r="N119" s="55"/>
      <c r="O119" s="5"/>
      <c r="P119" s="55">
        <f>P92</f>
        <v>0</v>
      </c>
      <c r="Q119" s="5"/>
      <c r="R119" s="55"/>
      <c r="S119" s="5"/>
      <c r="T119" s="55"/>
      <c r="U119" s="5"/>
      <c r="V119" s="55"/>
      <c r="W119" s="5"/>
      <c r="X119" s="55">
        <f>X92</f>
        <v>0</v>
      </c>
      <c r="Y119" s="5"/>
      <c r="Z119" s="55">
        <f t="shared" si="43"/>
        <v>-87000</v>
      </c>
      <c r="AA119" s="5"/>
      <c r="AB119" s="5"/>
      <c r="AC119" s="5"/>
      <c r="AD119" s="5"/>
      <c r="AE119" s="5"/>
    </row>
    <row r="120" spans="1:31" x14ac:dyDescent="0.2">
      <c r="A120" s="119" t="s">
        <v>105</v>
      </c>
      <c r="B120" s="120">
        <f>B113+B114-B115-B116-B117-B119-B118</f>
        <v>91139.14</v>
      </c>
      <c r="C120" s="5"/>
      <c r="D120" s="120">
        <f>D113+D114-D115-D116-D117-D118-D119</f>
        <v>124875.01000000004</v>
      </c>
      <c r="E120" s="5"/>
      <c r="F120" s="120">
        <f>F113+F114-F115-F116-F117-F118-F119</f>
        <v>175591.38000000003</v>
      </c>
      <c r="G120" s="5"/>
      <c r="H120" s="120">
        <f>H113+H114-H115-H116-H117-H118</f>
        <v>276099.48999999993</v>
      </c>
      <c r="I120" s="5"/>
      <c r="J120" s="120">
        <f>J113+J114-J115-J116-J117-J118-J119</f>
        <v>77238.559999999765</v>
      </c>
      <c r="K120" s="5"/>
      <c r="L120" s="120">
        <f>L113+L114-L115-L116-L117-L118-L119</f>
        <v>106164.37999999971</v>
      </c>
      <c r="M120" s="5"/>
      <c r="N120" s="120">
        <f>N113+N114-N115-N116-N117-N118-N119</f>
        <v>115114.66799999971</v>
      </c>
      <c r="O120" s="5"/>
      <c r="P120" s="120">
        <f>P113+P114-P115-P116-P117-P118-P119</f>
        <v>115398.95439999973</v>
      </c>
      <c r="Q120" s="5"/>
      <c r="R120" s="120">
        <f>R113+R114-R115-R116-R117-R118-R119</f>
        <v>168267.42919999969</v>
      </c>
      <c r="S120" s="5"/>
      <c r="T120" s="120">
        <f>T113+T114-T115-T116-T117-T118-T119</f>
        <v>13971.00919999968</v>
      </c>
      <c r="U120" s="5"/>
      <c r="V120" s="120">
        <f>V113+V114-V115-V116-V117-V118-V119</f>
        <v>103005.2239999997</v>
      </c>
      <c r="W120" s="5"/>
      <c r="X120" s="120">
        <f>X113+X114-X115-X116-X117-X118-X119</f>
        <v>99200.170799999731</v>
      </c>
      <c r="Y120" s="5"/>
      <c r="Z120" s="120">
        <f>Z113+Z114-Z115-Z116-Z117-Z118-Z119</f>
        <v>69950.200799999759</v>
      </c>
      <c r="AA120" s="5"/>
      <c r="AB120" s="5"/>
      <c r="AC120" s="5"/>
      <c r="AD120" s="5"/>
      <c r="AE120" s="5"/>
    </row>
    <row r="121" spans="1:3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 t="s">
        <v>128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x14ac:dyDescent="0.2">
      <c r="V122" s="57">
        <f>V120-V101</f>
        <v>-1457.1960000004037</v>
      </c>
    </row>
    <row r="128" spans="1:31" x14ac:dyDescent="0.2">
      <c r="R128">
        <f>2800+900</f>
        <v>3700</v>
      </c>
    </row>
  </sheetData>
  <protectedRanges>
    <protectedRange algorithmName="SHA-512" hashValue="KiP8vB2P0y7yMy9S7nNcjUu9byIf+jQ/6dXJiUCJBkcoOq/dvHzW+F8dBDUPpOUaErAMTbnnddRa1jMvEiSlAQ==" saltValue="7TY3ln36oRVa6uwwWG8evw==" spinCount="100000" sqref="A2:AE2" name="Intervalo1"/>
  </protectedRanges>
  <mergeCells count="1">
    <mergeCell ref="C102:C105"/>
  </mergeCells>
  <conditionalFormatting sqref="F94:X95 B94:B99 D94:D99 E96:X96 F97:X99">
    <cfRule type="cellIs" dxfId="2" priority="2" operator="lessThan">
      <formula>0</formula>
    </cfRule>
  </conditionalFormatting>
  <conditionalFormatting sqref="Z88:AC89 B88:Y91 AB90:AC91">
    <cfRule type="cellIs" dxfId="1" priority="3" operator="lessThan">
      <formula>0</formula>
    </cfRule>
  </conditionalFormatting>
  <conditionalFormatting sqref="AA88:AA89">
    <cfRule type="cellIs" dxfId="0" priority="1" operator="greaterThan">
      <formula>0.9961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1D0D-9277-4828-AB18-27008D4D6A39}">
  <dimension ref="F3:H20"/>
  <sheetViews>
    <sheetView workbookViewId="0">
      <selection activeCell="J23" sqref="J23"/>
    </sheetView>
  </sheetViews>
  <sheetFormatPr baseColWidth="10" defaultColWidth="8.83203125" defaultRowHeight="15" x14ac:dyDescent="0.2"/>
  <cols>
    <col min="6" max="6" width="13.83203125" bestFit="1" customWidth="1"/>
  </cols>
  <sheetData>
    <row r="3" spans="6:8" x14ac:dyDescent="0.2">
      <c r="F3" s="133">
        <v>42194.76</v>
      </c>
      <c r="G3" s="133"/>
      <c r="H3" s="133"/>
    </row>
    <row r="4" spans="6:8" x14ac:dyDescent="0.2">
      <c r="F4" s="134">
        <v>195750.17</v>
      </c>
      <c r="G4" s="133"/>
      <c r="H4" s="133"/>
    </row>
    <row r="5" spans="6:8" x14ac:dyDescent="0.2">
      <c r="F5" s="133"/>
      <c r="G5" s="133"/>
      <c r="H5" s="133"/>
    </row>
    <row r="6" spans="6:8" x14ac:dyDescent="0.2">
      <c r="F6" s="133">
        <v>328.33</v>
      </c>
      <c r="G6" s="133"/>
      <c r="H6" s="133"/>
    </row>
    <row r="7" spans="6:8" x14ac:dyDescent="0.2">
      <c r="F7" s="133">
        <v>78.900000000000006</v>
      </c>
      <c r="G7" s="133"/>
      <c r="H7" s="133"/>
    </row>
    <row r="8" spans="6:8" x14ac:dyDescent="0.2">
      <c r="F8" s="133">
        <v>509.26</v>
      </c>
      <c r="G8" s="133"/>
      <c r="H8" s="133"/>
    </row>
    <row r="9" spans="6:8" x14ac:dyDescent="0.2">
      <c r="F9" s="133">
        <v>1680.04</v>
      </c>
      <c r="G9" s="133" t="s">
        <v>149</v>
      </c>
      <c r="H9" s="133"/>
    </row>
    <row r="10" spans="6:8" x14ac:dyDescent="0.2">
      <c r="F10" s="133">
        <v>541.94000000000005</v>
      </c>
      <c r="G10" s="133"/>
      <c r="H10" s="133"/>
    </row>
    <row r="11" spans="6:8" x14ac:dyDescent="0.2">
      <c r="F11" s="133"/>
      <c r="G11" s="133"/>
      <c r="H11" s="133"/>
    </row>
    <row r="12" spans="6:8" x14ac:dyDescent="0.2">
      <c r="F12" s="133"/>
      <c r="G12" s="133"/>
      <c r="H12" s="133"/>
    </row>
    <row r="13" spans="6:8" x14ac:dyDescent="0.2">
      <c r="F13" s="133"/>
      <c r="G13" s="133"/>
      <c r="H13" s="133"/>
    </row>
    <row r="14" spans="6:8" x14ac:dyDescent="0.2">
      <c r="F14" s="133"/>
      <c r="G14" s="133"/>
      <c r="H14" s="133"/>
    </row>
    <row r="15" spans="6:8" x14ac:dyDescent="0.2">
      <c r="F15" s="133" t="s">
        <v>150</v>
      </c>
      <c r="G15" s="133" t="s">
        <v>151</v>
      </c>
      <c r="H15" s="133">
        <v>210000</v>
      </c>
    </row>
    <row r="16" spans="6:8" x14ac:dyDescent="0.2">
      <c r="F16" s="133"/>
      <c r="G16" s="133" t="s">
        <v>152</v>
      </c>
      <c r="H16" s="134">
        <v>18366.71</v>
      </c>
    </row>
    <row r="17" spans="6:8" x14ac:dyDescent="0.2">
      <c r="F17" s="133"/>
      <c r="G17" s="133" t="s">
        <v>153</v>
      </c>
      <c r="H17" s="133">
        <v>228366.71</v>
      </c>
    </row>
    <row r="18" spans="6:8" x14ac:dyDescent="0.2">
      <c r="F18" s="133"/>
      <c r="G18" s="133"/>
      <c r="H18" s="133"/>
    </row>
    <row r="19" spans="6:8" x14ac:dyDescent="0.2">
      <c r="F19" s="133"/>
      <c r="G19" s="133"/>
      <c r="H19" s="133"/>
    </row>
    <row r="20" spans="6:8" x14ac:dyDescent="0.2">
      <c r="F20" s="133"/>
      <c r="G20" s="133"/>
      <c r="H20" s="13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8AEE-8AA4-4218-945A-1531F4AFA7CF}">
  <dimension ref="A1:C72"/>
  <sheetViews>
    <sheetView workbookViewId="0">
      <selection activeCell="T22" sqref="T22"/>
    </sheetView>
  </sheetViews>
  <sheetFormatPr baseColWidth="10" defaultColWidth="8.83203125" defaultRowHeight="15" x14ac:dyDescent="0.2"/>
  <cols>
    <col min="1" max="1" width="7.33203125" customWidth="1"/>
    <col min="2" max="3" width="13.33203125" bestFit="1" customWidth="1"/>
  </cols>
  <sheetData>
    <row r="1" spans="1:3" x14ac:dyDescent="0.2">
      <c r="A1" s="137" t="s">
        <v>111</v>
      </c>
      <c r="B1" s="137"/>
      <c r="C1" s="137"/>
    </row>
    <row r="2" spans="1:3" x14ac:dyDescent="0.2">
      <c r="B2" t="s">
        <v>109</v>
      </c>
      <c r="C2" t="s">
        <v>113</v>
      </c>
    </row>
    <row r="3" spans="1:3" x14ac:dyDescent="0.2">
      <c r="A3" t="s">
        <v>115</v>
      </c>
      <c r="B3" s="60">
        <v>215626</v>
      </c>
      <c r="C3" s="60">
        <f>Previsão!B2</f>
        <v>228366.71</v>
      </c>
    </row>
    <row r="4" spans="1:3" x14ac:dyDescent="0.2">
      <c r="A4" t="s">
        <v>116</v>
      </c>
      <c r="B4" s="60">
        <v>231026</v>
      </c>
      <c r="C4" s="60">
        <f>Previsão!D2</f>
        <v>239493</v>
      </c>
    </row>
    <row r="5" spans="1:3" x14ac:dyDescent="0.2">
      <c r="A5" t="s">
        <v>117</v>
      </c>
      <c r="B5" s="60">
        <v>268830</v>
      </c>
      <c r="C5" s="60">
        <f>Previsão!F2</f>
        <v>277195.92</v>
      </c>
    </row>
    <row r="6" spans="1:3" x14ac:dyDescent="0.2">
      <c r="A6" t="s">
        <v>118</v>
      </c>
      <c r="B6" s="60">
        <v>303857</v>
      </c>
      <c r="C6" s="60"/>
    </row>
    <row r="7" spans="1:3" x14ac:dyDescent="0.2">
      <c r="A7" t="s">
        <v>119</v>
      </c>
      <c r="B7" s="60">
        <v>369948</v>
      </c>
      <c r="C7" s="60"/>
    </row>
    <row r="8" spans="1:3" x14ac:dyDescent="0.2">
      <c r="A8" t="s">
        <v>120</v>
      </c>
      <c r="B8" s="60">
        <v>364515</v>
      </c>
      <c r="C8" s="60"/>
    </row>
    <row r="9" spans="1:3" x14ac:dyDescent="0.2">
      <c r="A9" t="s">
        <v>121</v>
      </c>
      <c r="B9" s="60">
        <v>293877</v>
      </c>
      <c r="C9" s="60"/>
    </row>
    <row r="10" spans="1:3" x14ac:dyDescent="0.2">
      <c r="A10" t="s">
        <v>122</v>
      </c>
      <c r="B10" s="60">
        <v>260337</v>
      </c>
      <c r="C10" s="60"/>
    </row>
    <row r="11" spans="1:3" x14ac:dyDescent="0.2">
      <c r="A11" t="s">
        <v>123</v>
      </c>
      <c r="B11" s="60">
        <v>315491</v>
      </c>
      <c r="C11" s="60"/>
    </row>
    <row r="12" spans="1:3" x14ac:dyDescent="0.2">
      <c r="A12" t="s">
        <v>124</v>
      </c>
      <c r="B12" s="60">
        <v>267387</v>
      </c>
      <c r="C12" s="60"/>
    </row>
    <row r="13" spans="1:3" x14ac:dyDescent="0.2">
      <c r="A13" t="s">
        <v>125</v>
      </c>
      <c r="B13" s="60">
        <v>355415</v>
      </c>
      <c r="C13" s="60"/>
    </row>
    <row r="14" spans="1:3" x14ac:dyDescent="0.2">
      <c r="A14" t="s">
        <v>126</v>
      </c>
      <c r="B14" s="60">
        <v>284340</v>
      </c>
      <c r="C14" s="60"/>
    </row>
    <row r="15" spans="1:3" x14ac:dyDescent="0.2">
      <c r="B15" s="57">
        <f>SUM(B3:B14)</f>
        <v>3530649</v>
      </c>
      <c r="C15" s="57">
        <f>SUM(C3:C14)</f>
        <v>745055.62999999989</v>
      </c>
    </row>
    <row r="26" spans="1:3" x14ac:dyDescent="0.2">
      <c r="A26" s="137" t="s">
        <v>110</v>
      </c>
      <c r="B26" s="137"/>
      <c r="C26" s="137"/>
    </row>
    <row r="27" spans="1:3" x14ac:dyDescent="0.2">
      <c r="B27" t="s">
        <v>114</v>
      </c>
      <c r="C27" t="s">
        <v>113</v>
      </c>
    </row>
    <row r="28" spans="1:3" x14ac:dyDescent="0.2">
      <c r="A28" t="s">
        <v>115</v>
      </c>
      <c r="B28" s="62"/>
      <c r="C28" s="62"/>
    </row>
    <row r="29" spans="1:3" x14ac:dyDescent="0.2">
      <c r="A29" t="s">
        <v>116</v>
      </c>
      <c r="B29" s="62"/>
      <c r="C29" s="62"/>
    </row>
    <row r="30" spans="1:3" x14ac:dyDescent="0.2">
      <c r="A30" t="s">
        <v>117</v>
      </c>
      <c r="B30" s="62"/>
      <c r="C30" s="62"/>
    </row>
    <row r="31" spans="1:3" x14ac:dyDescent="0.2">
      <c r="A31" t="s">
        <v>118</v>
      </c>
      <c r="B31" s="62"/>
      <c r="C31" s="62"/>
    </row>
    <row r="32" spans="1:3" x14ac:dyDescent="0.2">
      <c r="A32" t="s">
        <v>119</v>
      </c>
      <c r="B32" s="62"/>
      <c r="C32" s="62"/>
    </row>
    <row r="33" spans="1:3" x14ac:dyDescent="0.2">
      <c r="A33" t="s">
        <v>120</v>
      </c>
      <c r="B33" s="62"/>
      <c r="C33" s="62"/>
    </row>
    <row r="34" spans="1:3" x14ac:dyDescent="0.2">
      <c r="A34" t="s">
        <v>121</v>
      </c>
      <c r="B34" s="62"/>
      <c r="C34" s="62"/>
    </row>
    <row r="35" spans="1:3" x14ac:dyDescent="0.2">
      <c r="A35" t="s">
        <v>122</v>
      </c>
      <c r="B35" s="62"/>
      <c r="C35" s="62"/>
    </row>
    <row r="36" spans="1:3" x14ac:dyDescent="0.2">
      <c r="A36" t="s">
        <v>123</v>
      </c>
      <c r="B36" s="62"/>
      <c r="C36" s="62"/>
    </row>
    <row r="37" spans="1:3" x14ac:dyDescent="0.2">
      <c r="A37" t="s">
        <v>124</v>
      </c>
      <c r="B37" s="62"/>
      <c r="C37" s="62"/>
    </row>
    <row r="38" spans="1:3" x14ac:dyDescent="0.2">
      <c r="A38" t="s">
        <v>125</v>
      </c>
      <c r="B38" s="62"/>
      <c r="C38" s="62"/>
    </row>
    <row r="39" spans="1:3" x14ac:dyDescent="0.2">
      <c r="A39" t="s">
        <v>126</v>
      </c>
      <c r="B39" s="62"/>
      <c r="C39" s="62"/>
    </row>
    <row r="58" spans="1:3" x14ac:dyDescent="0.2">
      <c r="A58" s="137" t="s">
        <v>112</v>
      </c>
      <c r="B58" s="137"/>
      <c r="C58" s="137"/>
    </row>
    <row r="59" spans="1:3" x14ac:dyDescent="0.2">
      <c r="B59" t="s">
        <v>109</v>
      </c>
      <c r="C59" t="s">
        <v>113</v>
      </c>
    </row>
    <row r="60" spans="1:3" x14ac:dyDescent="0.2">
      <c r="A60" t="s">
        <v>115</v>
      </c>
      <c r="B60" s="61"/>
      <c r="C60" s="61"/>
    </row>
    <row r="61" spans="1:3" x14ac:dyDescent="0.2">
      <c r="A61" t="s">
        <v>116</v>
      </c>
      <c r="B61" s="61"/>
      <c r="C61" s="61"/>
    </row>
    <row r="62" spans="1:3" x14ac:dyDescent="0.2">
      <c r="A62" t="s">
        <v>117</v>
      </c>
      <c r="B62" s="61"/>
      <c r="C62" s="61"/>
    </row>
    <row r="63" spans="1:3" x14ac:dyDescent="0.2">
      <c r="A63" t="s">
        <v>118</v>
      </c>
      <c r="B63" s="61"/>
      <c r="C63" s="61"/>
    </row>
    <row r="64" spans="1:3" x14ac:dyDescent="0.2">
      <c r="A64" t="s">
        <v>119</v>
      </c>
      <c r="B64" s="61"/>
      <c r="C64" s="61"/>
    </row>
    <row r="65" spans="1:3" x14ac:dyDescent="0.2">
      <c r="A65" t="s">
        <v>120</v>
      </c>
      <c r="B65" s="61"/>
      <c r="C65" s="61"/>
    </row>
    <row r="66" spans="1:3" x14ac:dyDescent="0.2">
      <c r="A66" t="s">
        <v>121</v>
      </c>
      <c r="B66" s="61"/>
      <c r="C66" s="61"/>
    </row>
    <row r="67" spans="1:3" x14ac:dyDescent="0.2">
      <c r="A67" t="s">
        <v>122</v>
      </c>
      <c r="B67" s="61"/>
      <c r="C67" s="61"/>
    </row>
    <row r="68" spans="1:3" x14ac:dyDescent="0.2">
      <c r="A68" t="s">
        <v>123</v>
      </c>
      <c r="B68" s="61"/>
      <c r="C68" s="61"/>
    </row>
    <row r="69" spans="1:3" x14ac:dyDescent="0.2">
      <c r="A69" t="s">
        <v>124</v>
      </c>
      <c r="B69" s="61"/>
      <c r="C69" s="61"/>
    </row>
    <row r="70" spans="1:3" x14ac:dyDescent="0.2">
      <c r="A70" t="s">
        <v>125</v>
      </c>
      <c r="B70" s="61"/>
      <c r="C70" s="61"/>
    </row>
    <row r="71" spans="1:3" x14ac:dyDescent="0.2">
      <c r="A71" t="s">
        <v>126</v>
      </c>
      <c r="B71" s="61"/>
      <c r="C71" s="61"/>
    </row>
    <row r="72" spans="1:3" x14ac:dyDescent="0.2">
      <c r="A72" t="s">
        <v>14</v>
      </c>
      <c r="B72" s="61"/>
      <c r="C72" s="61"/>
    </row>
  </sheetData>
  <mergeCells count="3">
    <mergeCell ref="A58:C58"/>
    <mergeCell ref="A1:C1"/>
    <mergeCell ref="A26:C26"/>
  </mergeCells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5262-1695-4E69-B218-61C06B4F9EA6}">
  <dimension ref="A1"/>
  <sheetViews>
    <sheetView zoomScale="120" zoomScaleNormal="120" workbookViewId="0">
      <selection activeCell="F8" sqref="F8"/>
    </sheetView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Previsão</vt:lpstr>
      <vt:lpstr>Resultado</vt:lpstr>
      <vt:lpstr>Planilha1</vt:lpstr>
      <vt:lpstr>Comparativo</vt:lpstr>
      <vt:lpstr>Análise previsão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Hunter Books</cp:lastModifiedBy>
  <dcterms:created xsi:type="dcterms:W3CDTF">2022-12-15T19:01:13Z</dcterms:created>
  <dcterms:modified xsi:type="dcterms:W3CDTF">2025-07-27T02:33:19Z</dcterms:modified>
</cp:coreProperties>
</file>