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hreadedComments/threadedComment3.xml" ContentType="application/vnd.ms-excel.threadedcomments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comments8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G:\.shortcut-targets-by-id\1vVVDtZCwSZs2nozMv3Ok7-KxVb0Vv3DI\Financeiro Marine\Análises Gerenciais\Analise anual\"/>
    </mc:Choice>
  </mc:AlternateContent>
  <xr:revisionPtr revIDLastSave="0" documentId="13_ncr:1_{9E1CE84C-DCB4-437D-B324-7AC94FC70D01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DRE 2011" sheetId="24" state="hidden" r:id="rId1"/>
    <sheet name="2018" sheetId="36" r:id="rId2"/>
    <sheet name="2019" sheetId="37" r:id="rId3"/>
    <sheet name="2020" sheetId="38" r:id="rId4"/>
    <sheet name="2021" sheetId="40" r:id="rId5"/>
    <sheet name="2022" sheetId="42" r:id="rId6"/>
    <sheet name="2023" sheetId="43" r:id="rId7"/>
    <sheet name="Comparativo anual" sheetId="45" r:id="rId8"/>
    <sheet name="Graficos anuais" sheetId="41" r:id="rId9"/>
    <sheet name="Comparativo semestral" sheetId="46" r:id="rId10"/>
    <sheet name="Projeções" sheetId="33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8" i="37" l="1"/>
  <c r="AC9" i="37"/>
  <c r="AC10" i="37"/>
  <c r="AC11" i="37"/>
  <c r="AC12" i="37"/>
  <c r="AC7" i="37"/>
  <c r="AC6" i="37"/>
  <c r="AC5" i="37"/>
  <c r="AC4" i="37"/>
  <c r="AC3" i="37"/>
  <c r="AC64" i="38"/>
  <c r="AC63" i="38"/>
  <c r="AC61" i="38"/>
  <c r="AC56" i="38"/>
  <c r="AC57" i="38"/>
  <c r="AC58" i="38"/>
  <c r="AC59" i="38"/>
  <c r="AC60" i="38"/>
  <c r="AC55" i="38"/>
  <c r="AC54" i="38"/>
  <c r="AC51" i="38"/>
  <c r="AC52" i="38"/>
  <c r="AC53" i="38"/>
  <c r="AC33" i="38"/>
  <c r="AC34" i="38"/>
  <c r="AC35" i="38"/>
  <c r="AC36" i="38"/>
  <c r="AC37" i="38"/>
  <c r="AC38" i="38"/>
  <c r="AC39" i="38"/>
  <c r="AC40" i="38"/>
  <c r="AC41" i="38"/>
  <c r="AC42" i="38"/>
  <c r="AC43" i="38"/>
  <c r="AC44" i="38"/>
  <c r="AC45" i="38"/>
  <c r="AC46" i="38"/>
  <c r="AC47" i="38"/>
  <c r="AC48" i="38"/>
  <c r="AC49" i="38"/>
  <c r="AC50" i="38"/>
  <c r="AC17" i="38"/>
  <c r="AC18" i="38"/>
  <c r="AC19" i="38"/>
  <c r="AC20" i="38"/>
  <c r="AC21" i="38"/>
  <c r="AC22" i="38"/>
  <c r="AC23" i="38"/>
  <c r="AC24" i="38"/>
  <c r="AC25" i="38"/>
  <c r="AC26" i="38"/>
  <c r="AC27" i="38"/>
  <c r="AC28" i="38"/>
  <c r="AC29" i="38"/>
  <c r="AC30" i="38"/>
  <c r="AC31" i="38"/>
  <c r="AC32" i="38"/>
  <c r="AC16" i="38"/>
  <c r="AC15" i="38"/>
  <c r="AC8" i="38"/>
  <c r="AC9" i="38"/>
  <c r="AC10" i="38"/>
  <c r="AC11" i="38"/>
  <c r="AC12" i="38"/>
  <c r="AC13" i="38"/>
  <c r="AC7" i="38"/>
  <c r="AC5" i="38"/>
  <c r="AC4" i="38"/>
  <c r="AC3" i="38"/>
  <c r="AC67" i="40"/>
  <c r="AC66" i="40"/>
  <c r="AC65" i="40"/>
  <c r="AC64" i="40"/>
  <c r="AC59" i="40"/>
  <c r="AC60" i="40"/>
  <c r="AC61" i="40"/>
  <c r="AC62" i="40"/>
  <c r="AC63" i="40"/>
  <c r="AC58" i="40"/>
  <c r="AC57" i="40"/>
  <c r="AC56" i="40"/>
  <c r="AC54" i="40"/>
  <c r="AC55" i="40"/>
  <c r="AC36" i="40"/>
  <c r="AC37" i="40"/>
  <c r="AC38" i="40"/>
  <c r="AC39" i="40"/>
  <c r="AC40" i="40"/>
  <c r="AC41" i="40"/>
  <c r="AC42" i="40"/>
  <c r="AC43" i="40"/>
  <c r="AC44" i="40"/>
  <c r="AC45" i="40"/>
  <c r="AC46" i="40"/>
  <c r="AC47" i="40"/>
  <c r="AC48" i="40"/>
  <c r="AC49" i="40"/>
  <c r="AC50" i="40"/>
  <c r="AC51" i="40"/>
  <c r="AC52" i="40"/>
  <c r="AC53" i="40"/>
  <c r="AC17" i="40"/>
  <c r="AC18" i="40"/>
  <c r="AC19" i="40"/>
  <c r="AC20" i="40"/>
  <c r="AC21" i="40"/>
  <c r="AC22" i="40"/>
  <c r="AC23" i="40"/>
  <c r="AC24" i="40"/>
  <c r="AC25" i="40"/>
  <c r="AC26" i="40"/>
  <c r="AC27" i="40"/>
  <c r="AC28" i="40"/>
  <c r="AC29" i="40"/>
  <c r="AC30" i="40"/>
  <c r="AC31" i="40"/>
  <c r="AC32" i="40"/>
  <c r="AC33" i="40"/>
  <c r="AC34" i="40"/>
  <c r="AC35" i="40"/>
  <c r="AC16" i="40"/>
  <c r="AC15" i="40"/>
  <c r="AC8" i="40"/>
  <c r="AC9" i="40"/>
  <c r="AC10" i="40"/>
  <c r="AC11" i="40"/>
  <c r="AC12" i="40"/>
  <c r="AC13" i="40"/>
  <c r="AC7" i="40"/>
  <c r="AC5" i="40"/>
  <c r="AC4" i="40"/>
  <c r="AC3" i="40"/>
  <c r="Y63" i="42"/>
  <c r="Y64" i="42"/>
  <c r="Y65" i="42"/>
  <c r="Y66" i="42"/>
  <c r="Y67" i="42"/>
  <c r="Y68" i="42"/>
  <c r="AC74" i="42"/>
  <c r="AC72" i="42"/>
  <c r="AC71" i="42"/>
  <c r="AC70" i="42"/>
  <c r="AC69" i="42"/>
  <c r="AC60" i="42"/>
  <c r="AC61" i="42"/>
  <c r="AC62" i="42"/>
  <c r="AC63" i="42"/>
  <c r="AC64" i="42"/>
  <c r="AC65" i="42"/>
  <c r="AC66" i="42"/>
  <c r="AC67" i="42"/>
  <c r="AC68" i="42"/>
  <c r="AC59" i="42"/>
  <c r="AC58" i="42"/>
  <c r="AC19" i="42"/>
  <c r="AC20" i="42"/>
  <c r="AC21" i="42"/>
  <c r="AC22" i="42"/>
  <c r="AC23" i="42"/>
  <c r="AC24" i="42"/>
  <c r="AC25" i="42"/>
  <c r="AC26" i="42"/>
  <c r="AC27" i="42"/>
  <c r="AC28" i="42"/>
  <c r="AC29" i="42"/>
  <c r="AC30" i="42"/>
  <c r="AC31" i="42"/>
  <c r="AC32" i="42"/>
  <c r="AC33" i="42"/>
  <c r="AC34" i="42"/>
  <c r="AC35" i="42"/>
  <c r="AC36" i="42"/>
  <c r="AC37" i="42"/>
  <c r="AC38" i="42"/>
  <c r="AC39" i="42"/>
  <c r="AC40" i="42"/>
  <c r="AC41" i="42"/>
  <c r="AC42" i="42"/>
  <c r="AC43" i="42"/>
  <c r="AC44" i="42"/>
  <c r="AC45" i="42"/>
  <c r="AC46" i="42"/>
  <c r="AC47" i="42"/>
  <c r="AC48" i="42"/>
  <c r="AC49" i="42"/>
  <c r="AC50" i="42"/>
  <c r="AC51" i="42"/>
  <c r="AC52" i="42"/>
  <c r="AC53" i="42"/>
  <c r="AC54" i="42"/>
  <c r="AC55" i="42"/>
  <c r="AC56" i="42"/>
  <c r="AC57" i="42"/>
  <c r="AC18" i="42"/>
  <c r="AC17" i="42"/>
  <c r="AC8" i="42"/>
  <c r="AC9" i="42"/>
  <c r="AC10" i="42"/>
  <c r="AC11" i="42"/>
  <c r="AC12" i="42"/>
  <c r="AC13" i="42"/>
  <c r="AC14" i="42"/>
  <c r="AC15" i="42"/>
  <c r="AC7" i="42"/>
  <c r="AC5" i="42"/>
  <c r="AC4" i="42"/>
  <c r="AC3" i="42"/>
  <c r="AC76" i="43"/>
  <c r="AC74" i="43"/>
  <c r="AB65" i="43"/>
  <c r="AB66" i="43"/>
  <c r="AC66" i="43" s="1"/>
  <c r="AC65" i="43"/>
  <c r="AC67" i="43"/>
  <c r="AC68" i="43"/>
  <c r="AC69" i="43"/>
  <c r="AC70" i="43"/>
  <c r="AC71" i="43"/>
  <c r="AC72" i="43"/>
  <c r="AC73" i="43"/>
  <c r="AC64" i="43"/>
  <c r="AC19" i="43"/>
  <c r="AC20" i="43"/>
  <c r="AC21" i="43"/>
  <c r="AC22" i="43"/>
  <c r="AC23" i="43"/>
  <c r="AC24" i="43"/>
  <c r="AC25" i="43"/>
  <c r="AC26" i="43"/>
  <c r="AC27" i="43"/>
  <c r="AC28" i="43"/>
  <c r="AC29" i="43"/>
  <c r="AC30" i="43"/>
  <c r="AC31" i="43"/>
  <c r="AC32" i="43"/>
  <c r="AC33" i="43"/>
  <c r="AC34" i="43"/>
  <c r="AC35" i="43"/>
  <c r="AC36" i="43"/>
  <c r="AC37" i="43"/>
  <c r="AC38" i="43"/>
  <c r="AC39" i="43"/>
  <c r="AC40" i="43"/>
  <c r="AC41" i="43"/>
  <c r="AC42" i="43"/>
  <c r="AC43" i="43"/>
  <c r="AC44" i="43"/>
  <c r="AC45" i="43"/>
  <c r="AC46" i="43"/>
  <c r="AC47" i="43"/>
  <c r="AC48" i="43"/>
  <c r="AC49" i="43"/>
  <c r="AC50" i="43"/>
  <c r="AC51" i="43"/>
  <c r="AC52" i="43"/>
  <c r="AC53" i="43"/>
  <c r="AC54" i="43"/>
  <c r="AC55" i="43"/>
  <c r="AC56" i="43"/>
  <c r="AC57" i="43"/>
  <c r="AC58" i="43"/>
  <c r="AC59" i="43"/>
  <c r="AC60" i="43"/>
  <c r="AC61" i="43"/>
  <c r="AC62" i="43"/>
  <c r="AC18" i="43"/>
  <c r="AC17" i="43"/>
  <c r="AC8" i="43"/>
  <c r="AC9" i="43"/>
  <c r="AC10" i="43"/>
  <c r="AC11" i="43"/>
  <c r="AC12" i="43"/>
  <c r="AC13" i="43"/>
  <c r="AC14" i="43"/>
  <c r="AC15" i="43"/>
  <c r="U7" i="43" l="1"/>
  <c r="Y7" i="43"/>
  <c r="AC7" i="43"/>
  <c r="AC5" i="43"/>
  <c r="AC4" i="43"/>
  <c r="AC3" i="43"/>
  <c r="Z75" i="43"/>
  <c r="AC6" i="43"/>
  <c r="M5" i="46"/>
  <c r="M6" i="46"/>
  <c r="M7" i="46"/>
  <c r="M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G5" i="46"/>
  <c r="E5" i="46"/>
  <c r="L2" i="43" l="1"/>
  <c r="O20" i="46"/>
  <c r="K20" i="46"/>
  <c r="I20" i="46"/>
  <c r="G20" i="46"/>
  <c r="E20" i="46"/>
  <c r="O19" i="46"/>
  <c r="K19" i="46"/>
  <c r="I19" i="46"/>
  <c r="G19" i="46"/>
  <c r="E19" i="46"/>
  <c r="O18" i="46"/>
  <c r="K18" i="46"/>
  <c r="I18" i="46"/>
  <c r="G18" i="46"/>
  <c r="E18" i="46"/>
  <c r="O17" i="46"/>
  <c r="K17" i="46"/>
  <c r="I17" i="46"/>
  <c r="G17" i="46"/>
  <c r="E17" i="46"/>
  <c r="K16" i="46"/>
  <c r="I16" i="46"/>
  <c r="G16" i="46"/>
  <c r="E16" i="46"/>
  <c r="O15" i="46"/>
  <c r="K15" i="46"/>
  <c r="I15" i="46"/>
  <c r="G15" i="46"/>
  <c r="E15" i="46"/>
  <c r="O14" i="46"/>
  <c r="K14" i="46"/>
  <c r="I14" i="46"/>
  <c r="G14" i="46"/>
  <c r="E14" i="46"/>
  <c r="O13" i="46"/>
  <c r="K13" i="46"/>
  <c r="I13" i="46"/>
  <c r="G13" i="46"/>
  <c r="O12" i="46"/>
  <c r="K12" i="46"/>
  <c r="I12" i="46"/>
  <c r="G12" i="46"/>
  <c r="E12" i="46"/>
  <c r="O11" i="46"/>
  <c r="K11" i="46"/>
  <c r="I11" i="46"/>
  <c r="G11" i="46"/>
  <c r="E11" i="46"/>
  <c r="O10" i="46"/>
  <c r="K10" i="46"/>
  <c r="G10" i="46"/>
  <c r="I10" i="46"/>
  <c r="E10" i="46"/>
  <c r="O9" i="46"/>
  <c r="K9" i="46"/>
  <c r="I9" i="46"/>
  <c r="G9" i="46"/>
  <c r="E9" i="46"/>
  <c r="O8" i="46"/>
  <c r="K8" i="46"/>
  <c r="I8" i="46"/>
  <c r="G8" i="46"/>
  <c r="E8" i="46"/>
  <c r="O7" i="46"/>
  <c r="K7" i="46"/>
  <c r="I7" i="46"/>
  <c r="G7" i="46"/>
  <c r="E7" i="46"/>
  <c r="O6" i="46"/>
  <c r="K6" i="46"/>
  <c r="I6" i="46"/>
  <c r="G6" i="46"/>
  <c r="E6" i="46"/>
  <c r="O5" i="46"/>
  <c r="K5" i="46"/>
  <c r="I5" i="46"/>
  <c r="O20" i="45" l="1"/>
  <c r="O19" i="45"/>
  <c r="N18" i="45"/>
  <c r="O18" i="45" s="1"/>
  <c r="N17" i="45"/>
  <c r="O17" i="45" s="1"/>
  <c r="N15" i="45"/>
  <c r="O15" i="45" s="1"/>
  <c r="N14" i="45"/>
  <c r="O14" i="45" s="1"/>
  <c r="N13" i="45"/>
  <c r="O13" i="45" s="1"/>
  <c r="N12" i="45"/>
  <c r="N11" i="45"/>
  <c r="O11" i="45" s="1"/>
  <c r="N10" i="45"/>
  <c r="N9" i="45"/>
  <c r="O9" i="45" s="1"/>
  <c r="N8" i="45"/>
  <c r="O8" i="45" s="1"/>
  <c r="N7" i="45"/>
  <c r="N6" i="45"/>
  <c r="N5" i="45"/>
  <c r="O5" i="45" s="1"/>
  <c r="M5" i="45"/>
  <c r="K5" i="45"/>
  <c r="I5" i="45"/>
  <c r="O10" i="45"/>
  <c r="O12" i="45"/>
  <c r="O7" i="45" l="1"/>
  <c r="F10" i="45"/>
  <c r="X68" i="38"/>
  <c r="AB68" i="38"/>
  <c r="AB64" i="38"/>
  <c r="X70" i="38"/>
  <c r="X69" i="38" s="1"/>
  <c r="Z36" i="38"/>
  <c r="M6" i="45"/>
  <c r="M20" i="45"/>
  <c r="M7" i="45"/>
  <c r="M8" i="45"/>
  <c r="M9" i="45"/>
  <c r="M10" i="45"/>
  <c r="M11" i="45"/>
  <c r="M12" i="45"/>
  <c r="M13" i="45"/>
  <c r="M14" i="45"/>
  <c r="M15" i="45"/>
  <c r="M16" i="45"/>
  <c r="M17" i="45"/>
  <c r="M18" i="45"/>
  <c r="M19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G5" i="45"/>
  <c r="E5" i="45"/>
  <c r="AB19" i="37"/>
  <c r="AB57" i="37"/>
  <c r="AG48" i="36"/>
  <c r="AF55" i="36"/>
  <c r="E15" i="45"/>
  <c r="G15" i="45"/>
  <c r="I15" i="45"/>
  <c r="E19" i="45"/>
  <c r="G19" i="45"/>
  <c r="I19" i="45"/>
  <c r="E16" i="45"/>
  <c r="G16" i="45"/>
  <c r="I16" i="45"/>
  <c r="E11" i="45"/>
  <c r="G11" i="45"/>
  <c r="I11" i="45"/>
  <c r="E12" i="45"/>
  <c r="G12" i="45"/>
  <c r="I12" i="45"/>
  <c r="G13" i="45"/>
  <c r="I13" i="45"/>
  <c r="E7" i="45"/>
  <c r="G7" i="45"/>
  <c r="I7" i="45"/>
  <c r="E8" i="45"/>
  <c r="G8" i="45"/>
  <c r="I8" i="45"/>
  <c r="E6" i="45"/>
  <c r="G6" i="45"/>
  <c r="I6" i="45"/>
  <c r="E9" i="45"/>
  <c r="G9" i="45"/>
  <c r="I9" i="45"/>
  <c r="E10" i="45"/>
  <c r="G10" i="45"/>
  <c r="I10" i="45"/>
  <c r="E14" i="45"/>
  <c r="G14" i="45"/>
  <c r="I14" i="45"/>
  <c r="E17" i="45"/>
  <c r="G17" i="45"/>
  <c r="I17" i="45"/>
  <c r="E18" i="45"/>
  <c r="G18" i="45"/>
  <c r="I18" i="45"/>
  <c r="E20" i="45"/>
  <c r="G20" i="45"/>
  <c r="I20" i="45"/>
  <c r="O6" i="45" l="1"/>
  <c r="R113" i="43"/>
  <c r="Z104" i="43"/>
  <c r="P104" i="43"/>
  <c r="L104" i="43"/>
  <c r="F104" i="43"/>
  <c r="B104" i="43"/>
  <c r="X103" i="43"/>
  <c r="Z103" i="43" s="1"/>
  <c r="V103" i="43"/>
  <c r="T103" i="43"/>
  <c r="P103" i="43"/>
  <c r="Z102" i="43"/>
  <c r="X101" i="43"/>
  <c r="V101" i="43"/>
  <c r="T101" i="43"/>
  <c r="R101" i="43"/>
  <c r="P101" i="43"/>
  <c r="N101" i="43"/>
  <c r="L101" i="43"/>
  <c r="J101" i="43"/>
  <c r="H101" i="43"/>
  <c r="X99" i="43"/>
  <c r="V99" i="43"/>
  <c r="T99" i="43"/>
  <c r="J99" i="43"/>
  <c r="H99" i="43"/>
  <c r="F99" i="43"/>
  <c r="B98" i="43"/>
  <c r="B90" i="43"/>
  <c r="D90" i="43" s="1"/>
  <c r="AB79" i="43"/>
  <c r="L73" i="43"/>
  <c r="J73" i="43"/>
  <c r="H73" i="43"/>
  <c r="D73" i="43"/>
  <c r="AB72" i="43"/>
  <c r="AB71" i="43"/>
  <c r="H70" i="43"/>
  <c r="AB70" i="43" s="1"/>
  <c r="AB69" i="43"/>
  <c r="J68" i="43"/>
  <c r="H68" i="43"/>
  <c r="B68" i="43"/>
  <c r="P67" i="43"/>
  <c r="P63" i="43" s="1"/>
  <c r="J67" i="43"/>
  <c r="AB67" i="43" s="1"/>
  <c r="H67" i="43"/>
  <c r="B67" i="43"/>
  <c r="V66" i="43"/>
  <c r="J66" i="43"/>
  <c r="H66" i="43"/>
  <c r="F66" i="43"/>
  <c r="H65" i="43"/>
  <c r="AB64" i="43"/>
  <c r="X63" i="43"/>
  <c r="V63" i="43"/>
  <c r="T63" i="43"/>
  <c r="R63" i="43"/>
  <c r="N63" i="43"/>
  <c r="L63" i="43"/>
  <c r="F63" i="43"/>
  <c r="D63" i="43"/>
  <c r="R62" i="43"/>
  <c r="P62" i="43"/>
  <c r="L62" i="43"/>
  <c r="H62" i="43"/>
  <c r="V61" i="43"/>
  <c r="T61" i="43"/>
  <c r="R61" i="43"/>
  <c r="P61" i="43"/>
  <c r="N61" i="43"/>
  <c r="L61" i="43"/>
  <c r="H61" i="43"/>
  <c r="F61" i="43"/>
  <c r="D61" i="43"/>
  <c r="B61" i="43"/>
  <c r="V60" i="43"/>
  <c r="AB60" i="43" s="1"/>
  <c r="B60" i="43"/>
  <c r="AB59" i="43"/>
  <c r="J58" i="43"/>
  <c r="AB58" i="43" s="1"/>
  <c r="AB57" i="43"/>
  <c r="AB56" i="43"/>
  <c r="AB55" i="43"/>
  <c r="AB54" i="43"/>
  <c r="AB53" i="43"/>
  <c r="AB52" i="43"/>
  <c r="B52" i="43"/>
  <c r="AB51" i="43"/>
  <c r="AB50" i="43"/>
  <c r="V49" i="43"/>
  <c r="T49" i="43"/>
  <c r="R49" i="43"/>
  <c r="P49" i="43"/>
  <c r="N49" i="43"/>
  <c r="J49" i="43"/>
  <c r="H49" i="43"/>
  <c r="F49" i="43"/>
  <c r="D49" i="43"/>
  <c r="B49" i="43"/>
  <c r="AB48" i="43"/>
  <c r="P48" i="43"/>
  <c r="AB47" i="43"/>
  <c r="V47" i="43"/>
  <c r="R47" i="43"/>
  <c r="J47" i="43"/>
  <c r="H47" i="43"/>
  <c r="AB46" i="43"/>
  <c r="T46" i="43"/>
  <c r="P46" i="43"/>
  <c r="N46" i="43"/>
  <c r="X45" i="43"/>
  <c r="V45" i="43"/>
  <c r="T45" i="43"/>
  <c r="R45" i="43"/>
  <c r="P45" i="43"/>
  <c r="AB45" i="43" s="1"/>
  <c r="AB44" i="43"/>
  <c r="AB43" i="43"/>
  <c r="AB42" i="43"/>
  <c r="AB41" i="43"/>
  <c r="AB40" i="43"/>
  <c r="AB39" i="43"/>
  <c r="AB38" i="43" s="1"/>
  <c r="M39" i="43"/>
  <c r="X38" i="43"/>
  <c r="V38" i="43"/>
  <c r="T38" i="43"/>
  <c r="R38" i="43"/>
  <c r="P38" i="43"/>
  <c r="N38" i="43"/>
  <c r="O38" i="43" s="1"/>
  <c r="L38" i="43"/>
  <c r="J38" i="43"/>
  <c r="H38" i="43"/>
  <c r="F38" i="43"/>
  <c r="F101" i="43" s="1"/>
  <c r="D38" i="43"/>
  <c r="B38" i="43"/>
  <c r="AB37" i="43"/>
  <c r="AB36" i="43"/>
  <c r="M36" i="43"/>
  <c r="B36" i="43"/>
  <c r="J35" i="43"/>
  <c r="AB35" i="43" s="1"/>
  <c r="AB34" i="43"/>
  <c r="AB33" i="43"/>
  <c r="L33" i="43"/>
  <c r="AB32" i="43"/>
  <c r="X31" i="43"/>
  <c r="AB31" i="43" s="1"/>
  <c r="G31" i="43"/>
  <c r="B31" i="43"/>
  <c r="AB30" i="43"/>
  <c r="K30" i="43"/>
  <c r="B30" i="43"/>
  <c r="AB29" i="43"/>
  <c r="O29" i="43"/>
  <c r="AB28" i="43"/>
  <c r="O28" i="43"/>
  <c r="AB27" i="43"/>
  <c r="X27" i="43"/>
  <c r="W27" i="43"/>
  <c r="V27" i="43"/>
  <c r="AB26" i="43"/>
  <c r="X26" i="43"/>
  <c r="N26" i="43"/>
  <c r="G26" i="43"/>
  <c r="P25" i="43"/>
  <c r="O25" i="43"/>
  <c r="D25" i="43"/>
  <c r="R24" i="43"/>
  <c r="P24" i="43"/>
  <c r="N24" i="43"/>
  <c r="J24" i="43"/>
  <c r="I24" i="43"/>
  <c r="H24" i="43"/>
  <c r="D24" i="43"/>
  <c r="B24" i="43"/>
  <c r="X23" i="43"/>
  <c r="V23" i="43"/>
  <c r="T23" i="43"/>
  <c r="R23" i="43"/>
  <c r="R22" i="43" s="1"/>
  <c r="S22" i="43" s="1"/>
  <c r="P23" i="43"/>
  <c r="O23" i="43"/>
  <c r="N23" i="43"/>
  <c r="L23" i="43"/>
  <c r="J23" i="43"/>
  <c r="H23" i="43"/>
  <c r="F23" i="43"/>
  <c r="D23" i="43"/>
  <c r="B23" i="43"/>
  <c r="B22" i="43" s="1"/>
  <c r="C22" i="43" s="1"/>
  <c r="P22" i="43"/>
  <c r="N22" i="43"/>
  <c r="O22" i="43" s="1"/>
  <c r="H22" i="43"/>
  <c r="F22" i="43"/>
  <c r="G22" i="43" s="1"/>
  <c r="AB21" i="43"/>
  <c r="K21" i="43"/>
  <c r="AB20" i="43"/>
  <c r="I20" i="43"/>
  <c r="AB19" i="43"/>
  <c r="K19" i="43"/>
  <c r="AB18" i="43"/>
  <c r="M18" i="43"/>
  <c r="I18" i="43"/>
  <c r="F17" i="43"/>
  <c r="AB15" i="43"/>
  <c r="Y15" i="43"/>
  <c r="O15" i="43"/>
  <c r="K15" i="43"/>
  <c r="D15" i="43"/>
  <c r="AB14" i="43"/>
  <c r="Q14" i="43"/>
  <c r="P14" i="43"/>
  <c r="N14" i="43"/>
  <c r="I14" i="43"/>
  <c r="Q13" i="43"/>
  <c r="J13" i="43"/>
  <c r="K13" i="43" s="1"/>
  <c r="F13" i="43"/>
  <c r="G13" i="43" s="1"/>
  <c r="D13" i="43"/>
  <c r="B13" i="43"/>
  <c r="T12" i="43"/>
  <c r="R12" i="43"/>
  <c r="S12" i="43" s="1"/>
  <c r="P12" i="43"/>
  <c r="P8" i="43" s="1"/>
  <c r="N12" i="43"/>
  <c r="O12" i="43" s="1"/>
  <c r="L12" i="43"/>
  <c r="J12" i="43"/>
  <c r="K12" i="43" s="1"/>
  <c r="I12" i="43"/>
  <c r="G12" i="43"/>
  <c r="F12" i="43"/>
  <c r="D12" i="43"/>
  <c r="B12" i="43"/>
  <c r="Y11" i="43"/>
  <c r="X11" i="43"/>
  <c r="V11" i="43"/>
  <c r="T11" i="43"/>
  <c r="T8" i="43" s="1"/>
  <c r="R11" i="43"/>
  <c r="Q11" i="43"/>
  <c r="P11" i="43"/>
  <c r="N11" i="43"/>
  <c r="M11" i="43"/>
  <c r="L11" i="43"/>
  <c r="L8" i="43" s="1"/>
  <c r="K11" i="43"/>
  <c r="J11" i="43"/>
  <c r="I11" i="43"/>
  <c r="F11" i="43"/>
  <c r="D11" i="43"/>
  <c r="D8" i="43" s="1"/>
  <c r="B11" i="43"/>
  <c r="V10" i="43"/>
  <c r="U10" i="43"/>
  <c r="T10" i="43"/>
  <c r="R10" i="43"/>
  <c r="R8" i="43" s="1"/>
  <c r="P10" i="43"/>
  <c r="N10" i="43"/>
  <c r="AB10" i="43" s="1"/>
  <c r="M10" i="43"/>
  <c r="L10" i="43"/>
  <c r="K10" i="43"/>
  <c r="J10" i="43"/>
  <c r="J8" i="43" s="1"/>
  <c r="F10" i="43"/>
  <c r="AB9" i="43"/>
  <c r="X8" i="43"/>
  <c r="X6" i="43" s="1"/>
  <c r="Y6" i="43" s="1"/>
  <c r="V8" i="43"/>
  <c r="V6" i="43" s="1"/>
  <c r="W6" i="43" s="1"/>
  <c r="N8" i="43"/>
  <c r="N6" i="43" s="1"/>
  <c r="O6" i="43" s="1"/>
  <c r="H8" i="43"/>
  <c r="H6" i="43" s="1"/>
  <c r="F8" i="43"/>
  <c r="F6" i="43" s="1"/>
  <c r="AB7" i="43"/>
  <c r="M7" i="43"/>
  <c r="K7" i="43"/>
  <c r="AB5" i="43"/>
  <c r="AB4" i="43"/>
  <c r="D3" i="43"/>
  <c r="AB3" i="43" s="1"/>
  <c r="X2" i="43"/>
  <c r="V2" i="43"/>
  <c r="T2" i="43"/>
  <c r="R2" i="43"/>
  <c r="S18" i="43" s="1"/>
  <c r="P2" i="43"/>
  <c r="Q37" i="43" s="1"/>
  <c r="N2" i="43"/>
  <c r="O9" i="43" s="1"/>
  <c r="M33" i="43"/>
  <c r="J2" i="43"/>
  <c r="K34" i="43" s="1"/>
  <c r="H2" i="43"/>
  <c r="I34" i="43" s="1"/>
  <c r="F2" i="43"/>
  <c r="G33" i="43" s="1"/>
  <c r="B2" i="43"/>
  <c r="B33" i="41"/>
  <c r="B15" i="41"/>
  <c r="C7" i="41"/>
  <c r="C6" i="41"/>
  <c r="K8" i="43" l="1"/>
  <c r="J6" i="43"/>
  <c r="K6" i="43" s="1"/>
  <c r="M8" i="43"/>
  <c r="L6" i="43"/>
  <c r="M6" i="43" s="1"/>
  <c r="F77" i="43"/>
  <c r="G6" i="43"/>
  <c r="F16" i="43"/>
  <c r="G16" i="43" s="1"/>
  <c r="I6" i="43"/>
  <c r="H16" i="43"/>
  <c r="I16" i="43" s="1"/>
  <c r="P6" i="43"/>
  <c r="Q8" i="43"/>
  <c r="AB2" i="43"/>
  <c r="E8" i="43"/>
  <c r="D6" i="43"/>
  <c r="S8" i="43"/>
  <c r="R6" i="43"/>
  <c r="S6" i="43" s="1"/>
  <c r="U8" i="43"/>
  <c r="T6" i="43"/>
  <c r="U6" i="43" s="1"/>
  <c r="B99" i="43"/>
  <c r="C73" i="43"/>
  <c r="C72" i="43"/>
  <c r="C71" i="43"/>
  <c r="C70" i="43"/>
  <c r="C69" i="43"/>
  <c r="C59" i="43"/>
  <c r="C51" i="43"/>
  <c r="C50" i="43"/>
  <c r="C57" i="43"/>
  <c r="C53" i="43"/>
  <c r="B93" i="43"/>
  <c r="C64" i="43"/>
  <c r="C62" i="43"/>
  <c r="C47" i="43"/>
  <c r="C45" i="43"/>
  <c r="C44" i="43"/>
  <c r="C43" i="43"/>
  <c r="C37" i="43"/>
  <c r="C66" i="43"/>
  <c r="C55" i="43"/>
  <c r="C67" i="43"/>
  <c r="C58" i="43"/>
  <c r="C54" i="43"/>
  <c r="C46" i="43"/>
  <c r="C40" i="43"/>
  <c r="C34" i="43"/>
  <c r="C33" i="43"/>
  <c r="C32" i="43"/>
  <c r="C25" i="43"/>
  <c r="C56" i="43"/>
  <c r="C39" i="43"/>
  <c r="C35" i="43"/>
  <c r="C65" i="43"/>
  <c r="C29" i="43"/>
  <c r="C28" i="43"/>
  <c r="C21" i="43"/>
  <c r="C15" i="43"/>
  <c r="C49" i="43"/>
  <c r="C48" i="43"/>
  <c r="C42" i="43"/>
  <c r="S4" i="43"/>
  <c r="S5" i="43"/>
  <c r="C9" i="43"/>
  <c r="R16" i="43"/>
  <c r="S16" i="43" s="1"/>
  <c r="P17" i="43"/>
  <c r="Q22" i="43"/>
  <c r="D2" i="43"/>
  <c r="U69" i="43"/>
  <c r="U68" i="43"/>
  <c r="U66" i="43"/>
  <c r="U62" i="43"/>
  <c r="U59" i="43"/>
  <c r="U58" i="43"/>
  <c r="T93" i="43"/>
  <c r="U57" i="43"/>
  <c r="U56" i="43"/>
  <c r="U55" i="43"/>
  <c r="U54" i="43"/>
  <c r="U53" i="43"/>
  <c r="U52" i="43"/>
  <c r="U73" i="43"/>
  <c r="U67" i="43"/>
  <c r="U65" i="43"/>
  <c r="U72" i="43"/>
  <c r="U51" i="43"/>
  <c r="U71" i="43"/>
  <c r="U60" i="43"/>
  <c r="U64" i="43"/>
  <c r="U37" i="43"/>
  <c r="U35" i="43"/>
  <c r="U70" i="43"/>
  <c r="U50" i="43"/>
  <c r="U48" i="43"/>
  <c r="U34" i="43"/>
  <c r="U31" i="43"/>
  <c r="T16" i="43"/>
  <c r="U16" i="43" s="1"/>
  <c r="U44" i="43"/>
  <c r="U43" i="43"/>
  <c r="U42" i="43"/>
  <c r="U41" i="43"/>
  <c r="U30" i="43"/>
  <c r="U20" i="43"/>
  <c r="U19" i="43"/>
  <c r="U18" i="43"/>
  <c r="U15" i="43"/>
  <c r="U47" i="43"/>
  <c r="U40" i="43"/>
  <c r="U36" i="43"/>
  <c r="U39" i="43"/>
  <c r="U27" i="43"/>
  <c r="U45" i="43"/>
  <c r="U46" i="43"/>
  <c r="E3" i="43"/>
  <c r="U3" i="43"/>
  <c r="U4" i="43"/>
  <c r="U5" i="43"/>
  <c r="G8" i="43"/>
  <c r="O8" i="43"/>
  <c r="W8" i="43"/>
  <c r="U9" i="43"/>
  <c r="C11" i="43"/>
  <c r="AB11" i="43"/>
  <c r="Q12" i="43"/>
  <c r="O13" i="43"/>
  <c r="S15" i="43"/>
  <c r="R17" i="43"/>
  <c r="K18" i="43"/>
  <c r="I19" i="43"/>
  <c r="C20" i="43"/>
  <c r="Q23" i="43"/>
  <c r="K24" i="43"/>
  <c r="Q25" i="43"/>
  <c r="M26" i="43"/>
  <c r="Y27" i="43"/>
  <c r="U28" i="43"/>
  <c r="U29" i="43"/>
  <c r="M30" i="43"/>
  <c r="I31" i="43"/>
  <c r="G32" i="43"/>
  <c r="K35" i="43"/>
  <c r="O36" i="43"/>
  <c r="O39" i="43"/>
  <c r="S45" i="43"/>
  <c r="S56" i="43"/>
  <c r="F93" i="43"/>
  <c r="F74" i="43"/>
  <c r="G58" i="43"/>
  <c r="G57" i="43"/>
  <c r="G56" i="43"/>
  <c r="G55" i="43"/>
  <c r="G54" i="43"/>
  <c r="G53" i="43"/>
  <c r="G52" i="43"/>
  <c r="G68" i="43"/>
  <c r="G65" i="43"/>
  <c r="G64" i="43"/>
  <c r="G62" i="43"/>
  <c r="G61" i="43"/>
  <c r="G41" i="43"/>
  <c r="G40" i="43"/>
  <c r="G39" i="43"/>
  <c r="G73" i="43"/>
  <c r="G70" i="43"/>
  <c r="G63" i="43"/>
  <c r="G59" i="43"/>
  <c r="G35" i="43"/>
  <c r="G34" i="43"/>
  <c r="G72" i="43"/>
  <c r="G69" i="43"/>
  <c r="G67" i="43"/>
  <c r="G46" i="43"/>
  <c r="G71" i="43"/>
  <c r="G60" i="43"/>
  <c r="G30" i="43"/>
  <c r="G20" i="43"/>
  <c r="G19" i="43"/>
  <c r="G18" i="43"/>
  <c r="G15" i="43"/>
  <c r="G47" i="43"/>
  <c r="G36" i="43"/>
  <c r="G29" i="43"/>
  <c r="G28" i="43"/>
  <c r="G21" i="43"/>
  <c r="G37" i="43"/>
  <c r="G27" i="43"/>
  <c r="G14" i="43"/>
  <c r="G50" i="43"/>
  <c r="G48" i="43"/>
  <c r="G45" i="43"/>
  <c r="G44" i="43"/>
  <c r="G43" i="43"/>
  <c r="G51" i="43"/>
  <c r="V93" i="43"/>
  <c r="W57" i="43"/>
  <c r="W56" i="43"/>
  <c r="W55" i="43"/>
  <c r="W54" i="43"/>
  <c r="W53" i="43"/>
  <c r="W52" i="43"/>
  <c r="W51" i="43"/>
  <c r="W64" i="43"/>
  <c r="W65" i="43"/>
  <c r="W58" i="43"/>
  <c r="W41" i="43"/>
  <c r="W40" i="43"/>
  <c r="W39" i="43"/>
  <c r="W73" i="43"/>
  <c r="W71" i="43"/>
  <c r="W68" i="43"/>
  <c r="W62" i="43"/>
  <c r="W70" i="43"/>
  <c r="W50" i="43"/>
  <c r="W34" i="43"/>
  <c r="W33" i="43"/>
  <c r="W59" i="43"/>
  <c r="W48" i="43"/>
  <c r="W47" i="43"/>
  <c r="W44" i="43"/>
  <c r="W43" i="43"/>
  <c r="W42" i="43"/>
  <c r="W30" i="43"/>
  <c r="W20" i="43"/>
  <c r="W19" i="43"/>
  <c r="W18" i="43"/>
  <c r="W15" i="43"/>
  <c r="W35" i="43"/>
  <c r="W29" i="43"/>
  <c r="W28" i="43"/>
  <c r="W21" i="43"/>
  <c r="W14" i="43"/>
  <c r="W72" i="43"/>
  <c r="W36" i="43"/>
  <c r="W67" i="43"/>
  <c r="W45" i="43"/>
  <c r="W13" i="43"/>
  <c r="W26" i="43"/>
  <c r="W69" i="43"/>
  <c r="W46" i="43"/>
  <c r="G3" i="43"/>
  <c r="W3" i="43"/>
  <c r="G4" i="43"/>
  <c r="W4" i="43"/>
  <c r="G5" i="43"/>
  <c r="W5" i="43"/>
  <c r="O7" i="43"/>
  <c r="G9" i="43"/>
  <c r="W9" i="43"/>
  <c r="O10" i="43"/>
  <c r="W10" i="43"/>
  <c r="U11" i="43"/>
  <c r="V16" i="43"/>
  <c r="W16" i="43" s="1"/>
  <c r="F82" i="43"/>
  <c r="G17" i="43"/>
  <c r="F76" i="43"/>
  <c r="G76" i="43" s="1"/>
  <c r="G23" i="43"/>
  <c r="AB23" i="43"/>
  <c r="M24" i="43"/>
  <c r="S25" i="43"/>
  <c r="O26" i="43"/>
  <c r="C27" i="43"/>
  <c r="S30" i="43"/>
  <c r="K31" i="43"/>
  <c r="I32" i="43"/>
  <c r="I33" i="43"/>
  <c r="M35" i="43"/>
  <c r="D101" i="43"/>
  <c r="E38" i="43"/>
  <c r="Q38" i="43"/>
  <c r="C52" i="43"/>
  <c r="C61" i="43"/>
  <c r="U61" i="43"/>
  <c r="C4" i="43"/>
  <c r="C10" i="43"/>
  <c r="C14" i="43"/>
  <c r="I51" i="43"/>
  <c r="I50" i="43"/>
  <c r="H93" i="43"/>
  <c r="I45" i="43"/>
  <c r="I44" i="43"/>
  <c r="I43" i="43"/>
  <c r="I42" i="43"/>
  <c r="I66" i="43"/>
  <c r="I59" i="43"/>
  <c r="I72" i="43"/>
  <c r="I69" i="43"/>
  <c r="I55" i="43"/>
  <c r="I46" i="43"/>
  <c r="I48" i="43"/>
  <c r="I68" i="43"/>
  <c r="I39" i="43"/>
  <c r="I36" i="43"/>
  <c r="I35" i="43"/>
  <c r="I29" i="43"/>
  <c r="I28" i="43"/>
  <c r="I21" i="43"/>
  <c r="I70" i="43"/>
  <c r="I56" i="43"/>
  <c r="I53" i="43"/>
  <c r="I60" i="43"/>
  <c r="I37" i="43"/>
  <c r="I13" i="43"/>
  <c r="I57" i="43"/>
  <c r="I54" i="43"/>
  <c r="I41" i="43"/>
  <c r="I26" i="43"/>
  <c r="I71" i="43"/>
  <c r="I64" i="43"/>
  <c r="I52" i="43"/>
  <c r="Y51" i="43"/>
  <c r="Y50" i="43"/>
  <c r="Y49" i="43"/>
  <c r="Y73" i="43"/>
  <c r="Y67" i="43"/>
  <c r="Y65" i="43"/>
  <c r="Y71" i="43"/>
  <c r="Y68" i="43"/>
  <c r="Y62" i="43"/>
  <c r="Y54" i="43"/>
  <c r="Y46" i="43"/>
  <c r="Y44" i="43"/>
  <c r="Y43" i="43"/>
  <c r="Y42" i="43"/>
  <c r="Y70" i="43"/>
  <c r="Y66" i="43"/>
  <c r="Y64" i="43"/>
  <c r="X93" i="43"/>
  <c r="Y63" i="43"/>
  <c r="Y61" i="43"/>
  <c r="Y56" i="43"/>
  <c r="Y52" i="43"/>
  <c r="Y48" i="43"/>
  <c r="Y47" i="43"/>
  <c r="Y72" i="43"/>
  <c r="Y69" i="43"/>
  <c r="Y55" i="43"/>
  <c r="Y60" i="43"/>
  <c r="Y41" i="43"/>
  <c r="Y35" i="43"/>
  <c r="Y29" i="43"/>
  <c r="Y28" i="43"/>
  <c r="Y21" i="43"/>
  <c r="Y14" i="43"/>
  <c r="Y40" i="43"/>
  <c r="Y36" i="43"/>
  <c r="Y57" i="43"/>
  <c r="Y58" i="43"/>
  <c r="Y39" i="43"/>
  <c r="Y25" i="43"/>
  <c r="Y38" i="43"/>
  <c r="I3" i="43"/>
  <c r="Y3" i="43"/>
  <c r="I4" i="43"/>
  <c r="Y4" i="43"/>
  <c r="I5" i="43"/>
  <c r="Y5" i="43"/>
  <c r="Q7" i="43"/>
  <c r="I8" i="43"/>
  <c r="Y8" i="43"/>
  <c r="I9" i="43"/>
  <c r="Y9" i="43"/>
  <c r="G10" i="43"/>
  <c r="Y10" i="43"/>
  <c r="E11" i="43"/>
  <c r="C13" i="43"/>
  <c r="S13" i="43"/>
  <c r="J16" i="43"/>
  <c r="K16" i="43" s="1"/>
  <c r="M19" i="43"/>
  <c r="K20" i="43"/>
  <c r="M21" i="43"/>
  <c r="I23" i="43"/>
  <c r="S23" i="43"/>
  <c r="O24" i="43"/>
  <c r="U25" i="43"/>
  <c r="Q26" i="43"/>
  <c r="I27" i="43"/>
  <c r="Y30" i="43"/>
  <c r="Q31" i="43"/>
  <c r="O32" i="43"/>
  <c r="I47" i="43"/>
  <c r="R99" i="43"/>
  <c r="S72" i="43"/>
  <c r="S71" i="43"/>
  <c r="S70" i="43"/>
  <c r="S60" i="43"/>
  <c r="S69" i="43"/>
  <c r="S68" i="43"/>
  <c r="S66" i="43"/>
  <c r="S59" i="43"/>
  <c r="S58" i="43"/>
  <c r="S51" i="43"/>
  <c r="S50" i="43"/>
  <c r="S61" i="43"/>
  <c r="S65" i="43"/>
  <c r="S73" i="43"/>
  <c r="R74" i="43"/>
  <c r="S57" i="43"/>
  <c r="S53" i="43"/>
  <c r="S44" i="43"/>
  <c r="S43" i="43"/>
  <c r="S42" i="43"/>
  <c r="S36" i="43"/>
  <c r="R93" i="43"/>
  <c r="S64" i="43"/>
  <c r="S46" i="43"/>
  <c r="S67" i="43"/>
  <c r="S32" i="43"/>
  <c r="S48" i="43"/>
  <c r="S34" i="43"/>
  <c r="S31" i="43"/>
  <c r="S79" i="43"/>
  <c r="S54" i="43"/>
  <c r="S49" i="43"/>
  <c r="S41" i="43"/>
  <c r="S38" i="43"/>
  <c r="S35" i="43"/>
  <c r="S40" i="43"/>
  <c r="S29" i="43"/>
  <c r="S28" i="43"/>
  <c r="S21" i="43"/>
  <c r="S14" i="43"/>
  <c r="S52" i="43"/>
  <c r="S55" i="43"/>
  <c r="S39" i="43"/>
  <c r="S3" i="43"/>
  <c r="C5" i="43"/>
  <c r="S9" i="43"/>
  <c r="S11" i="43"/>
  <c r="C19" i="43"/>
  <c r="E23" i="43"/>
  <c r="K65" i="43"/>
  <c r="K62" i="43"/>
  <c r="K64" i="43"/>
  <c r="K56" i="43"/>
  <c r="K52" i="43"/>
  <c r="K50" i="43"/>
  <c r="K72" i="43"/>
  <c r="K69" i="43"/>
  <c r="K48" i="43"/>
  <c r="K71" i="43"/>
  <c r="K60" i="43"/>
  <c r="K54" i="43"/>
  <c r="K51" i="43"/>
  <c r="K70" i="43"/>
  <c r="K61" i="43"/>
  <c r="K57" i="43"/>
  <c r="K53" i="43"/>
  <c r="K41" i="43"/>
  <c r="K40" i="43"/>
  <c r="K39" i="43"/>
  <c r="K59" i="43"/>
  <c r="K37" i="43"/>
  <c r="K27" i="43"/>
  <c r="K14" i="43"/>
  <c r="K45" i="43"/>
  <c r="K44" i="43"/>
  <c r="K43" i="43"/>
  <c r="K42" i="43"/>
  <c r="K26" i="43"/>
  <c r="K66" i="43"/>
  <c r="K33" i="43"/>
  <c r="K32" i="43"/>
  <c r="K25" i="43"/>
  <c r="J93" i="43"/>
  <c r="K47" i="43"/>
  <c r="K46" i="43"/>
  <c r="K3" i="43"/>
  <c r="K4" i="43"/>
  <c r="K5" i="43"/>
  <c r="C7" i="43"/>
  <c r="S7" i="43"/>
  <c r="B8" i="43"/>
  <c r="K9" i="43"/>
  <c r="I10" i="43"/>
  <c r="Q10" i="43"/>
  <c r="O11" i="43"/>
  <c r="W11" i="43"/>
  <c r="C12" i="43"/>
  <c r="AB12" i="43"/>
  <c r="U13" i="43"/>
  <c r="O14" i="43"/>
  <c r="E15" i="43"/>
  <c r="X16" i="43"/>
  <c r="Y16" i="43" s="1"/>
  <c r="Y18" i="43"/>
  <c r="S19" i="43"/>
  <c r="M20" i="43"/>
  <c r="O21" i="43"/>
  <c r="H17" i="43"/>
  <c r="I22" i="43"/>
  <c r="J22" i="43"/>
  <c r="T22" i="43"/>
  <c r="U23" i="43"/>
  <c r="C24" i="43"/>
  <c r="W25" i="43"/>
  <c r="S26" i="43"/>
  <c r="O27" i="43"/>
  <c r="W31" i="43"/>
  <c r="U32" i="43"/>
  <c r="Y34" i="43"/>
  <c r="G38" i="43"/>
  <c r="I40" i="43"/>
  <c r="Y53" i="43"/>
  <c r="I58" i="43"/>
  <c r="D87" i="43"/>
  <c r="F90" i="43"/>
  <c r="M67" i="43"/>
  <c r="M64" i="43"/>
  <c r="L99" i="43"/>
  <c r="M72" i="43"/>
  <c r="M71" i="43"/>
  <c r="M70" i="43"/>
  <c r="M60" i="43"/>
  <c r="M49" i="43"/>
  <c r="M59" i="43"/>
  <c r="M69" i="43"/>
  <c r="M68" i="43"/>
  <c r="M54" i="43"/>
  <c r="M51" i="43"/>
  <c r="M65" i="43"/>
  <c r="M47" i="43"/>
  <c r="L93" i="43"/>
  <c r="M66" i="43"/>
  <c r="M45" i="43"/>
  <c r="M44" i="43"/>
  <c r="M43" i="43"/>
  <c r="M42" i="43"/>
  <c r="M56" i="43"/>
  <c r="M53" i="43"/>
  <c r="M37" i="43"/>
  <c r="M27" i="43"/>
  <c r="L16" i="43"/>
  <c r="M16" i="43" s="1"/>
  <c r="M14" i="43"/>
  <c r="M13" i="43"/>
  <c r="M73" i="43"/>
  <c r="M62" i="43"/>
  <c r="M57" i="43"/>
  <c r="M50" i="43"/>
  <c r="M48" i="43"/>
  <c r="M41" i="43"/>
  <c r="M32" i="43"/>
  <c r="M25" i="43"/>
  <c r="M46" i="43"/>
  <c r="M34" i="43"/>
  <c r="M31" i="43"/>
  <c r="M58" i="43"/>
  <c r="M52" i="43"/>
  <c r="M40" i="43"/>
  <c r="M55" i="43"/>
  <c r="M3" i="43"/>
  <c r="M4" i="43"/>
  <c r="M5" i="43"/>
  <c r="M9" i="43"/>
  <c r="G11" i="43"/>
  <c r="M12" i="43"/>
  <c r="U12" i="43"/>
  <c r="Y13" i="43"/>
  <c r="I15" i="43"/>
  <c r="N16" i="43"/>
  <c r="O16" i="43" s="1"/>
  <c r="Y19" i="43"/>
  <c r="S20" i="43"/>
  <c r="U21" i="43"/>
  <c r="K23" i="43"/>
  <c r="E24" i="43"/>
  <c r="Q24" i="43"/>
  <c r="U26" i="43"/>
  <c r="Q27" i="43"/>
  <c r="W32" i="43"/>
  <c r="S33" i="43"/>
  <c r="I38" i="43"/>
  <c r="O3" i="43"/>
  <c r="O4" i="43"/>
  <c r="O5" i="43"/>
  <c r="G7" i="43"/>
  <c r="W7" i="43"/>
  <c r="S10" i="43"/>
  <c r="W12" i="43"/>
  <c r="AB13" i="43"/>
  <c r="Y20" i="43"/>
  <c r="L22" i="43"/>
  <c r="M23" i="43"/>
  <c r="W23" i="43"/>
  <c r="G24" i="43"/>
  <c r="T24" i="43"/>
  <c r="S24" i="43"/>
  <c r="G25" i="43"/>
  <c r="C26" i="43"/>
  <c r="S27" i="43"/>
  <c r="K28" i="43"/>
  <c r="K29" i="43"/>
  <c r="C30" i="43"/>
  <c r="Y31" i="43"/>
  <c r="Y32" i="43"/>
  <c r="U33" i="43"/>
  <c r="S37" i="43"/>
  <c r="K38" i="43"/>
  <c r="W38" i="43"/>
  <c r="C41" i="43"/>
  <c r="W49" i="43"/>
  <c r="Y59" i="43"/>
  <c r="O48" i="43"/>
  <c r="O69" i="43"/>
  <c r="O68" i="43"/>
  <c r="O66" i="43"/>
  <c r="O59" i="43"/>
  <c r="O58" i="43"/>
  <c r="O55" i="43"/>
  <c r="O72" i="43"/>
  <c r="O67" i="43"/>
  <c r="O71" i="43"/>
  <c r="O65" i="43"/>
  <c r="O60" i="43"/>
  <c r="O47" i="43"/>
  <c r="O73" i="43"/>
  <c r="O62" i="43"/>
  <c r="O57" i="43"/>
  <c r="O53" i="43"/>
  <c r="O41" i="43"/>
  <c r="N99" i="43"/>
  <c r="N93" i="43"/>
  <c r="O64" i="43"/>
  <c r="O56" i="43"/>
  <c r="O52" i="43"/>
  <c r="O50" i="43"/>
  <c r="O70" i="43"/>
  <c r="O33" i="43"/>
  <c r="O46" i="43"/>
  <c r="O45" i="43"/>
  <c r="O44" i="43"/>
  <c r="O43" i="43"/>
  <c r="O42" i="43"/>
  <c r="O54" i="43"/>
  <c r="O34" i="43"/>
  <c r="O31" i="43"/>
  <c r="O51" i="43"/>
  <c r="O40" i="43"/>
  <c r="O35" i="43"/>
  <c r="O30" i="43"/>
  <c r="O20" i="43"/>
  <c r="O19" i="43"/>
  <c r="O18" i="43"/>
  <c r="P99" i="43"/>
  <c r="Q72" i="43"/>
  <c r="Q71" i="43"/>
  <c r="Q70" i="43"/>
  <c r="Q60" i="43"/>
  <c r="P93" i="43"/>
  <c r="Q57" i="43"/>
  <c r="Q56" i="43"/>
  <c r="Q55" i="43"/>
  <c r="Q54" i="43"/>
  <c r="Q53" i="43"/>
  <c r="Q52" i="43"/>
  <c r="Q69" i="43"/>
  <c r="Q68" i="43"/>
  <c r="Q65" i="43"/>
  <c r="Q73" i="43"/>
  <c r="Q63" i="43"/>
  <c r="Q41" i="43"/>
  <c r="Q40" i="43"/>
  <c r="Q39" i="43"/>
  <c r="Q49" i="43"/>
  <c r="Q44" i="43"/>
  <c r="Q43" i="43"/>
  <c r="Q42" i="43"/>
  <c r="Q59" i="43"/>
  <c r="Q46" i="43"/>
  <c r="Q33" i="43"/>
  <c r="Q32" i="43"/>
  <c r="Q50" i="43"/>
  <c r="Q34" i="43"/>
  <c r="Q66" i="43"/>
  <c r="Q51" i="43"/>
  <c r="Q35" i="43"/>
  <c r="Q30" i="43"/>
  <c r="Q20" i="43"/>
  <c r="Q19" i="43"/>
  <c r="Q18" i="43"/>
  <c r="Q15" i="43"/>
  <c r="Q67" i="43"/>
  <c r="Q58" i="43"/>
  <c r="Q47" i="43"/>
  <c r="Q36" i="43"/>
  <c r="Q29" i="43"/>
  <c r="Q28" i="43"/>
  <c r="Q21" i="43"/>
  <c r="Q64" i="43"/>
  <c r="C3" i="43"/>
  <c r="Q3" i="43"/>
  <c r="Q4" i="43"/>
  <c r="Q5" i="43"/>
  <c r="I7" i="43"/>
  <c r="Q9" i="43"/>
  <c r="Y12" i="43"/>
  <c r="U14" i="43"/>
  <c r="M15" i="43"/>
  <c r="P16" i="43"/>
  <c r="Q16" i="43" s="1"/>
  <c r="B17" i="43"/>
  <c r="N17" i="43"/>
  <c r="N74" i="43" s="1"/>
  <c r="C18" i="43"/>
  <c r="C23" i="43"/>
  <c r="Y23" i="43"/>
  <c r="I25" i="43"/>
  <c r="Y26" i="43"/>
  <c r="M28" i="43"/>
  <c r="M29" i="43"/>
  <c r="I30" i="43"/>
  <c r="C31" i="43"/>
  <c r="Y33" i="43"/>
  <c r="K36" i="43"/>
  <c r="W37" i="43"/>
  <c r="I49" i="43"/>
  <c r="K55" i="43"/>
  <c r="K49" i="43"/>
  <c r="W61" i="43"/>
  <c r="E63" i="43"/>
  <c r="AB49" i="43"/>
  <c r="O49" i="43"/>
  <c r="I62" i="43"/>
  <c r="P77" i="43"/>
  <c r="K73" i="43"/>
  <c r="I61" i="43"/>
  <c r="M63" i="43"/>
  <c r="C36" i="43"/>
  <c r="S47" i="43"/>
  <c r="AB61" i="43"/>
  <c r="M61" i="43"/>
  <c r="O63" i="43"/>
  <c r="Y45" i="43"/>
  <c r="Q48" i="43"/>
  <c r="I65" i="43"/>
  <c r="H63" i="43"/>
  <c r="AB73" i="43"/>
  <c r="AB25" i="43"/>
  <c r="B101" i="43"/>
  <c r="Z101" i="43" s="1"/>
  <c r="U38" i="43"/>
  <c r="U49" i="43"/>
  <c r="U63" i="43"/>
  <c r="C38" i="43"/>
  <c r="M38" i="43"/>
  <c r="W63" i="43"/>
  <c r="AB68" i="43"/>
  <c r="K68" i="43"/>
  <c r="AB62" i="43"/>
  <c r="G49" i="43"/>
  <c r="AC79" i="43"/>
  <c r="Q45" i="43"/>
  <c r="K58" i="43"/>
  <c r="O61" i="43"/>
  <c r="Q62" i="43"/>
  <c r="G66" i="43"/>
  <c r="W66" i="43"/>
  <c r="I67" i="43"/>
  <c r="Q61" i="43"/>
  <c r="S62" i="43"/>
  <c r="S63" i="43"/>
  <c r="K67" i="43"/>
  <c r="B63" i="43"/>
  <c r="C68" i="43"/>
  <c r="C60" i="43"/>
  <c r="W60" i="43"/>
  <c r="J63" i="43"/>
  <c r="I73" i="43"/>
  <c r="B87" i="43"/>
  <c r="N75" i="43" l="1"/>
  <c r="O74" i="43"/>
  <c r="N80" i="43"/>
  <c r="N81" i="43" s="1"/>
  <c r="C63" i="43"/>
  <c r="R75" i="43"/>
  <c r="S74" i="43"/>
  <c r="R80" i="43"/>
  <c r="R81" i="43" s="1"/>
  <c r="E6" i="43"/>
  <c r="F100" i="43"/>
  <c r="F83" i="43"/>
  <c r="G77" i="43"/>
  <c r="U22" i="43"/>
  <c r="T17" i="43"/>
  <c r="F87" i="43"/>
  <c r="H90" i="43"/>
  <c r="AB63" i="43"/>
  <c r="AC63" i="43" s="1"/>
  <c r="K22" i="43"/>
  <c r="J17" i="43"/>
  <c r="F80" i="43"/>
  <c r="F81" i="43" s="1"/>
  <c r="F75" i="43"/>
  <c r="G74" i="43"/>
  <c r="E70" i="43"/>
  <c r="E69" i="43"/>
  <c r="E59" i="43"/>
  <c r="D93" i="43"/>
  <c r="E58" i="43"/>
  <c r="E57" i="43"/>
  <c r="E56" i="43"/>
  <c r="E55" i="43"/>
  <c r="E54" i="43"/>
  <c r="E53" i="43"/>
  <c r="E52" i="43"/>
  <c r="E66" i="43"/>
  <c r="E68" i="43"/>
  <c r="E64" i="43"/>
  <c r="E62" i="43"/>
  <c r="D99" i="43"/>
  <c r="Z99" i="43" s="1"/>
  <c r="E73" i="43"/>
  <c r="E61" i="43"/>
  <c r="E65" i="43"/>
  <c r="E51" i="43"/>
  <c r="E48" i="43"/>
  <c r="E67" i="43"/>
  <c r="E31" i="43"/>
  <c r="D16" i="43"/>
  <c r="E16" i="43" s="1"/>
  <c r="E39" i="43"/>
  <c r="E35" i="43"/>
  <c r="E30" i="43"/>
  <c r="E20" i="43"/>
  <c r="E19" i="43"/>
  <c r="E18" i="43"/>
  <c r="E49" i="43"/>
  <c r="E47" i="43"/>
  <c r="E36" i="43"/>
  <c r="E72" i="43"/>
  <c r="E60" i="43"/>
  <c r="E42" i="43"/>
  <c r="E37" i="43"/>
  <c r="E27" i="43"/>
  <c r="E50" i="43"/>
  <c r="E45" i="43"/>
  <c r="E44" i="43"/>
  <c r="E43" i="43"/>
  <c r="E41" i="43"/>
  <c r="E46" i="43"/>
  <c r="E26" i="43"/>
  <c r="E12" i="43"/>
  <c r="AE2" i="43"/>
  <c r="E29" i="43"/>
  <c r="E28" i="43"/>
  <c r="E25" i="43"/>
  <c r="E13" i="43"/>
  <c r="E7" i="43"/>
  <c r="E33" i="43"/>
  <c r="E40" i="43"/>
  <c r="E71" i="43"/>
  <c r="E34" i="43"/>
  <c r="E21" i="43"/>
  <c r="E14" i="43"/>
  <c r="E10" i="43"/>
  <c r="E9" i="43"/>
  <c r="E5" i="43"/>
  <c r="E4" i="43"/>
  <c r="E32" i="43"/>
  <c r="AB93" i="43"/>
  <c r="Q6" i="43"/>
  <c r="P74" i="43"/>
  <c r="K63" i="43"/>
  <c r="J77" i="43"/>
  <c r="M22" i="43"/>
  <c r="L17" i="43"/>
  <c r="P83" i="43"/>
  <c r="P100" i="43"/>
  <c r="Q77" i="43"/>
  <c r="V24" i="43"/>
  <c r="U24" i="43"/>
  <c r="AB8" i="43"/>
  <c r="H82" i="43"/>
  <c r="H76" i="43"/>
  <c r="I76" i="43" s="1"/>
  <c r="I17" i="43"/>
  <c r="C8" i="43"/>
  <c r="B6" i="43"/>
  <c r="H74" i="43"/>
  <c r="P76" i="43"/>
  <c r="Q76" i="43" s="1"/>
  <c r="P82" i="43"/>
  <c r="Q17" i="43"/>
  <c r="N82" i="43"/>
  <c r="N76" i="43"/>
  <c r="O76" i="43" s="1"/>
  <c r="O17" i="43"/>
  <c r="I63" i="43"/>
  <c r="H77" i="43"/>
  <c r="N77" i="43"/>
  <c r="C17" i="43"/>
  <c r="R76" i="43"/>
  <c r="S76" i="43" s="1"/>
  <c r="R77" i="43"/>
  <c r="R82" i="43"/>
  <c r="S17" i="43"/>
  <c r="L82" i="43" l="1"/>
  <c r="L76" i="43"/>
  <c r="M76" i="43" s="1"/>
  <c r="M17" i="43"/>
  <c r="L74" i="43"/>
  <c r="L77" i="43"/>
  <c r="Z78" i="43"/>
  <c r="Z64" i="43"/>
  <c r="AA64" i="43" s="1"/>
  <c r="Z70" i="43"/>
  <c r="Z66" i="43"/>
  <c r="Z56" i="43"/>
  <c r="Z52" i="43"/>
  <c r="Z59" i="43"/>
  <c r="Z79" i="43"/>
  <c r="Z41" i="43"/>
  <c r="Z40" i="43"/>
  <c r="AA40" i="43" s="1"/>
  <c r="Z39" i="43"/>
  <c r="Z72" i="43"/>
  <c r="Z57" i="43"/>
  <c r="Z54" i="43"/>
  <c r="Z50" i="43"/>
  <c r="Z45" i="43"/>
  <c r="Z51" i="43"/>
  <c r="Z69" i="43"/>
  <c r="AA69" i="43" s="1"/>
  <c r="Z55" i="43"/>
  <c r="Z46" i="43"/>
  <c r="Z37" i="43"/>
  <c r="Z33" i="43"/>
  <c r="Z32" i="43"/>
  <c r="Z71" i="43"/>
  <c r="Z53" i="43"/>
  <c r="Z20" i="43"/>
  <c r="Z68" i="43"/>
  <c r="Z21" i="43"/>
  <c r="Z19" i="43"/>
  <c r="Z44" i="43"/>
  <c r="Z34" i="43"/>
  <c r="Z18" i="43"/>
  <c r="Z30" i="43"/>
  <c r="Z9" i="43"/>
  <c r="AA9" i="43" s="1"/>
  <c r="Z5" i="43"/>
  <c r="Z4" i="43"/>
  <c r="Z7" i="43"/>
  <c r="Z43" i="43"/>
  <c r="Z29" i="43"/>
  <c r="Z28" i="43"/>
  <c r="Z27" i="43"/>
  <c r="AA27" i="43" s="1"/>
  <c r="Z42" i="43"/>
  <c r="AA42" i="43" s="1"/>
  <c r="Z14" i="43"/>
  <c r="Z12" i="43"/>
  <c r="Z10" i="43"/>
  <c r="Z25" i="43"/>
  <c r="Z38" i="43"/>
  <c r="Z36" i="43"/>
  <c r="Z73" i="43"/>
  <c r="AA73" i="43" s="1"/>
  <c r="Z58" i="43"/>
  <c r="AA58" i="43" s="1"/>
  <c r="Z15" i="43"/>
  <c r="Z11" i="43"/>
  <c r="Z61" i="43"/>
  <c r="Z2" i="43"/>
  <c r="Z48" i="43"/>
  <c r="Z3" i="43"/>
  <c r="Z49" i="43"/>
  <c r="AA49" i="43" s="1"/>
  <c r="Z62" i="43"/>
  <c r="AA62" i="43" s="1"/>
  <c r="Z60" i="43"/>
  <c r="AA60" i="43" s="1"/>
  <c r="Z23" i="43"/>
  <c r="Z31" i="43"/>
  <c r="Z35" i="43"/>
  <c r="AA35" i="43" s="1"/>
  <c r="Z47" i="43"/>
  <c r="Z67" i="43"/>
  <c r="AA67" i="43" s="1"/>
  <c r="Z13" i="43"/>
  <c r="AA13" i="43" s="1"/>
  <c r="Z65" i="43"/>
  <c r="AA65" i="43" s="1"/>
  <c r="Z26" i="43"/>
  <c r="AA26" i="43" s="1"/>
  <c r="T82" i="43"/>
  <c r="T76" i="43"/>
  <c r="U76" i="43" s="1"/>
  <c r="T77" i="43"/>
  <c r="U17" i="43"/>
  <c r="T74" i="43"/>
  <c r="B77" i="43"/>
  <c r="Z6" i="43"/>
  <c r="AA6" i="43" s="1"/>
  <c r="C6" i="43"/>
  <c r="B16" i="43"/>
  <c r="B74" i="43"/>
  <c r="Z8" i="43"/>
  <c r="AA8" i="43" s="1"/>
  <c r="K77" i="43"/>
  <c r="J83" i="43"/>
  <c r="J100" i="43"/>
  <c r="Z63" i="43"/>
  <c r="AA63" i="43" s="1"/>
  <c r="I74" i="43"/>
  <c r="H80" i="43"/>
  <c r="H81" i="43" s="1"/>
  <c r="H75" i="43"/>
  <c r="W24" i="43"/>
  <c r="V22" i="43"/>
  <c r="X24" i="43"/>
  <c r="AB24" i="43" s="1"/>
  <c r="P75" i="43"/>
  <c r="P80" i="43"/>
  <c r="P81" i="43" s="1"/>
  <c r="Q74" i="43"/>
  <c r="J76" i="43"/>
  <c r="K76" i="43" s="1"/>
  <c r="J82" i="43"/>
  <c r="K17" i="43"/>
  <c r="J74" i="43"/>
  <c r="O77" i="43"/>
  <c r="N100" i="43"/>
  <c r="N83" i="43"/>
  <c r="H100" i="43"/>
  <c r="I77" i="43"/>
  <c r="H83" i="43"/>
  <c r="D22" i="43"/>
  <c r="R83" i="43"/>
  <c r="R100" i="43"/>
  <c r="S77" i="43"/>
  <c r="AB6" i="43"/>
  <c r="J90" i="43"/>
  <c r="H87" i="43"/>
  <c r="AA15" i="43" l="1"/>
  <c r="AA3" i="43"/>
  <c r="AA36" i="43"/>
  <c r="AA28" i="43"/>
  <c r="AA18" i="43"/>
  <c r="AA71" i="43"/>
  <c r="AA45" i="43"/>
  <c r="AA47" i="43"/>
  <c r="AA48" i="43"/>
  <c r="AA38" i="43"/>
  <c r="AA31" i="43"/>
  <c r="AA61" i="43"/>
  <c r="AA10" i="43"/>
  <c r="AA7" i="43"/>
  <c r="AA19" i="43"/>
  <c r="AA23" i="43"/>
  <c r="AA11" i="43"/>
  <c r="AA12" i="43"/>
  <c r="AA4" i="43"/>
  <c r="AA21" i="43"/>
  <c r="AA46" i="43"/>
  <c r="AB22" i="43"/>
  <c r="B83" i="43"/>
  <c r="B100" i="43"/>
  <c r="C77" i="43"/>
  <c r="AA30" i="43"/>
  <c r="AA53" i="43"/>
  <c r="AA51" i="43"/>
  <c r="AA41" i="43"/>
  <c r="AA79" i="43"/>
  <c r="M77" i="43"/>
  <c r="L83" i="43"/>
  <c r="L100" i="43"/>
  <c r="T80" i="43"/>
  <c r="T81" i="43" s="1"/>
  <c r="U74" i="43"/>
  <c r="T75" i="43"/>
  <c r="W22" i="43"/>
  <c r="V17" i="43"/>
  <c r="AA29" i="43"/>
  <c r="AA34" i="43"/>
  <c r="AA32" i="43"/>
  <c r="AA50" i="43"/>
  <c r="AA59" i="43"/>
  <c r="M74" i="43"/>
  <c r="L75" i="43"/>
  <c r="L80" i="43"/>
  <c r="L81" i="43" s="1"/>
  <c r="B75" i="43"/>
  <c r="C74" i="43"/>
  <c r="B80" i="43"/>
  <c r="K74" i="43"/>
  <c r="J80" i="43"/>
  <c r="J81" i="43" s="1"/>
  <c r="J75" i="43"/>
  <c r="X22" i="43"/>
  <c r="Y24" i="43"/>
  <c r="Z24" i="43"/>
  <c r="AA24" i="43" s="1"/>
  <c r="E22" i="43"/>
  <c r="D17" i="43"/>
  <c r="Z22" i="43"/>
  <c r="AA22" i="43" s="1"/>
  <c r="U77" i="43"/>
  <c r="T100" i="43"/>
  <c r="T83" i="43"/>
  <c r="Z93" i="43"/>
  <c r="AA25" i="43"/>
  <c r="AA43" i="43"/>
  <c r="AA44" i="43"/>
  <c r="AA33" i="43"/>
  <c r="AA54" i="43"/>
  <c r="AA52" i="43"/>
  <c r="AA57" i="43"/>
  <c r="AA56" i="43"/>
  <c r="L90" i="43"/>
  <c r="J87" i="43"/>
  <c r="AA72" i="43"/>
  <c r="AA66" i="43"/>
  <c r="AB16" i="43"/>
  <c r="AC16" i="43" s="1"/>
  <c r="C16" i="43"/>
  <c r="Z16" i="43"/>
  <c r="AA16" i="43" s="1"/>
  <c r="AA14" i="43"/>
  <c r="AA5" i="43"/>
  <c r="AA68" i="43"/>
  <c r="AA55" i="43"/>
  <c r="AA39" i="43"/>
  <c r="AA70" i="43"/>
  <c r="D82" i="43" l="1"/>
  <c r="D76" i="43"/>
  <c r="E76" i="43" s="1"/>
  <c r="E17" i="43"/>
  <c r="D77" i="43"/>
  <c r="D74" i="43"/>
  <c r="Z17" i="43"/>
  <c r="B81" i="43"/>
  <c r="B76" i="43"/>
  <c r="B82" i="43"/>
  <c r="N90" i="43"/>
  <c r="L87" i="43"/>
  <c r="V82" i="43"/>
  <c r="W17" i="43"/>
  <c r="V76" i="43"/>
  <c r="W76" i="43" s="1"/>
  <c r="V74" i="43"/>
  <c r="V77" i="43"/>
  <c r="B105" i="43"/>
  <c r="D98" i="43" s="1"/>
  <c r="X17" i="43"/>
  <c r="Y22" i="43"/>
  <c r="AB17" i="43"/>
  <c r="AB82" i="43" l="1"/>
  <c r="AB76" i="43"/>
  <c r="AB74" i="43"/>
  <c r="AA17" i="43"/>
  <c r="Z74" i="43"/>
  <c r="D80" i="43"/>
  <c r="E74" i="43"/>
  <c r="D75" i="43"/>
  <c r="X82" i="43"/>
  <c r="X77" i="43"/>
  <c r="X76" i="43"/>
  <c r="Y76" i="43" s="1"/>
  <c r="Y17" i="43"/>
  <c r="X74" i="43"/>
  <c r="E77" i="43"/>
  <c r="D100" i="43"/>
  <c r="D83" i="43"/>
  <c r="Z77" i="43"/>
  <c r="V80" i="43"/>
  <c r="V81" i="43" s="1"/>
  <c r="W74" i="43"/>
  <c r="V75" i="43"/>
  <c r="N87" i="43"/>
  <c r="P90" i="43"/>
  <c r="Z82" i="43"/>
  <c r="V100" i="43"/>
  <c r="V83" i="43"/>
  <c r="W77" i="43"/>
  <c r="Z76" i="43"/>
  <c r="AA76" i="43" s="1"/>
  <c r="C76" i="43"/>
  <c r="AB75" i="43" l="1"/>
  <c r="AC75" i="43" s="1"/>
  <c r="D81" i="43"/>
  <c r="AA74" i="43"/>
  <c r="AA75" i="43"/>
  <c r="D105" i="43"/>
  <c r="F98" i="43" s="1"/>
  <c r="F105" i="43" s="1"/>
  <c r="H98" i="43" s="1"/>
  <c r="H105" i="43" s="1"/>
  <c r="J98" i="43" s="1"/>
  <c r="J105" i="43" s="1"/>
  <c r="L98" i="43" s="1"/>
  <c r="L105" i="43" s="1"/>
  <c r="N98" i="43" s="1"/>
  <c r="N105" i="43" s="1"/>
  <c r="P98" i="43" s="1"/>
  <c r="P105" i="43" s="1"/>
  <c r="R98" i="43" s="1"/>
  <c r="R105" i="43" s="1"/>
  <c r="T98" i="43" s="1"/>
  <c r="T105" i="43" s="1"/>
  <c r="V98" i="43" s="1"/>
  <c r="V105" i="43" s="1"/>
  <c r="AB80" i="43"/>
  <c r="AB81" i="43" s="1"/>
  <c r="AA77" i="43"/>
  <c r="Z83" i="43"/>
  <c r="X100" i="43"/>
  <c r="Z100" i="43" s="1"/>
  <c r="Z105" i="43" s="1"/>
  <c r="X83" i="43"/>
  <c r="Y77" i="43"/>
  <c r="X75" i="43"/>
  <c r="X80" i="43"/>
  <c r="X81" i="43" s="1"/>
  <c r="Y74" i="43"/>
  <c r="AB77" i="43"/>
  <c r="P87" i="43"/>
  <c r="R90" i="43"/>
  <c r="T90" i="43" l="1"/>
  <c r="R87" i="43"/>
  <c r="X98" i="43"/>
  <c r="X105" i="43" s="1"/>
  <c r="Z80" i="43"/>
  <c r="Z81" i="43" s="1"/>
  <c r="AC77" i="43"/>
  <c r="AB83" i="43"/>
  <c r="T87" i="43" l="1"/>
  <c r="V90" i="43"/>
  <c r="V87" i="43" l="1"/>
  <c r="V107" i="43" s="1"/>
  <c r="X90" i="43"/>
  <c r="X87" i="43" s="1"/>
  <c r="X107" i="43" s="1"/>
  <c r="B32" i="41" l="1"/>
  <c r="B31" i="41"/>
  <c r="B28" i="41"/>
  <c r="C4" i="41"/>
  <c r="B14" i="41"/>
  <c r="B13" i="41"/>
  <c r="B11" i="41"/>
  <c r="B10" i="41"/>
  <c r="X100" i="42"/>
  <c r="T100" i="42"/>
  <c r="R100" i="42"/>
  <c r="P100" i="42"/>
  <c r="N100" i="42"/>
  <c r="L100" i="42"/>
  <c r="H100" i="42"/>
  <c r="D100" i="42"/>
  <c r="Z100" i="42" s="1"/>
  <c r="B100" i="42"/>
  <c r="X99" i="42"/>
  <c r="V99" i="42"/>
  <c r="T99" i="42"/>
  <c r="R99" i="42"/>
  <c r="P99" i="42"/>
  <c r="N99" i="42"/>
  <c r="L99" i="42"/>
  <c r="J99" i="42"/>
  <c r="H99" i="42"/>
  <c r="Z99" i="42" s="1"/>
  <c r="F99" i="42"/>
  <c r="D99" i="42"/>
  <c r="B99" i="42"/>
  <c r="T98" i="42"/>
  <c r="R98" i="42"/>
  <c r="N98" i="42"/>
  <c r="H98" i="42"/>
  <c r="F98" i="42"/>
  <c r="D98" i="42"/>
  <c r="B98" i="42"/>
  <c r="X97" i="42"/>
  <c r="V97" i="42"/>
  <c r="T97" i="42"/>
  <c r="R97" i="42"/>
  <c r="P97" i="42"/>
  <c r="N97" i="42"/>
  <c r="L97" i="42"/>
  <c r="J97" i="42"/>
  <c r="H97" i="42"/>
  <c r="X95" i="42"/>
  <c r="V95" i="42"/>
  <c r="T95" i="42"/>
  <c r="R95" i="42"/>
  <c r="P95" i="42"/>
  <c r="J95" i="42"/>
  <c r="H95" i="42"/>
  <c r="B94" i="42"/>
  <c r="B86" i="42"/>
  <c r="D86" i="42" s="1"/>
  <c r="F86" i="42" s="1"/>
  <c r="H86" i="42" s="1"/>
  <c r="F85" i="42"/>
  <c r="F82" i="42"/>
  <c r="D82" i="42"/>
  <c r="B82" i="42"/>
  <c r="AB74" i="42"/>
  <c r="T68" i="42"/>
  <c r="I68" i="42"/>
  <c r="B68" i="42"/>
  <c r="AB68" i="42" s="1"/>
  <c r="R67" i="42"/>
  <c r="R58" i="42" s="1"/>
  <c r="P67" i="42"/>
  <c r="N67" i="42"/>
  <c r="AB66" i="42"/>
  <c r="D66" i="42"/>
  <c r="H65" i="42"/>
  <c r="E65" i="42"/>
  <c r="D65" i="42"/>
  <c r="AB64" i="42"/>
  <c r="X63" i="42"/>
  <c r="V63" i="42"/>
  <c r="V58" i="42" s="1"/>
  <c r="T63" i="42"/>
  <c r="X62" i="42"/>
  <c r="Q62" i="42"/>
  <c r="B62" i="42"/>
  <c r="AB61" i="42"/>
  <c r="Y61" i="42"/>
  <c r="N61" i="42"/>
  <c r="K61" i="42"/>
  <c r="E61" i="42"/>
  <c r="D61" i="42"/>
  <c r="AB60" i="42"/>
  <c r="F60" i="42"/>
  <c r="AB59" i="42"/>
  <c r="E59" i="42"/>
  <c r="T58" i="42"/>
  <c r="P58" i="42"/>
  <c r="L58" i="42"/>
  <c r="J58" i="42"/>
  <c r="F58" i="42"/>
  <c r="D58" i="42"/>
  <c r="V57" i="42"/>
  <c r="T57" i="42"/>
  <c r="R57" i="42"/>
  <c r="P57" i="42"/>
  <c r="N57" i="42"/>
  <c r="L57" i="42"/>
  <c r="J57" i="42"/>
  <c r="H57" i="42"/>
  <c r="F57" i="42"/>
  <c r="D57" i="42"/>
  <c r="B57" i="42"/>
  <c r="AB56" i="42"/>
  <c r="X56" i="42"/>
  <c r="B56" i="42"/>
  <c r="V55" i="42"/>
  <c r="S55" i="42"/>
  <c r="AB54" i="42"/>
  <c r="AB53" i="42"/>
  <c r="S53" i="42"/>
  <c r="I53" i="42"/>
  <c r="X52" i="42"/>
  <c r="U52" i="42"/>
  <c r="AB51" i="42"/>
  <c r="AB50" i="42"/>
  <c r="I50" i="42"/>
  <c r="K49" i="42"/>
  <c r="F49" i="42"/>
  <c r="AB49" i="42" s="1"/>
  <c r="B48" i="42"/>
  <c r="AB47" i="42"/>
  <c r="P47" i="42"/>
  <c r="D47" i="42"/>
  <c r="B47" i="42"/>
  <c r="AB46" i="42"/>
  <c r="Y46" i="42"/>
  <c r="S46" i="42"/>
  <c r="Y45" i="42"/>
  <c r="X45" i="42"/>
  <c r="V45" i="42"/>
  <c r="T45" i="42"/>
  <c r="R45" i="42"/>
  <c r="P45" i="42"/>
  <c r="N45" i="42"/>
  <c r="L45" i="42"/>
  <c r="J45" i="42"/>
  <c r="I45" i="42"/>
  <c r="H45" i="42"/>
  <c r="F45" i="42"/>
  <c r="D45" i="42"/>
  <c r="B45" i="42"/>
  <c r="AB44" i="42"/>
  <c r="Y44" i="42"/>
  <c r="N43" i="42"/>
  <c r="K43" i="42"/>
  <c r="B43" i="42"/>
  <c r="V42" i="42"/>
  <c r="W42" i="42" s="1"/>
  <c r="T42" i="42"/>
  <c r="R42" i="42"/>
  <c r="N42" i="42"/>
  <c r="T41" i="42"/>
  <c r="R41" i="42"/>
  <c r="Q41" i="42"/>
  <c r="P41" i="42"/>
  <c r="L41" i="42"/>
  <c r="H41" i="42"/>
  <c r="B41" i="42"/>
  <c r="X40" i="42"/>
  <c r="X98" i="42" s="1"/>
  <c r="V40" i="42"/>
  <c r="V98" i="42" s="1"/>
  <c r="T40" i="42"/>
  <c r="R40" i="42"/>
  <c r="P40" i="42"/>
  <c r="N40" i="42"/>
  <c r="L40" i="42"/>
  <c r="L98" i="42" s="1"/>
  <c r="J40" i="42"/>
  <c r="J98" i="42" s="1"/>
  <c r="I40" i="42"/>
  <c r="AB39" i="42"/>
  <c r="K39" i="42"/>
  <c r="AB38" i="42"/>
  <c r="U38" i="42"/>
  <c r="AB37" i="42"/>
  <c r="K37" i="42"/>
  <c r="I37" i="42"/>
  <c r="AB36" i="42"/>
  <c r="K36" i="42"/>
  <c r="AB35" i="42"/>
  <c r="W35" i="42"/>
  <c r="AB34" i="42"/>
  <c r="Y34" i="42"/>
  <c r="X34" i="42"/>
  <c r="W34" i="42"/>
  <c r="V34" i="42"/>
  <c r="T34" i="42"/>
  <c r="R34" i="42"/>
  <c r="P34" i="42"/>
  <c r="N34" i="42"/>
  <c r="L34" i="42"/>
  <c r="J34" i="42"/>
  <c r="H34" i="42"/>
  <c r="I34" i="42" s="1"/>
  <c r="F34" i="42"/>
  <c r="F97" i="42" s="1"/>
  <c r="D34" i="42"/>
  <c r="B34" i="42"/>
  <c r="AB33" i="42"/>
  <c r="S33" i="42"/>
  <c r="AB32" i="42"/>
  <c r="S32" i="42"/>
  <c r="I32" i="42"/>
  <c r="AB31" i="42"/>
  <c r="W31" i="42"/>
  <c r="E31" i="42"/>
  <c r="AB30" i="42"/>
  <c r="S30" i="42"/>
  <c r="K30" i="42"/>
  <c r="I30" i="42"/>
  <c r="AB29" i="42"/>
  <c r="E29" i="42"/>
  <c r="AB28" i="42"/>
  <c r="S28" i="42"/>
  <c r="C28" i="42"/>
  <c r="AB27" i="42"/>
  <c r="AB26" i="42"/>
  <c r="I26" i="42"/>
  <c r="AB25" i="42"/>
  <c r="Y25" i="42"/>
  <c r="W25" i="42"/>
  <c r="AB24" i="42"/>
  <c r="Y24" i="42"/>
  <c r="W24" i="42"/>
  <c r="X23" i="42"/>
  <c r="Y23" i="42" s="1"/>
  <c r="V23" i="42"/>
  <c r="T23" i="42"/>
  <c r="R23" i="42"/>
  <c r="P23" i="42"/>
  <c r="N23" i="42"/>
  <c r="L23" i="42"/>
  <c r="J23" i="42"/>
  <c r="J21" i="42" s="1"/>
  <c r="J17" i="42" s="1"/>
  <c r="H23" i="42"/>
  <c r="H21" i="42" s="1"/>
  <c r="F23" i="42"/>
  <c r="D23" i="42"/>
  <c r="C23" i="42"/>
  <c r="B23" i="42"/>
  <c r="AB22" i="42"/>
  <c r="X22" i="42"/>
  <c r="V22" i="42"/>
  <c r="V21" i="42" s="1"/>
  <c r="W21" i="42" s="1"/>
  <c r="T22" i="42"/>
  <c r="T21" i="42" s="1"/>
  <c r="S22" i="42"/>
  <c r="R22" i="42"/>
  <c r="P22" i="42"/>
  <c r="N22" i="42"/>
  <c r="N21" i="42" s="1"/>
  <c r="L22" i="42"/>
  <c r="L21" i="42" s="1"/>
  <c r="J22" i="42"/>
  <c r="H22" i="42"/>
  <c r="F22" i="42"/>
  <c r="F21" i="42" s="1"/>
  <c r="D22" i="42"/>
  <c r="D21" i="42" s="1"/>
  <c r="D17" i="42" s="1"/>
  <c r="C22" i="42"/>
  <c r="B22" i="42"/>
  <c r="X21" i="42"/>
  <c r="X17" i="42" s="1"/>
  <c r="R21" i="42"/>
  <c r="P21" i="42"/>
  <c r="B21" i="42"/>
  <c r="AB20" i="42"/>
  <c r="U20" i="42"/>
  <c r="AB19" i="42"/>
  <c r="U19" i="42"/>
  <c r="D19" i="42"/>
  <c r="C19" i="42"/>
  <c r="AB18" i="42"/>
  <c r="C18" i="42"/>
  <c r="T17" i="42"/>
  <c r="U17" i="42" s="1"/>
  <c r="R17" i="42"/>
  <c r="P17" i="42"/>
  <c r="N17" i="42"/>
  <c r="F17" i="42"/>
  <c r="J16" i="42"/>
  <c r="K16" i="42" s="1"/>
  <c r="X15" i="42"/>
  <c r="T15" i="42"/>
  <c r="AB14" i="42"/>
  <c r="R14" i="42"/>
  <c r="I14" i="42"/>
  <c r="AB13" i="42"/>
  <c r="X13" i="42"/>
  <c r="T13" i="42"/>
  <c r="X12" i="42"/>
  <c r="T12" i="42"/>
  <c r="P12" i="42"/>
  <c r="AB12" i="42" s="1"/>
  <c r="H11" i="42"/>
  <c r="X10" i="42"/>
  <c r="W10" i="42"/>
  <c r="S10" i="42"/>
  <c r="K10" i="42"/>
  <c r="C10" i="42"/>
  <c r="AB9" i="42"/>
  <c r="X8" i="42"/>
  <c r="Y8" i="42" s="1"/>
  <c r="V8" i="42"/>
  <c r="W8" i="42" s="1"/>
  <c r="R8" i="42"/>
  <c r="S8" i="42" s="1"/>
  <c r="N8" i="42"/>
  <c r="L8" i="42"/>
  <c r="M8" i="42" s="1"/>
  <c r="J8" i="42"/>
  <c r="K8" i="42" s="1"/>
  <c r="H8" i="42"/>
  <c r="I8" i="42" s="1"/>
  <c r="F8" i="42"/>
  <c r="D8" i="42"/>
  <c r="E8" i="42" s="1"/>
  <c r="B8" i="42"/>
  <c r="AB7" i="42"/>
  <c r="Y7" i="42"/>
  <c r="W7" i="42"/>
  <c r="K7" i="42"/>
  <c r="E7" i="42"/>
  <c r="C7" i="42"/>
  <c r="X6" i="42"/>
  <c r="Y6" i="42" s="1"/>
  <c r="V6" i="42"/>
  <c r="W6" i="42" s="1"/>
  <c r="R6" i="42"/>
  <c r="S6" i="42" s="1"/>
  <c r="N6" i="42"/>
  <c r="O6" i="42" s="1"/>
  <c r="J6" i="42"/>
  <c r="K6" i="42" s="1"/>
  <c r="H6" i="42"/>
  <c r="I6" i="42" s="1"/>
  <c r="D6" i="42"/>
  <c r="AB5" i="42"/>
  <c r="AB4" i="42"/>
  <c r="AB3" i="42"/>
  <c r="F3" i="42"/>
  <c r="F95" i="42" s="1"/>
  <c r="C3" i="42"/>
  <c r="AB2" i="42"/>
  <c r="X2" i="42"/>
  <c r="Y36" i="42" s="1"/>
  <c r="V2" i="42"/>
  <c r="W29" i="42" s="1"/>
  <c r="T2" i="42"/>
  <c r="U36" i="42" s="1"/>
  <c r="R2" i="42"/>
  <c r="P2" i="42"/>
  <c r="N2" i="42"/>
  <c r="O27" i="42" s="1"/>
  <c r="L2" i="42"/>
  <c r="M26" i="42" s="1"/>
  <c r="J2" i="42"/>
  <c r="K35" i="42" s="1"/>
  <c r="H2" i="42"/>
  <c r="I24" i="42" s="1"/>
  <c r="D2" i="42"/>
  <c r="E56" i="42" s="1"/>
  <c r="B2" i="42"/>
  <c r="C5" i="41"/>
  <c r="C3" i="41"/>
  <c r="AB65" i="40"/>
  <c r="AF52" i="36"/>
  <c r="AB70" i="37"/>
  <c r="AB73" i="40"/>
  <c r="AB67" i="40"/>
  <c r="AB36" i="38"/>
  <c r="AB70" i="40"/>
  <c r="X70" i="37"/>
  <c r="AB64" i="40"/>
  <c r="X72" i="40"/>
  <c r="Z72" i="40"/>
  <c r="X73" i="40"/>
  <c r="X70" i="40"/>
  <c r="X67" i="40"/>
  <c r="X64" i="40"/>
  <c r="T64" i="40"/>
  <c r="T70" i="40"/>
  <c r="V70" i="40"/>
  <c r="V64" i="40"/>
  <c r="AB71" i="40"/>
  <c r="Z71" i="37"/>
  <c r="Z70" i="37"/>
  <c r="X71" i="37"/>
  <c r="V71" i="37"/>
  <c r="T71" i="37"/>
  <c r="R71" i="37"/>
  <c r="P71" i="37"/>
  <c r="P70" i="37"/>
  <c r="N71" i="37"/>
  <c r="L71" i="37"/>
  <c r="J71" i="37"/>
  <c r="H71" i="37"/>
  <c r="F71" i="37"/>
  <c r="E17" i="42" l="1"/>
  <c r="H17" i="42"/>
  <c r="I21" i="42"/>
  <c r="Y17" i="42"/>
  <c r="M3" i="42"/>
  <c r="M4" i="42"/>
  <c r="M5" i="42"/>
  <c r="M33" i="42"/>
  <c r="J86" i="42"/>
  <c r="H82" i="42"/>
  <c r="O10" i="42"/>
  <c r="X58" i="42"/>
  <c r="AB62" i="42"/>
  <c r="Y62" i="42"/>
  <c r="Q17" i="42"/>
  <c r="O21" i="42"/>
  <c r="AB23" i="42"/>
  <c r="E28" i="42"/>
  <c r="O31" i="42"/>
  <c r="U32" i="42"/>
  <c r="M34" i="42"/>
  <c r="E39" i="42"/>
  <c r="C57" i="42"/>
  <c r="T89" i="42"/>
  <c r="C63" i="42"/>
  <c r="C52" i="42"/>
  <c r="C51" i="42"/>
  <c r="C50" i="42"/>
  <c r="C45" i="42"/>
  <c r="C65" i="42"/>
  <c r="C49" i="42"/>
  <c r="C44" i="42"/>
  <c r="C43" i="42"/>
  <c r="C42" i="42"/>
  <c r="C40" i="42"/>
  <c r="C39" i="42"/>
  <c r="C38" i="42"/>
  <c r="C37" i="42"/>
  <c r="C36" i="42"/>
  <c r="C35" i="42"/>
  <c r="C53" i="42"/>
  <c r="B95" i="42"/>
  <c r="C60" i="42"/>
  <c r="C55" i="42"/>
  <c r="C46" i="42"/>
  <c r="C61" i="42"/>
  <c r="C33" i="42"/>
  <c r="C29" i="42"/>
  <c r="C25" i="42"/>
  <c r="C24" i="42"/>
  <c r="B89" i="42"/>
  <c r="C30" i="42"/>
  <c r="C26" i="42"/>
  <c r="C59" i="42"/>
  <c r="C31" i="42"/>
  <c r="C27" i="42"/>
  <c r="C20" i="42"/>
  <c r="C14" i="42"/>
  <c r="S52" i="42"/>
  <c r="S51" i="42"/>
  <c r="S50" i="42"/>
  <c r="S49" i="42"/>
  <c r="S45" i="42"/>
  <c r="S41" i="42"/>
  <c r="R69" i="42"/>
  <c r="S62" i="42"/>
  <c r="S48" i="42"/>
  <c r="S44" i="42"/>
  <c r="S43" i="42"/>
  <c r="S61" i="42"/>
  <c r="S59" i="42"/>
  <c r="S39" i="42"/>
  <c r="S38" i="42"/>
  <c r="S37" i="42"/>
  <c r="S36" i="42"/>
  <c r="S35" i="42"/>
  <c r="S68" i="42"/>
  <c r="S54" i="42"/>
  <c r="S47" i="42"/>
  <c r="S64" i="42"/>
  <c r="S56" i="42"/>
  <c r="S74" i="42"/>
  <c r="S40" i="42"/>
  <c r="R89" i="42"/>
  <c r="S24" i="42"/>
  <c r="S65" i="42"/>
  <c r="S29" i="42"/>
  <c r="S25" i="42"/>
  <c r="S60" i="42"/>
  <c r="S20" i="42"/>
  <c r="S19" i="42"/>
  <c r="E3" i="42"/>
  <c r="S3" i="42"/>
  <c r="C4" i="42"/>
  <c r="S4" i="42"/>
  <c r="C5" i="42"/>
  <c r="S5" i="42"/>
  <c r="B6" i="42"/>
  <c r="L6" i="42"/>
  <c r="M6" i="42" s="1"/>
  <c r="I7" i="42"/>
  <c r="U10" i="42"/>
  <c r="AB11" i="42"/>
  <c r="Q14" i="42"/>
  <c r="AB15" i="42"/>
  <c r="K22" i="42"/>
  <c r="U21" i="42"/>
  <c r="E24" i="42"/>
  <c r="E27" i="42"/>
  <c r="I28" i="42"/>
  <c r="I29" i="42"/>
  <c r="M30" i="42"/>
  <c r="S31" i="42"/>
  <c r="W32" i="42"/>
  <c r="I36" i="42"/>
  <c r="W37" i="42"/>
  <c r="Y40" i="42"/>
  <c r="I43" i="42"/>
  <c r="U46" i="42"/>
  <c r="K50" i="42"/>
  <c r="M53" i="42"/>
  <c r="W65" i="42"/>
  <c r="C68" i="42"/>
  <c r="V89" i="42"/>
  <c r="M14" i="42"/>
  <c r="K21" i="42"/>
  <c r="M31" i="42"/>
  <c r="Q65" i="42"/>
  <c r="Q55" i="42"/>
  <c r="Q54" i="42"/>
  <c r="Q53" i="42"/>
  <c r="Q52" i="42"/>
  <c r="Q51" i="42"/>
  <c r="Q50" i="42"/>
  <c r="Q49" i="42"/>
  <c r="Q68" i="42"/>
  <c r="Q61" i="42"/>
  <c r="P89" i="42"/>
  <c r="Q59" i="42"/>
  <c r="Q57" i="42"/>
  <c r="Q44" i="42"/>
  <c r="Q39" i="42"/>
  <c r="Q38" i="42"/>
  <c r="Q37" i="42"/>
  <c r="Q36" i="42"/>
  <c r="Q35" i="42"/>
  <c r="Q32" i="42"/>
  <c r="Q31" i="42"/>
  <c r="Q30" i="42"/>
  <c r="Q29" i="42"/>
  <c r="Q28" i="42"/>
  <c r="Q27" i="42"/>
  <c r="Q26" i="42"/>
  <c r="Q25" i="42"/>
  <c r="Q42" i="42"/>
  <c r="Q56" i="42"/>
  <c r="Q43" i="42"/>
  <c r="Q33" i="42"/>
  <c r="Q58" i="42"/>
  <c r="Q46" i="42"/>
  <c r="Q45" i="42"/>
  <c r="Q10" i="42"/>
  <c r="Q7" i="42"/>
  <c r="Q48" i="42"/>
  <c r="Q24" i="42"/>
  <c r="Q22" i="42"/>
  <c r="T8" i="42"/>
  <c r="O14" i="42"/>
  <c r="U4" i="42"/>
  <c r="M21" i="42"/>
  <c r="M29" i="42"/>
  <c r="C34" i="42"/>
  <c r="B97" i="42"/>
  <c r="Z97" i="42" s="1"/>
  <c r="B17" i="42"/>
  <c r="O40" i="42"/>
  <c r="U57" i="42"/>
  <c r="F2" i="42"/>
  <c r="AB10" i="42"/>
  <c r="S14" i="42"/>
  <c r="B16" i="42"/>
  <c r="R16" i="42"/>
  <c r="S16" i="42" s="1"/>
  <c r="R71" i="42" s="1"/>
  <c r="S71" i="42" s="1"/>
  <c r="Q18" i="42"/>
  <c r="M19" i="42"/>
  <c r="M20" i="42"/>
  <c r="C21" i="42"/>
  <c r="E21" i="42"/>
  <c r="M22" i="42"/>
  <c r="K26" i="42"/>
  <c r="U28" i="42"/>
  <c r="D97" i="42"/>
  <c r="E34" i="42"/>
  <c r="E38" i="42"/>
  <c r="AB40" i="42"/>
  <c r="P98" i="42"/>
  <c r="Z98" i="42" s="1"/>
  <c r="M42" i="42"/>
  <c r="M43" i="42"/>
  <c r="Y48" i="42"/>
  <c r="Y51" i="42"/>
  <c r="C56" i="42"/>
  <c r="M60" i="42"/>
  <c r="K68" i="42"/>
  <c r="AB89" i="42"/>
  <c r="G8" i="42"/>
  <c r="N89" i="42"/>
  <c r="O42" i="42"/>
  <c r="O65" i="42"/>
  <c r="O55" i="42"/>
  <c r="O54" i="42"/>
  <c r="O53" i="42"/>
  <c r="O62" i="42"/>
  <c r="O48" i="42"/>
  <c r="O44" i="42"/>
  <c r="O46" i="42"/>
  <c r="O61" i="42"/>
  <c r="O51" i="42"/>
  <c r="O41" i="42"/>
  <c r="O68" i="42"/>
  <c r="O59" i="42"/>
  <c r="O39" i="42"/>
  <c r="O38" i="42"/>
  <c r="O37" i="42"/>
  <c r="O36" i="42"/>
  <c r="O35" i="42"/>
  <c r="O57" i="42"/>
  <c r="O50" i="42"/>
  <c r="O47" i="42"/>
  <c r="O32" i="42"/>
  <c r="O28" i="42"/>
  <c r="N16" i="42"/>
  <c r="O16" i="42" s="1"/>
  <c r="O49" i="42"/>
  <c r="O45" i="42"/>
  <c r="O29" i="42"/>
  <c r="O25" i="42"/>
  <c r="O24" i="42"/>
  <c r="N95" i="42"/>
  <c r="O60" i="42"/>
  <c r="O56" i="42"/>
  <c r="O52" i="42"/>
  <c r="O33" i="42"/>
  <c r="O30" i="42"/>
  <c r="O26" i="42"/>
  <c r="O3" i="42"/>
  <c r="J71" i="42"/>
  <c r="K71" i="42" s="1"/>
  <c r="K17" i="42"/>
  <c r="Q3" i="42"/>
  <c r="Q4" i="42"/>
  <c r="Q5" i="42"/>
  <c r="U68" i="42"/>
  <c r="U62" i="42"/>
  <c r="U48" i="42"/>
  <c r="U44" i="42"/>
  <c r="U43" i="42"/>
  <c r="U61" i="42"/>
  <c r="U47" i="42"/>
  <c r="U60" i="42"/>
  <c r="U54" i="42"/>
  <c r="U51" i="42"/>
  <c r="U56" i="42"/>
  <c r="U40" i="42"/>
  <c r="U50" i="42"/>
  <c r="U53" i="42"/>
  <c r="U65" i="42"/>
  <c r="U29" i="42"/>
  <c r="U25" i="42"/>
  <c r="U49" i="42"/>
  <c r="U59" i="42"/>
  <c r="U55" i="42"/>
  <c r="U39" i="42"/>
  <c r="U30" i="42"/>
  <c r="U26" i="42"/>
  <c r="U14" i="42"/>
  <c r="U37" i="42"/>
  <c r="U31" i="42"/>
  <c r="U27" i="42"/>
  <c r="U18" i="42"/>
  <c r="E4" i="42"/>
  <c r="U5" i="42"/>
  <c r="E19" i="42"/>
  <c r="E20" i="42"/>
  <c r="Q21" i="42"/>
  <c r="O34" i="42"/>
  <c r="U41" i="42"/>
  <c r="W61" i="42"/>
  <c r="W47" i="42"/>
  <c r="W59" i="42"/>
  <c r="W56" i="42"/>
  <c r="W46" i="42"/>
  <c r="W44" i="42"/>
  <c r="W50" i="42"/>
  <c r="W53" i="42"/>
  <c r="W43" i="42"/>
  <c r="W60" i="42"/>
  <c r="W49" i="42"/>
  <c r="W41" i="42"/>
  <c r="W54" i="42"/>
  <c r="W51" i="42"/>
  <c r="W48" i="42"/>
  <c r="W40" i="42"/>
  <c r="W39" i="42"/>
  <c r="W30" i="42"/>
  <c r="W26" i="42"/>
  <c r="V16" i="42"/>
  <c r="W16" i="42" s="1"/>
  <c r="W14" i="42"/>
  <c r="W52" i="42"/>
  <c r="W38" i="42"/>
  <c r="W20" i="42"/>
  <c r="W19" i="42"/>
  <c r="W62" i="42"/>
  <c r="W36" i="42"/>
  <c r="E6" i="42"/>
  <c r="D72" i="42"/>
  <c r="C8" i="42"/>
  <c r="I61" i="42"/>
  <c r="I47" i="42"/>
  <c r="I60" i="42"/>
  <c r="H89" i="42"/>
  <c r="I63" i="42"/>
  <c r="I55" i="42"/>
  <c r="I65" i="42"/>
  <c r="I62" i="42"/>
  <c r="I52" i="42"/>
  <c r="I46" i="42"/>
  <c r="I48" i="42"/>
  <c r="I64" i="42"/>
  <c r="I59" i="42"/>
  <c r="I54" i="42"/>
  <c r="I51" i="42"/>
  <c r="I44" i="42"/>
  <c r="I42" i="42"/>
  <c r="I35" i="42"/>
  <c r="I31" i="42"/>
  <c r="I27" i="42"/>
  <c r="I22" i="42"/>
  <c r="I20" i="42"/>
  <c r="I19" i="42"/>
  <c r="I41" i="42"/>
  <c r="I18" i="42"/>
  <c r="I49" i="42"/>
  <c r="I39" i="42"/>
  <c r="Y3" i="42"/>
  <c r="Y4" i="42"/>
  <c r="Y5" i="42"/>
  <c r="F6" i="42"/>
  <c r="O8" i="42"/>
  <c r="Y10" i="42"/>
  <c r="D16" i="42"/>
  <c r="E16" i="42" s="1"/>
  <c r="D71" i="42" s="1"/>
  <c r="E71" i="42" s="1"/>
  <c r="V17" i="42"/>
  <c r="V72" i="42" s="1"/>
  <c r="S18" i="42"/>
  <c r="O19" i="42"/>
  <c r="O20" i="42"/>
  <c r="S21" i="42"/>
  <c r="E22" i="42"/>
  <c r="W22" i="42"/>
  <c r="M24" i="42"/>
  <c r="I25" i="42"/>
  <c r="S27" i="42"/>
  <c r="W28" i="42"/>
  <c r="Y29" i="42"/>
  <c r="C32" i="42"/>
  <c r="Q34" i="42"/>
  <c r="Q40" i="42"/>
  <c r="U45" i="42"/>
  <c r="C47" i="42"/>
  <c r="C54" i="42"/>
  <c r="I57" i="42"/>
  <c r="W57" i="42"/>
  <c r="U58" i="42"/>
  <c r="Q60" i="42"/>
  <c r="M59" i="42"/>
  <c r="M56" i="42"/>
  <c r="M46" i="42"/>
  <c r="L89" i="42"/>
  <c r="M52" i="42"/>
  <c r="M51" i="42"/>
  <c r="M50" i="42"/>
  <c r="M49" i="42"/>
  <c r="M65" i="42"/>
  <c r="M48" i="42"/>
  <c r="M58" i="42"/>
  <c r="M45" i="42"/>
  <c r="M40" i="42"/>
  <c r="M54" i="42"/>
  <c r="M44" i="42"/>
  <c r="M68" i="42"/>
  <c r="M61" i="42"/>
  <c r="M39" i="42"/>
  <c r="M38" i="42"/>
  <c r="M37" i="42"/>
  <c r="M36" i="42"/>
  <c r="M35" i="42"/>
  <c r="M18" i="42"/>
  <c r="M32" i="42"/>
  <c r="M28" i="42"/>
  <c r="M10" i="42"/>
  <c r="M7" i="42"/>
  <c r="M55" i="42"/>
  <c r="M47" i="42"/>
  <c r="O4" i="42"/>
  <c r="O5" i="42"/>
  <c r="O17" i="42"/>
  <c r="Y21" i="42"/>
  <c r="L95" i="42"/>
  <c r="E62" i="42"/>
  <c r="E49" i="42"/>
  <c r="E48" i="42"/>
  <c r="E44" i="42"/>
  <c r="E68" i="42"/>
  <c r="E43" i="42"/>
  <c r="D95" i="42"/>
  <c r="E41" i="42"/>
  <c r="E53" i="42"/>
  <c r="D69" i="42"/>
  <c r="E60" i="42"/>
  <c r="E55" i="42"/>
  <c r="E46" i="42"/>
  <c r="D89" i="42"/>
  <c r="E52" i="42"/>
  <c r="E58" i="42"/>
  <c r="E50" i="42"/>
  <c r="E37" i="42"/>
  <c r="E47" i="42"/>
  <c r="E36" i="42"/>
  <c r="E30" i="42"/>
  <c r="E26" i="42"/>
  <c r="E23" i="42"/>
  <c r="E54" i="42"/>
  <c r="E51" i="42"/>
  <c r="E42" i="42"/>
  <c r="E35" i="42"/>
  <c r="E18" i="42"/>
  <c r="U3" i="42"/>
  <c r="E5" i="42"/>
  <c r="O18" i="42"/>
  <c r="U22" i="42"/>
  <c r="E25" i="42"/>
  <c r="M27" i="42"/>
  <c r="W3" i="42"/>
  <c r="W4" i="42"/>
  <c r="W5" i="42"/>
  <c r="O7" i="42"/>
  <c r="E10" i="42"/>
  <c r="Y42" i="42"/>
  <c r="Y60" i="42"/>
  <c r="X89" i="42"/>
  <c r="Y55" i="42"/>
  <c r="Y50" i="42"/>
  <c r="Y47" i="42"/>
  <c r="Y53" i="42"/>
  <c r="Y43" i="42"/>
  <c r="Y33" i="42"/>
  <c r="Y49" i="42"/>
  <c r="Y41" i="42"/>
  <c r="Y39" i="42"/>
  <c r="Y30" i="42"/>
  <c r="Y26" i="42"/>
  <c r="Y14" i="42"/>
  <c r="Y59" i="42"/>
  <c r="Y38" i="42"/>
  <c r="Y22" i="42"/>
  <c r="Y20" i="42"/>
  <c r="Y19" i="42"/>
  <c r="Y57" i="42"/>
  <c r="Y37" i="42"/>
  <c r="Y31" i="42"/>
  <c r="Y27" i="42"/>
  <c r="Y18" i="42"/>
  <c r="Y35" i="42"/>
  <c r="Y32" i="42"/>
  <c r="Y28" i="42"/>
  <c r="I3" i="42"/>
  <c r="I4" i="42"/>
  <c r="I5" i="42"/>
  <c r="S7" i="42"/>
  <c r="K60" i="42"/>
  <c r="K58" i="42"/>
  <c r="K45" i="42"/>
  <c r="J69" i="42"/>
  <c r="K59" i="42"/>
  <c r="K56" i="42"/>
  <c r="K46" i="42"/>
  <c r="K65" i="42"/>
  <c r="K55" i="42"/>
  <c r="K54" i="42"/>
  <c r="K53" i="42"/>
  <c r="K42" i="42"/>
  <c r="K62" i="42"/>
  <c r="K52" i="42"/>
  <c r="J89" i="42"/>
  <c r="K48" i="42"/>
  <c r="K51" i="42"/>
  <c r="K44" i="42"/>
  <c r="K40" i="42"/>
  <c r="K47" i="42"/>
  <c r="K31" i="42"/>
  <c r="K27" i="42"/>
  <c r="K20" i="42"/>
  <c r="K19" i="42"/>
  <c r="K14" i="42"/>
  <c r="K41" i="42"/>
  <c r="K18" i="42"/>
  <c r="K32" i="42"/>
  <c r="K28" i="42"/>
  <c r="K38" i="42"/>
  <c r="K29" i="42"/>
  <c r="K25" i="42"/>
  <c r="K24" i="42"/>
  <c r="K3" i="42"/>
  <c r="K4" i="42"/>
  <c r="K5" i="42"/>
  <c r="U7" i="42"/>
  <c r="P8" i="42"/>
  <c r="I10" i="42"/>
  <c r="E14" i="42"/>
  <c r="H16" i="42"/>
  <c r="I16" i="42" s="1"/>
  <c r="X16" i="42"/>
  <c r="Y16" i="42" s="1"/>
  <c r="L17" i="42"/>
  <c r="W18" i="42"/>
  <c r="Q19" i="42"/>
  <c r="Q20" i="42"/>
  <c r="O22" i="42"/>
  <c r="U24" i="42"/>
  <c r="M25" i="42"/>
  <c r="S26" i="42"/>
  <c r="W27" i="42"/>
  <c r="E32" i="42"/>
  <c r="I33" i="42"/>
  <c r="U35" i="42"/>
  <c r="I38" i="42"/>
  <c r="E40" i="42"/>
  <c r="S42" i="42"/>
  <c r="W45" i="42"/>
  <c r="Y54" i="42"/>
  <c r="I56" i="42"/>
  <c r="M62" i="42"/>
  <c r="N58" i="42"/>
  <c r="N69" i="42" s="1"/>
  <c r="AB67" i="42"/>
  <c r="W68" i="42"/>
  <c r="J77" i="42"/>
  <c r="U42" i="42"/>
  <c r="AB42" i="42"/>
  <c r="AB43" i="42"/>
  <c r="O43" i="42"/>
  <c r="S34" i="42"/>
  <c r="E45" i="42"/>
  <c r="AB45" i="42"/>
  <c r="C48" i="42"/>
  <c r="AB48" i="42"/>
  <c r="K57" i="42"/>
  <c r="AB63" i="42"/>
  <c r="R77" i="42"/>
  <c r="U34" i="42"/>
  <c r="AB52" i="42"/>
  <c r="Y52" i="42"/>
  <c r="AB55" i="42"/>
  <c r="W55" i="42"/>
  <c r="M57" i="42"/>
  <c r="AB57" i="42"/>
  <c r="W58" i="42"/>
  <c r="S58" i="42"/>
  <c r="R72" i="42"/>
  <c r="S17" i="42"/>
  <c r="K34" i="42"/>
  <c r="AB41" i="42"/>
  <c r="E57" i="42"/>
  <c r="J72" i="42"/>
  <c r="C62" i="42"/>
  <c r="B58" i="42"/>
  <c r="M41" i="42"/>
  <c r="Q47" i="42"/>
  <c r="AB65" i="42"/>
  <c r="H58" i="42"/>
  <c r="C41" i="42"/>
  <c r="Y56" i="42"/>
  <c r="S57" i="42"/>
  <c r="A90" i="40"/>
  <c r="V78" i="42" l="1"/>
  <c r="V96" i="42"/>
  <c r="W72" i="42"/>
  <c r="N75" i="42"/>
  <c r="N76" i="42" s="1"/>
  <c r="O69" i="42"/>
  <c r="N70" i="42"/>
  <c r="C58" i="42"/>
  <c r="AB8" i="42"/>
  <c r="B69" i="42"/>
  <c r="S72" i="42"/>
  <c r="R78" i="42"/>
  <c r="R96" i="42"/>
  <c r="D70" i="42"/>
  <c r="E69" i="42"/>
  <c r="D75" i="42"/>
  <c r="D76" i="42" s="1"/>
  <c r="G68" i="42"/>
  <c r="G43" i="42"/>
  <c r="G61" i="42"/>
  <c r="G47" i="42"/>
  <c r="G59" i="42"/>
  <c r="G56" i="42"/>
  <c r="G46" i="42"/>
  <c r="F69" i="42"/>
  <c r="G60" i="42"/>
  <c r="G57" i="42"/>
  <c r="G55" i="42"/>
  <c r="F89" i="42"/>
  <c r="G62" i="42"/>
  <c r="G52" i="42"/>
  <c r="G65" i="42"/>
  <c r="G48" i="42"/>
  <c r="G53" i="42"/>
  <c r="G36" i="42"/>
  <c r="G30" i="42"/>
  <c r="G26" i="42"/>
  <c r="G54" i="42"/>
  <c r="G51" i="42"/>
  <c r="G44" i="42"/>
  <c r="G42" i="42"/>
  <c r="G35" i="42"/>
  <c r="F16" i="42"/>
  <c r="G16" i="42" s="1"/>
  <c r="G31" i="42"/>
  <c r="G27" i="42"/>
  <c r="G20" i="42"/>
  <c r="G19" i="42"/>
  <c r="G14" i="42"/>
  <c r="G41" i="42"/>
  <c r="G40" i="42"/>
  <c r="G32" i="42"/>
  <c r="G28" i="42"/>
  <c r="G34" i="42"/>
  <c r="G23" i="42"/>
  <c r="G5" i="42"/>
  <c r="G50" i="42"/>
  <c r="G38" i="42"/>
  <c r="G33" i="42"/>
  <c r="G21" i="42"/>
  <c r="G10" i="42"/>
  <c r="G7" i="42"/>
  <c r="G25" i="42"/>
  <c r="G4" i="42"/>
  <c r="G24" i="42"/>
  <c r="AE2" i="42"/>
  <c r="Z17" i="42" s="1"/>
  <c r="G39" i="42"/>
  <c r="G18" i="42"/>
  <c r="G29" i="42"/>
  <c r="G37" i="42"/>
  <c r="G22" i="42"/>
  <c r="K69" i="42"/>
  <c r="J70" i="42"/>
  <c r="J75" i="42"/>
  <c r="J76" i="42" s="1"/>
  <c r="G45" i="42"/>
  <c r="AB21" i="42"/>
  <c r="L16" i="42"/>
  <c r="M16" i="42" s="1"/>
  <c r="L71" i="42" s="1"/>
  <c r="M71" i="42" s="1"/>
  <c r="B72" i="42"/>
  <c r="C6" i="42"/>
  <c r="Z95" i="42"/>
  <c r="H77" i="42"/>
  <c r="H71" i="42"/>
  <c r="I71" i="42" s="1"/>
  <c r="I17" i="42"/>
  <c r="H72" i="42"/>
  <c r="I58" i="42"/>
  <c r="X72" i="42"/>
  <c r="Y58" i="42"/>
  <c r="K72" i="42"/>
  <c r="J78" i="42"/>
  <c r="J96" i="42"/>
  <c r="Q8" i="42"/>
  <c r="P6" i="42"/>
  <c r="Z6" i="42" s="1"/>
  <c r="G3" i="42"/>
  <c r="C16" i="42"/>
  <c r="B71" i="42" s="1"/>
  <c r="B77" i="42"/>
  <c r="C17" i="42"/>
  <c r="X77" i="42"/>
  <c r="D77" i="42"/>
  <c r="O58" i="42"/>
  <c r="N72" i="42"/>
  <c r="G17" i="42"/>
  <c r="X71" i="42"/>
  <c r="Y71" i="42" s="1"/>
  <c r="L72" i="42"/>
  <c r="F72" i="42"/>
  <c r="G6" i="42"/>
  <c r="J82" i="42"/>
  <c r="L86" i="42"/>
  <c r="N71" i="42"/>
  <c r="O71" i="42" s="1"/>
  <c r="V77" i="42"/>
  <c r="V71" i="42"/>
  <c r="W71" i="42" s="1"/>
  <c r="W17" i="42"/>
  <c r="H69" i="42"/>
  <c r="G58" i="42"/>
  <c r="G49" i="42"/>
  <c r="X69" i="42"/>
  <c r="T6" i="42"/>
  <c r="U8" i="42"/>
  <c r="S69" i="42"/>
  <c r="R75" i="42"/>
  <c r="R76" i="42" s="1"/>
  <c r="R70" i="42"/>
  <c r="M17" i="42"/>
  <c r="N77" i="42"/>
  <c r="E72" i="42"/>
  <c r="D78" i="42"/>
  <c r="D96" i="42"/>
  <c r="V69" i="42"/>
  <c r="L69" i="42"/>
  <c r="AB58" i="42"/>
  <c r="X82" i="40"/>
  <c r="C71" i="42" l="1"/>
  <c r="Z8" i="42"/>
  <c r="Z58" i="42"/>
  <c r="AA58" i="42" s="1"/>
  <c r="N96" i="42"/>
  <c r="N78" i="42"/>
  <c r="O72" i="42"/>
  <c r="L77" i="42"/>
  <c r="Z2" i="42"/>
  <c r="AA6" i="42" s="1"/>
  <c r="L82" i="42"/>
  <c r="N86" i="42"/>
  <c r="X96" i="42"/>
  <c r="Y72" i="42"/>
  <c r="X78" i="42"/>
  <c r="L70" i="42"/>
  <c r="M69" i="42"/>
  <c r="L75" i="42"/>
  <c r="L76" i="42" s="1"/>
  <c r="C72" i="42"/>
  <c r="B78" i="42"/>
  <c r="B96" i="42"/>
  <c r="V70" i="42"/>
  <c r="V75" i="42"/>
  <c r="V76" i="42" s="1"/>
  <c r="W69" i="42"/>
  <c r="Q6" i="42"/>
  <c r="P72" i="42"/>
  <c r="P69" i="42"/>
  <c r="P16" i="42"/>
  <c r="I72" i="42"/>
  <c r="H78" i="42"/>
  <c r="H96" i="42"/>
  <c r="H75" i="42"/>
  <c r="H76" i="42" s="1"/>
  <c r="H70" i="42"/>
  <c r="I69" i="42"/>
  <c r="AB17" i="42"/>
  <c r="F77" i="42"/>
  <c r="F71" i="42"/>
  <c r="G71" i="42" s="1"/>
  <c r="C69" i="42"/>
  <c r="B75" i="42"/>
  <c r="B70" i="42"/>
  <c r="U6" i="42"/>
  <c r="T72" i="42"/>
  <c r="AB72" i="42" s="1"/>
  <c r="T69" i="42"/>
  <c r="T16" i="42"/>
  <c r="U16" i="42" s="1"/>
  <c r="X75" i="42"/>
  <c r="X76" i="42" s="1"/>
  <c r="X70" i="42"/>
  <c r="Y69" i="42"/>
  <c r="F78" i="42"/>
  <c r="G72" i="42"/>
  <c r="F96" i="42"/>
  <c r="L78" i="42"/>
  <c r="L96" i="42"/>
  <c r="M72" i="42"/>
  <c r="AB6" i="42"/>
  <c r="Z60" i="42"/>
  <c r="AA60" i="42" s="1"/>
  <c r="Z59" i="42"/>
  <c r="AA59" i="42" s="1"/>
  <c r="Z46" i="42"/>
  <c r="AA46" i="42" s="1"/>
  <c r="Z74" i="42"/>
  <c r="Z54" i="42"/>
  <c r="Z53" i="42"/>
  <c r="Z66" i="42"/>
  <c r="AA66" i="42" s="1"/>
  <c r="Z64" i="42"/>
  <c r="Z73" i="42"/>
  <c r="Z38" i="42"/>
  <c r="AA38" i="42" s="1"/>
  <c r="Z20" i="42"/>
  <c r="AA20" i="42" s="1"/>
  <c r="Z68" i="42"/>
  <c r="Z37" i="42"/>
  <c r="Z31" i="42"/>
  <c r="Z27" i="42"/>
  <c r="AA27" i="42" s="1"/>
  <c r="Z18" i="42"/>
  <c r="Z61" i="42"/>
  <c r="AA61" i="42" s="1"/>
  <c r="Z36" i="42"/>
  <c r="AA36" i="42" s="1"/>
  <c r="Z33" i="42"/>
  <c r="AA33" i="42" s="1"/>
  <c r="Z50" i="42"/>
  <c r="Z24" i="42"/>
  <c r="Z29" i="42"/>
  <c r="Z28" i="42"/>
  <c r="AA28" i="42" s="1"/>
  <c r="Z5" i="42"/>
  <c r="Z4" i="42"/>
  <c r="AA4" i="42" s="1"/>
  <c r="Z32" i="42"/>
  <c r="AA32" i="42" s="1"/>
  <c r="Z51" i="42"/>
  <c r="AA51" i="42" s="1"/>
  <c r="Z48" i="42"/>
  <c r="Z14" i="42"/>
  <c r="Z9" i="42"/>
  <c r="Z35" i="42"/>
  <c r="AA35" i="42" s="1"/>
  <c r="Z26" i="42"/>
  <c r="Z39" i="42"/>
  <c r="AA39" i="42" s="1"/>
  <c r="Z30" i="42"/>
  <c r="AA30" i="42" s="1"/>
  <c r="Z44" i="42"/>
  <c r="AA44" i="42" s="1"/>
  <c r="Z47" i="42"/>
  <c r="Z25" i="42"/>
  <c r="Z7" i="42"/>
  <c r="Z11" i="42"/>
  <c r="AA11" i="42" s="1"/>
  <c r="Z10" i="42"/>
  <c r="Z43" i="42"/>
  <c r="AA43" i="42" s="1"/>
  <c r="Z41" i="42"/>
  <c r="AA41" i="42" s="1"/>
  <c r="Z67" i="42"/>
  <c r="AA67" i="42" s="1"/>
  <c r="Z65" i="42"/>
  <c r="Z52" i="42"/>
  <c r="Z13" i="42"/>
  <c r="Z3" i="42"/>
  <c r="AA3" i="42" s="1"/>
  <c r="Z49" i="42"/>
  <c r="Z40" i="42"/>
  <c r="AA40" i="42" s="1"/>
  <c r="Z23" i="42"/>
  <c r="AA23" i="42" s="1"/>
  <c r="Z34" i="42"/>
  <c r="AA34" i="42" s="1"/>
  <c r="Z45" i="42"/>
  <c r="Z55" i="42"/>
  <c r="Z22" i="42"/>
  <c r="Z15" i="42"/>
  <c r="AA15" i="42" s="1"/>
  <c r="Z21" i="42"/>
  <c r="Z12" i="42"/>
  <c r="AA12" i="42" s="1"/>
  <c r="Z63" i="42"/>
  <c r="AA63" i="42" s="1"/>
  <c r="Z56" i="42"/>
  <c r="AA56" i="42" s="1"/>
  <c r="Z42" i="42"/>
  <c r="Z62" i="42"/>
  <c r="Z19" i="42"/>
  <c r="Z57" i="42"/>
  <c r="AA57" i="42" s="1"/>
  <c r="F70" i="42"/>
  <c r="G69" i="42"/>
  <c r="F75" i="42"/>
  <c r="F76" i="42" s="1"/>
  <c r="X20" i="40"/>
  <c r="X53" i="40"/>
  <c r="X60" i="40"/>
  <c r="X43" i="40"/>
  <c r="X55" i="40"/>
  <c r="V60" i="40"/>
  <c r="V20" i="40"/>
  <c r="V23" i="40"/>
  <c r="V21" i="40"/>
  <c r="V8" i="40"/>
  <c r="AB78" i="42" l="1"/>
  <c r="P96" i="42"/>
  <c r="P78" i="42"/>
  <c r="Q72" i="42"/>
  <c r="Z72" i="42"/>
  <c r="N82" i="42"/>
  <c r="P86" i="42"/>
  <c r="AA21" i="42"/>
  <c r="AA49" i="42"/>
  <c r="AA10" i="42"/>
  <c r="AA26" i="42"/>
  <c r="AA5" i="42"/>
  <c r="AA18" i="42"/>
  <c r="AA64" i="42"/>
  <c r="AC6" i="42"/>
  <c r="AB16" i="42"/>
  <c r="AC16" i="42" s="1"/>
  <c r="AB69" i="42"/>
  <c r="B76" i="42"/>
  <c r="Z75" i="42"/>
  <c r="Z76" i="42" s="1"/>
  <c r="AA8" i="42"/>
  <c r="AA22" i="42"/>
  <c r="AA13" i="42"/>
  <c r="AA7" i="42"/>
  <c r="AA9" i="42"/>
  <c r="AA29" i="42"/>
  <c r="AA31" i="42"/>
  <c r="AA53" i="42"/>
  <c r="P75" i="42"/>
  <c r="P76" i="42" s="1"/>
  <c r="Q69" i="42"/>
  <c r="P70" i="42"/>
  <c r="Z69" i="42"/>
  <c r="Z89" i="42"/>
  <c r="AA19" i="42"/>
  <c r="AA62" i="42"/>
  <c r="AA55" i="42"/>
  <c r="AA52" i="42"/>
  <c r="AA25" i="42"/>
  <c r="AA14" i="42"/>
  <c r="AA24" i="42"/>
  <c r="AA37" i="42"/>
  <c r="AA54" i="42"/>
  <c r="T71" i="42"/>
  <c r="U71" i="42" s="1"/>
  <c r="T77" i="42"/>
  <c r="T96" i="42"/>
  <c r="Z96" i="42" s="1"/>
  <c r="Z101" i="42" s="1"/>
  <c r="U72" i="42"/>
  <c r="T78" i="42"/>
  <c r="AA42" i="42"/>
  <c r="AA45" i="42"/>
  <c r="AA65" i="42"/>
  <c r="AA47" i="42"/>
  <c r="AA48" i="42"/>
  <c r="AA50" i="42"/>
  <c r="AA68" i="42"/>
  <c r="AA74" i="42"/>
  <c r="T75" i="42"/>
  <c r="T76" i="42" s="1"/>
  <c r="T70" i="42"/>
  <c r="U69" i="42"/>
  <c r="AB71" i="42"/>
  <c r="AB77" i="42"/>
  <c r="Q16" i="42"/>
  <c r="Z16" i="42"/>
  <c r="AA16" i="42" s="1"/>
  <c r="B101" i="42"/>
  <c r="D94" i="42" s="1"/>
  <c r="D101" i="42" s="1"/>
  <c r="F94" i="42" s="1"/>
  <c r="F101" i="42" s="1"/>
  <c r="H94" i="42" s="1"/>
  <c r="H101" i="42" s="1"/>
  <c r="J94" i="42" s="1"/>
  <c r="J101" i="42" s="1"/>
  <c r="L94" i="42" s="1"/>
  <c r="L101" i="42" s="1"/>
  <c r="N94" i="42" s="1"/>
  <c r="N101" i="42" s="1"/>
  <c r="P94" i="42" s="1"/>
  <c r="P101" i="42" s="1"/>
  <c r="R94" i="42" s="1"/>
  <c r="R101" i="42" s="1"/>
  <c r="T94" i="42" s="1"/>
  <c r="T101" i="42" s="1"/>
  <c r="V94" i="42" s="1"/>
  <c r="V101" i="42" s="1"/>
  <c r="AA17" i="42"/>
  <c r="V43" i="40"/>
  <c r="T46" i="40"/>
  <c r="T21" i="40"/>
  <c r="P82" i="42" l="1"/>
  <c r="R86" i="42"/>
  <c r="AA72" i="42"/>
  <c r="Z78" i="42"/>
  <c r="P71" i="42"/>
  <c r="P77" i="42"/>
  <c r="Z77" i="42" s="1"/>
  <c r="AA69" i="42"/>
  <c r="Z70" i="42"/>
  <c r="AA70" i="42" s="1"/>
  <c r="AB70" i="42"/>
  <c r="AB75" i="42"/>
  <c r="AB76" i="42" s="1"/>
  <c r="X94" i="42"/>
  <c r="X101" i="42" s="1"/>
  <c r="T60" i="40"/>
  <c r="T20" i="40"/>
  <c r="Q71" i="42" l="1"/>
  <c r="Z71" i="42"/>
  <c r="AA71" i="42" s="1"/>
  <c r="T86" i="42"/>
  <c r="R82" i="42"/>
  <c r="T44" i="40"/>
  <c r="T54" i="40"/>
  <c r="T61" i="40"/>
  <c r="AB61" i="40" s="1"/>
  <c r="T41" i="40"/>
  <c r="R41" i="40"/>
  <c r="T42" i="40"/>
  <c r="T43" i="40"/>
  <c r="J57" i="40"/>
  <c r="L57" i="40"/>
  <c r="P57" i="40"/>
  <c r="R57" i="40"/>
  <c r="B77" i="40"/>
  <c r="D77" i="40"/>
  <c r="F77" i="40"/>
  <c r="H77" i="40"/>
  <c r="J77" i="40"/>
  <c r="L77" i="40"/>
  <c r="N77" i="40"/>
  <c r="P77" i="40"/>
  <c r="R77" i="40"/>
  <c r="T77" i="40"/>
  <c r="V77" i="40"/>
  <c r="X77" i="40"/>
  <c r="X32" i="40"/>
  <c r="AB16" i="40"/>
  <c r="AB25" i="40"/>
  <c r="AB26" i="40"/>
  <c r="AB27" i="40"/>
  <c r="AB29" i="40"/>
  <c r="AB30" i="40"/>
  <c r="AB31" i="40"/>
  <c r="D32" i="40"/>
  <c r="B32" i="40"/>
  <c r="AB38" i="40"/>
  <c r="AB34" i="40"/>
  <c r="AB35" i="40"/>
  <c r="AB36" i="40"/>
  <c r="AB33" i="40"/>
  <c r="AB10" i="40"/>
  <c r="AB11" i="40"/>
  <c r="AB12" i="40"/>
  <c r="AB7" i="40"/>
  <c r="R40" i="40"/>
  <c r="R13" i="40"/>
  <c r="R8" i="40" s="1"/>
  <c r="R20" i="40"/>
  <c r="R21" i="40"/>
  <c r="V86" i="42" l="1"/>
  <c r="T82" i="42"/>
  <c r="AB32" i="40"/>
  <c r="AB13" i="40"/>
  <c r="R42" i="40"/>
  <c r="V53" i="40"/>
  <c r="R28" i="40"/>
  <c r="R43" i="40"/>
  <c r="P43" i="40"/>
  <c r="V82" i="42" l="1"/>
  <c r="V103" i="42" s="1"/>
  <c r="X86" i="42"/>
  <c r="X82" i="42" s="1"/>
  <c r="R19" i="40"/>
  <c r="P54" i="40"/>
  <c r="P41" i="40"/>
  <c r="P20" i="40"/>
  <c r="P21" i="40"/>
  <c r="P19" i="40" l="1"/>
  <c r="P39" i="40"/>
  <c r="N8" i="40" l="1"/>
  <c r="N41" i="40"/>
  <c r="N54" i="40"/>
  <c r="N20" i="40"/>
  <c r="N21" i="40"/>
  <c r="N19" i="40" l="1"/>
  <c r="N60" i="40"/>
  <c r="N42" i="40"/>
  <c r="N39" i="40"/>
  <c r="N43" i="40"/>
  <c r="N4" i="40"/>
  <c r="L21" i="40"/>
  <c r="L20" i="40" l="1"/>
  <c r="L41" i="40"/>
  <c r="L40" i="40"/>
  <c r="L22" i="40"/>
  <c r="L43" i="40"/>
  <c r="L39" i="40"/>
  <c r="J3" i="40"/>
  <c r="L19" i="40" l="1"/>
  <c r="AG18" i="36"/>
  <c r="F69" i="40"/>
  <c r="D69" i="40"/>
  <c r="AB57" i="40"/>
  <c r="AB69" i="40" l="1"/>
  <c r="J54" i="40"/>
  <c r="J21" i="40"/>
  <c r="J42" i="40" l="1"/>
  <c r="J41" i="40"/>
  <c r="J39" i="40"/>
  <c r="J43" i="40" l="1"/>
  <c r="J18" i="40"/>
  <c r="N40" i="40"/>
  <c r="J20" i="40"/>
  <c r="J19" i="40" s="1"/>
  <c r="H20" i="40"/>
  <c r="H21" i="40"/>
  <c r="H59" i="40"/>
  <c r="F63" i="40"/>
  <c r="B63" i="40"/>
  <c r="F55" i="40"/>
  <c r="AB55" i="40" s="1"/>
  <c r="H41" i="40"/>
  <c r="H43" i="40"/>
  <c r="H39" i="40"/>
  <c r="F20" i="40"/>
  <c r="F46" i="40"/>
  <c r="AB46" i="40" s="1"/>
  <c r="F59" i="40"/>
  <c r="F41" i="40"/>
  <c r="F40" i="40"/>
  <c r="F42" i="40"/>
  <c r="F43" i="40"/>
  <c r="F39" i="40"/>
  <c r="F21" i="40"/>
  <c r="F44" i="40"/>
  <c r="D20" i="40"/>
  <c r="D19" i="40" s="1"/>
  <c r="D41" i="40"/>
  <c r="D54" i="40"/>
  <c r="D58" i="40"/>
  <c r="AB58" i="40" s="1"/>
  <c r="D17" i="40"/>
  <c r="D51" i="40"/>
  <c r="D44" i="40"/>
  <c r="D63" i="40"/>
  <c r="D40" i="40"/>
  <c r="D39" i="40"/>
  <c r="D42" i="40"/>
  <c r="D43" i="40"/>
  <c r="B20" i="40"/>
  <c r="B9" i="40"/>
  <c r="B60" i="40"/>
  <c r="AB60" i="40" s="1"/>
  <c r="B54" i="40"/>
  <c r="B39" i="40"/>
  <c r="B51" i="40"/>
  <c r="B43" i="40"/>
  <c r="B42" i="40"/>
  <c r="B41" i="40"/>
  <c r="X4" i="38"/>
  <c r="X2" i="38" s="1"/>
  <c r="X74" i="38"/>
  <c r="X20" i="38"/>
  <c r="X11" i="38"/>
  <c r="X9" i="38"/>
  <c r="X58" i="38"/>
  <c r="X52" i="38"/>
  <c r="X59" i="38"/>
  <c r="X40" i="38"/>
  <c r="X39" i="38"/>
  <c r="X37" i="38"/>
  <c r="X41" i="38"/>
  <c r="J2" i="40"/>
  <c r="F2" i="40"/>
  <c r="X2" i="40"/>
  <c r="V2" i="40"/>
  <c r="T2" i="40"/>
  <c r="X21" i="38"/>
  <c r="X22" i="38"/>
  <c r="V2" i="38"/>
  <c r="V74" i="38"/>
  <c r="V20" i="38"/>
  <c r="T58" i="38"/>
  <c r="T54" i="38" s="1"/>
  <c r="V39" i="38"/>
  <c r="V58" i="38"/>
  <c r="V37" i="38"/>
  <c r="W37" i="38" s="1"/>
  <c r="V27" i="38"/>
  <c r="V41" i="38"/>
  <c r="V38" i="38"/>
  <c r="V40" i="40"/>
  <c r="T40" i="40"/>
  <c r="AB62" i="40"/>
  <c r="J56" i="40"/>
  <c r="X56" i="40"/>
  <c r="V56" i="40"/>
  <c r="T56" i="40"/>
  <c r="N56" i="40"/>
  <c r="L56" i="40"/>
  <c r="AB53" i="40"/>
  <c r="AB52" i="40"/>
  <c r="AB50" i="40"/>
  <c r="AB49" i="40"/>
  <c r="AB47" i="40"/>
  <c r="AB45" i="40"/>
  <c r="AB37" i="40"/>
  <c r="V32" i="40"/>
  <c r="T32" i="40"/>
  <c r="R32" i="40"/>
  <c r="R15" i="40" s="1"/>
  <c r="P32" i="40"/>
  <c r="P15" i="40" s="1"/>
  <c r="N32" i="40"/>
  <c r="L32" i="40"/>
  <c r="L15" i="40" s="1"/>
  <c r="J32" i="40"/>
  <c r="H32" i="40"/>
  <c r="F32" i="40"/>
  <c r="G32" i="40" s="1"/>
  <c r="R6" i="40"/>
  <c r="R91" i="40" s="1"/>
  <c r="P8" i="40"/>
  <c r="P6" i="40" s="1"/>
  <c r="D8" i="40"/>
  <c r="X8" i="40"/>
  <c r="T8" i="40"/>
  <c r="T6" i="40" s="1"/>
  <c r="N6" i="40"/>
  <c r="L8" i="40"/>
  <c r="L6" i="40" s="1"/>
  <c r="J8" i="40"/>
  <c r="J6" i="40" s="1"/>
  <c r="H8" i="40"/>
  <c r="H6" i="40" s="1"/>
  <c r="AB5" i="40"/>
  <c r="AB4" i="40"/>
  <c r="AB3" i="40"/>
  <c r="AC69" i="40" s="1"/>
  <c r="R2" i="40"/>
  <c r="R88" i="40" s="1"/>
  <c r="P2" i="40"/>
  <c r="N2" i="40"/>
  <c r="L2" i="40"/>
  <c r="H2" i="40"/>
  <c r="D2" i="40"/>
  <c r="B2" i="40"/>
  <c r="V6" i="40"/>
  <c r="F8" i="40"/>
  <c r="F6" i="40" s="1"/>
  <c r="AB48" i="40"/>
  <c r="P56" i="40"/>
  <c r="R56" i="40"/>
  <c r="V9" i="38"/>
  <c r="V11" i="38"/>
  <c r="W11" i="38" s="1"/>
  <c r="T42" i="38"/>
  <c r="T20" i="38"/>
  <c r="T19" i="38" s="1"/>
  <c r="T2" i="38"/>
  <c r="U9" i="38" s="1"/>
  <c r="T52" i="38"/>
  <c r="T39" i="38"/>
  <c r="T38" i="38"/>
  <c r="T37" i="38"/>
  <c r="T41" i="38"/>
  <c r="T9" i="38"/>
  <c r="T11" i="38"/>
  <c r="R52" i="38"/>
  <c r="R40" i="38"/>
  <c r="R57" i="38"/>
  <c r="R54" i="38" s="1"/>
  <c r="R39" i="38"/>
  <c r="R37" i="38"/>
  <c r="R41" i="38"/>
  <c r="R2" i="38"/>
  <c r="P60" i="38"/>
  <c r="P54" i="38" s="1"/>
  <c r="Q54" i="38" s="1"/>
  <c r="R20" i="38"/>
  <c r="R19" i="38" s="1"/>
  <c r="R11" i="38"/>
  <c r="R9" i="38"/>
  <c r="P20" i="38"/>
  <c r="P19" i="38" s="1"/>
  <c r="P30" i="38"/>
  <c r="P39" i="38"/>
  <c r="P52" i="38"/>
  <c r="P41" i="38"/>
  <c r="Q41" i="38" s="1"/>
  <c r="R38" i="38"/>
  <c r="P11" i="38"/>
  <c r="P9" i="38"/>
  <c r="P2" i="38"/>
  <c r="Q57" i="38" s="1"/>
  <c r="N20" i="38"/>
  <c r="N39" i="38"/>
  <c r="N41" i="38"/>
  <c r="L38" i="38"/>
  <c r="L20" i="38"/>
  <c r="L19" i="38" s="1"/>
  <c r="L39" i="38"/>
  <c r="L52" i="38"/>
  <c r="L60" i="38"/>
  <c r="L40" i="38"/>
  <c r="L41" i="38"/>
  <c r="L2" i="38"/>
  <c r="M57" i="38" s="1"/>
  <c r="J2" i="38"/>
  <c r="K43" i="38" s="1"/>
  <c r="L11" i="38"/>
  <c r="L8" i="38" s="1"/>
  <c r="L9" i="38"/>
  <c r="N38" i="38"/>
  <c r="N2" i="38"/>
  <c r="O9" i="38" s="1"/>
  <c r="J30" i="38"/>
  <c r="J42" i="38"/>
  <c r="J20" i="38"/>
  <c r="J56" i="38"/>
  <c r="K56" i="38" s="1"/>
  <c r="J39" i="38"/>
  <c r="K39" i="38" s="1"/>
  <c r="J52" i="38"/>
  <c r="J40" i="38"/>
  <c r="J41" i="38"/>
  <c r="K41" i="38" s="1"/>
  <c r="J9" i="38"/>
  <c r="J8" i="38" s="1"/>
  <c r="H2" i="38"/>
  <c r="I22" i="38" s="1"/>
  <c r="J38" i="38"/>
  <c r="H39" i="38"/>
  <c r="H21" i="38"/>
  <c r="H9" i="38"/>
  <c r="H20" i="38"/>
  <c r="O31" i="38"/>
  <c r="H41" i="38"/>
  <c r="AB65" i="38"/>
  <c r="AB16" i="38"/>
  <c r="AB7" i="38"/>
  <c r="AB4" i="38"/>
  <c r="AB3" i="38"/>
  <c r="R53" i="38"/>
  <c r="L53" i="38"/>
  <c r="F39" i="38"/>
  <c r="F56" i="38"/>
  <c r="F20" i="38"/>
  <c r="F42" i="38"/>
  <c r="F37" i="38"/>
  <c r="F46" i="38"/>
  <c r="F53" i="38"/>
  <c r="F40" i="38"/>
  <c r="F41" i="38"/>
  <c r="F21" i="38"/>
  <c r="F25" i="38"/>
  <c r="AB25" i="38" s="1"/>
  <c r="F9" i="38"/>
  <c r="D20" i="38"/>
  <c r="D30" i="38"/>
  <c r="D9" i="38"/>
  <c r="D8" i="38" s="1"/>
  <c r="D26" i="38"/>
  <c r="D53" i="38"/>
  <c r="D41" i="38"/>
  <c r="D40" i="38"/>
  <c r="E40" i="38" s="1"/>
  <c r="D39" i="38"/>
  <c r="D37" i="38"/>
  <c r="D38" i="38"/>
  <c r="D2" i="38"/>
  <c r="B20" i="38"/>
  <c r="B9" i="38"/>
  <c r="B8" i="38" s="1"/>
  <c r="B6" i="38" s="1"/>
  <c r="B60" i="38"/>
  <c r="B51" i="38"/>
  <c r="B27" i="38"/>
  <c r="B58" i="38"/>
  <c r="B21" i="38"/>
  <c r="B41" i="38"/>
  <c r="B39" i="38"/>
  <c r="B34" i="38"/>
  <c r="X74" i="37"/>
  <c r="X2" i="37"/>
  <c r="Y33" i="37" s="1"/>
  <c r="X20" i="37"/>
  <c r="X26" i="37"/>
  <c r="X54" i="37"/>
  <c r="X42" i="37"/>
  <c r="Y42" i="37" s="1"/>
  <c r="X38" i="37"/>
  <c r="Y38" i="37" s="1"/>
  <c r="AB43" i="38"/>
  <c r="AB67" i="37"/>
  <c r="AB7" i="37"/>
  <c r="AB28" i="37"/>
  <c r="AC28" i="37" s="1"/>
  <c r="AB29" i="37"/>
  <c r="AB32" i="37"/>
  <c r="AB33" i="37"/>
  <c r="AB34" i="37"/>
  <c r="AC34" i="37" s="1"/>
  <c r="AB35" i="37"/>
  <c r="AB36" i="37"/>
  <c r="AB37" i="37"/>
  <c r="AB46" i="37"/>
  <c r="AC46" i="37" s="1"/>
  <c r="AB48" i="37"/>
  <c r="AB49" i="37"/>
  <c r="AB52" i="37"/>
  <c r="AB55" i="38"/>
  <c r="AB17" i="38"/>
  <c r="AB18" i="38"/>
  <c r="AB24" i="38"/>
  <c r="AB28" i="38"/>
  <c r="AB29" i="38"/>
  <c r="AB31" i="38"/>
  <c r="AB32" i="38"/>
  <c r="AB33" i="38"/>
  <c r="AB35" i="38"/>
  <c r="AB45" i="38"/>
  <c r="AB47" i="38"/>
  <c r="AB48" i="38"/>
  <c r="AB49" i="38"/>
  <c r="AB50" i="38"/>
  <c r="AB13" i="38"/>
  <c r="AB23" i="38"/>
  <c r="X22" i="37"/>
  <c r="X10" i="37"/>
  <c r="X8" i="37"/>
  <c r="Y8" i="37" s="1"/>
  <c r="Y21" i="37"/>
  <c r="V22" i="37"/>
  <c r="V74" i="37"/>
  <c r="AB22" i="37"/>
  <c r="V2" i="37"/>
  <c r="W41" i="37" s="1"/>
  <c r="V20" i="37"/>
  <c r="V53" i="37"/>
  <c r="V58" i="37"/>
  <c r="V26" i="37"/>
  <c r="V27" i="37"/>
  <c r="V60" i="37"/>
  <c r="V54" i="37"/>
  <c r="V42" i="37"/>
  <c r="W42" i="37" s="1"/>
  <c r="V41" i="37"/>
  <c r="V40" i="37"/>
  <c r="V38" i="37"/>
  <c r="V19" i="37"/>
  <c r="X30" i="38"/>
  <c r="V30" i="38"/>
  <c r="W30" i="38" s="1"/>
  <c r="N30" i="38"/>
  <c r="L30" i="38"/>
  <c r="H30" i="38"/>
  <c r="F30" i="38"/>
  <c r="B53" i="38"/>
  <c r="T74" i="38"/>
  <c r="R74" i="38"/>
  <c r="P74" i="38"/>
  <c r="N74" i="38"/>
  <c r="L74" i="38"/>
  <c r="J74" i="38"/>
  <c r="H74" i="38"/>
  <c r="F74" i="38"/>
  <c r="D74" i="38"/>
  <c r="B74" i="38"/>
  <c r="V54" i="38"/>
  <c r="W54" i="38" s="1"/>
  <c r="N54" i="38"/>
  <c r="H54" i="38"/>
  <c r="AB44" i="38"/>
  <c r="T30" i="38"/>
  <c r="R30" i="38"/>
  <c r="AB5" i="38"/>
  <c r="W43" i="38"/>
  <c r="F2" i="38"/>
  <c r="G38" i="38" s="1"/>
  <c r="B2" i="38"/>
  <c r="Q43" i="38"/>
  <c r="O60" i="38"/>
  <c r="W32" i="38"/>
  <c r="W22" i="38"/>
  <c r="O49" i="38"/>
  <c r="O16" i="38"/>
  <c r="O33" i="38"/>
  <c r="O21" i="38"/>
  <c r="K22" i="38"/>
  <c r="W21" i="38"/>
  <c r="E21" i="38"/>
  <c r="Q21" i="38"/>
  <c r="O23" i="38"/>
  <c r="O46" i="38"/>
  <c r="O56" i="38"/>
  <c r="O18" i="38"/>
  <c r="O35" i="38"/>
  <c r="O37" i="38"/>
  <c r="O42" i="38"/>
  <c r="O54" i="38"/>
  <c r="O55" i="38"/>
  <c r="O24" i="38"/>
  <c r="O25" i="38"/>
  <c r="Q3" i="38"/>
  <c r="W4" i="38"/>
  <c r="N8" i="38"/>
  <c r="E51" i="38"/>
  <c r="E42" i="38"/>
  <c r="E33" i="38"/>
  <c r="E29" i="38"/>
  <c r="W55" i="38"/>
  <c r="W56" i="38"/>
  <c r="W60" i="38"/>
  <c r="W52" i="38"/>
  <c r="W53" i="38"/>
  <c r="W49" i="38"/>
  <c r="W48" i="38"/>
  <c r="W47" i="38"/>
  <c r="W46" i="38"/>
  <c r="W59" i="38"/>
  <c r="W57" i="38"/>
  <c r="W45" i="38"/>
  <c r="W44" i="38"/>
  <c r="W42" i="38"/>
  <c r="W41" i="38"/>
  <c r="W39" i="38"/>
  <c r="W24" i="38"/>
  <c r="W51" i="38"/>
  <c r="W50" i="38"/>
  <c r="W28" i="38"/>
  <c r="W25" i="38"/>
  <c r="W40" i="38"/>
  <c r="W23" i="38"/>
  <c r="W36" i="38"/>
  <c r="W33" i="38"/>
  <c r="W16" i="38"/>
  <c r="W35" i="38"/>
  <c r="W29" i="38"/>
  <c r="W31" i="38"/>
  <c r="W18" i="38"/>
  <c r="W58" i="38"/>
  <c r="W13" i="38"/>
  <c r="G45" i="38"/>
  <c r="Q53" i="38"/>
  <c r="Q55" i="38"/>
  <c r="Q46" i="38"/>
  <c r="Q42" i="38"/>
  <c r="Q26" i="38"/>
  <c r="Q18" i="38"/>
  <c r="Q34" i="38"/>
  <c r="Q33" i="38"/>
  <c r="Q49" i="38"/>
  <c r="Q28" i="38"/>
  <c r="Q27" i="38"/>
  <c r="I24" i="38"/>
  <c r="S34" i="38"/>
  <c r="S29" i="38"/>
  <c r="S26" i="38"/>
  <c r="S58" i="38"/>
  <c r="S3" i="38"/>
  <c r="Q4" i="38"/>
  <c r="W5" i="38"/>
  <c r="M34" i="38"/>
  <c r="W3" i="38"/>
  <c r="K60" i="38"/>
  <c r="K32" i="38"/>
  <c r="K28" i="38"/>
  <c r="K16" i="38"/>
  <c r="K27" i="38"/>
  <c r="W7" i="38"/>
  <c r="Q13" i="38"/>
  <c r="W17" i="38"/>
  <c r="W34" i="38"/>
  <c r="W26" i="38"/>
  <c r="Q58" i="38"/>
  <c r="Q20" i="38"/>
  <c r="W20" i="38"/>
  <c r="D54" i="38"/>
  <c r="L54" i="38"/>
  <c r="G60" i="38"/>
  <c r="F54" i="38"/>
  <c r="T2" i="37"/>
  <c r="V10" i="37"/>
  <c r="V8" i="37" s="1"/>
  <c r="T74" i="37"/>
  <c r="T20" i="37"/>
  <c r="T10" i="37"/>
  <c r="T53" i="37"/>
  <c r="T38" i="37"/>
  <c r="T54" i="37"/>
  <c r="T60" i="37"/>
  <c r="T43" i="37"/>
  <c r="T42" i="37"/>
  <c r="U42" i="37" s="1"/>
  <c r="T41" i="37"/>
  <c r="T40" i="37"/>
  <c r="T39" i="37"/>
  <c r="R74" i="37"/>
  <c r="R21" i="37"/>
  <c r="R20" i="37"/>
  <c r="R30" i="37"/>
  <c r="R53" i="37"/>
  <c r="AB53" i="37" s="1"/>
  <c r="AC53" i="37" s="1"/>
  <c r="R42" i="37"/>
  <c r="R57" i="37"/>
  <c r="R55" i="37"/>
  <c r="R40" i="37"/>
  <c r="S40" i="37" s="1"/>
  <c r="R39" i="37"/>
  <c r="R38" i="37"/>
  <c r="R19" i="37"/>
  <c r="AB21" i="37"/>
  <c r="AC21" i="37" s="1"/>
  <c r="P74" i="37"/>
  <c r="P60" i="37"/>
  <c r="P17" i="37"/>
  <c r="P44" i="37"/>
  <c r="P42" i="37"/>
  <c r="P41" i="37"/>
  <c r="P40" i="37"/>
  <c r="P39" i="37"/>
  <c r="Q39" i="37" s="1"/>
  <c r="P38" i="37"/>
  <c r="AB41" i="37"/>
  <c r="W29" i="37"/>
  <c r="O28" i="37"/>
  <c r="O29" i="37"/>
  <c r="X30" i="37"/>
  <c r="V30" i="37"/>
  <c r="W30" i="37" s="1"/>
  <c r="T30" i="37"/>
  <c r="P30" i="37"/>
  <c r="N30" i="37"/>
  <c r="L30" i="37"/>
  <c r="M30" i="37" s="1"/>
  <c r="J30" i="37"/>
  <c r="H30" i="37"/>
  <c r="F30" i="37"/>
  <c r="D31" i="37"/>
  <c r="B30" i="37"/>
  <c r="P10" i="37"/>
  <c r="P20" i="37"/>
  <c r="P19" i="37" s="1"/>
  <c r="N74" i="37"/>
  <c r="N60" i="37"/>
  <c r="N55" i="37" s="1"/>
  <c r="N42" i="37"/>
  <c r="O42" i="37" s="1"/>
  <c r="N40" i="37"/>
  <c r="N39" i="37"/>
  <c r="N27" i="37"/>
  <c r="O27" i="37" s="1"/>
  <c r="N20" i="37"/>
  <c r="N23" i="37"/>
  <c r="N26" i="37"/>
  <c r="N10" i="37"/>
  <c r="AB27" i="37"/>
  <c r="L74" i="37"/>
  <c r="L60" i="37"/>
  <c r="M60" i="37" s="1"/>
  <c r="L58" i="37"/>
  <c r="L57" i="37"/>
  <c r="L43" i="37"/>
  <c r="L42" i="37"/>
  <c r="M42" i="37" s="1"/>
  <c r="L40" i="37"/>
  <c r="L39" i="37"/>
  <c r="L25" i="37"/>
  <c r="L23" i="37"/>
  <c r="L20" i="37"/>
  <c r="L10" i="37"/>
  <c r="L2" i="37"/>
  <c r="J74" i="37"/>
  <c r="L26" i="37"/>
  <c r="N25" i="37"/>
  <c r="O25" i="37" s="1"/>
  <c r="J20" i="37"/>
  <c r="J58" i="37"/>
  <c r="J55" i="37" s="1"/>
  <c r="K55" i="37" s="1"/>
  <c r="J2" i="37"/>
  <c r="H2" i="37"/>
  <c r="I23" i="37" s="1"/>
  <c r="J60" i="37"/>
  <c r="J50" i="37"/>
  <c r="AB50" i="37" s="1"/>
  <c r="AC50" i="37" s="1"/>
  <c r="J24" i="37"/>
  <c r="I29" i="37"/>
  <c r="J26" i="37"/>
  <c r="J44" i="37"/>
  <c r="J45" i="37"/>
  <c r="AB45" i="37" s="1"/>
  <c r="J42" i="37"/>
  <c r="J40" i="37"/>
  <c r="H74" i="37"/>
  <c r="F74" i="37"/>
  <c r="H53" i="37"/>
  <c r="H57" i="37"/>
  <c r="H25" i="37"/>
  <c r="H19" i="37" s="1"/>
  <c r="I19" i="37" s="1"/>
  <c r="H16" i="37"/>
  <c r="H20" i="37"/>
  <c r="H26" i="37"/>
  <c r="H42" i="37"/>
  <c r="H40" i="37"/>
  <c r="D20" i="37"/>
  <c r="F57" i="37"/>
  <c r="F23" i="37"/>
  <c r="F20" i="37"/>
  <c r="F60" i="37"/>
  <c r="F54" i="37"/>
  <c r="F44" i="37"/>
  <c r="G44" i="37" s="1"/>
  <c r="F43" i="37"/>
  <c r="F42" i="37"/>
  <c r="F58" i="37"/>
  <c r="AB44" i="37"/>
  <c r="AC44" i="37" s="1"/>
  <c r="D74" i="37"/>
  <c r="B74" i="37"/>
  <c r="B20" i="37"/>
  <c r="D57" i="37"/>
  <c r="D60" i="37"/>
  <c r="D42" i="37"/>
  <c r="D40" i="37"/>
  <c r="D39" i="37"/>
  <c r="D50" i="37"/>
  <c r="D51" i="37"/>
  <c r="D47" i="37"/>
  <c r="AB47" i="37" s="1"/>
  <c r="AB51" i="37"/>
  <c r="AC51" i="37" s="1"/>
  <c r="B8" i="37"/>
  <c r="AB9" i="37"/>
  <c r="R8" i="37"/>
  <c r="R6" i="37" s="1"/>
  <c r="P8" i="37"/>
  <c r="J8" i="37"/>
  <c r="J6" i="37" s="1"/>
  <c r="H8" i="37"/>
  <c r="F8" i="37"/>
  <c r="F6" i="37" s="1"/>
  <c r="D8" i="37"/>
  <c r="D6" i="37" s="1"/>
  <c r="Z2" i="36"/>
  <c r="AA3" i="36"/>
  <c r="AB2" i="36"/>
  <c r="AC3" i="36"/>
  <c r="Z6" i="36"/>
  <c r="AB6" i="36"/>
  <c r="AC6" i="36"/>
  <c r="AC7" i="36"/>
  <c r="AC8" i="36"/>
  <c r="AC12" i="36"/>
  <c r="AC13" i="36"/>
  <c r="AC14" i="36"/>
  <c r="AC15" i="36"/>
  <c r="AC16" i="36"/>
  <c r="AC17" i="36"/>
  <c r="Z19" i="36"/>
  <c r="AB19" i="36"/>
  <c r="AC19" i="36"/>
  <c r="AC20" i="36"/>
  <c r="AC21" i="36"/>
  <c r="AC23" i="36"/>
  <c r="AC24" i="36"/>
  <c r="AC25" i="36"/>
  <c r="AC26" i="36"/>
  <c r="AC27" i="36"/>
  <c r="AC28" i="36"/>
  <c r="AC32" i="36"/>
  <c r="AC33" i="36"/>
  <c r="AC34" i="36"/>
  <c r="AC35" i="36"/>
  <c r="AC36" i="36"/>
  <c r="AC37" i="36"/>
  <c r="AC38" i="36"/>
  <c r="AC39" i="36"/>
  <c r="AC40" i="36"/>
  <c r="Z41" i="36"/>
  <c r="AB41" i="36"/>
  <c r="AC41" i="36"/>
  <c r="AC42" i="36"/>
  <c r="AC43" i="36"/>
  <c r="AC44" i="36"/>
  <c r="AC45" i="36"/>
  <c r="AC46" i="36"/>
  <c r="AC47" i="36"/>
  <c r="AC11" i="36"/>
  <c r="AC10" i="36"/>
  <c r="AA13" i="36"/>
  <c r="AC9" i="36"/>
  <c r="Z49" i="36"/>
  <c r="AA49" i="36"/>
  <c r="AC5" i="36"/>
  <c r="AC4" i="36"/>
  <c r="AA33" i="36"/>
  <c r="AA19" i="36"/>
  <c r="AA41" i="36"/>
  <c r="AA46" i="36"/>
  <c r="AA21" i="36"/>
  <c r="Z48" i="36"/>
  <c r="AA48" i="36"/>
  <c r="AA35" i="36"/>
  <c r="AA24" i="36"/>
  <c r="AA15" i="36"/>
  <c r="AA7" i="36"/>
  <c r="AA42" i="36"/>
  <c r="AA37" i="36"/>
  <c r="AA26" i="36"/>
  <c r="AA17" i="36"/>
  <c r="AA9" i="36"/>
  <c r="AA4" i="36"/>
  <c r="AA44" i="36"/>
  <c r="AA39" i="36"/>
  <c r="AA28" i="36"/>
  <c r="AA11" i="36"/>
  <c r="AA6" i="36"/>
  <c r="AB18" i="36"/>
  <c r="AC18" i="36"/>
  <c r="AB51" i="36"/>
  <c r="AC51" i="36"/>
  <c r="AB49" i="36"/>
  <c r="AC49" i="36"/>
  <c r="AB48" i="36"/>
  <c r="AC48" i="36"/>
  <c r="AA47" i="36"/>
  <c r="AA45" i="36"/>
  <c r="AA43" i="36"/>
  <c r="AA40" i="36"/>
  <c r="AA38" i="36"/>
  <c r="AA36" i="36"/>
  <c r="AA34" i="36"/>
  <c r="AA32" i="36"/>
  <c r="AA27" i="36"/>
  <c r="AA25" i="36"/>
  <c r="AA23" i="36"/>
  <c r="AA20" i="36"/>
  <c r="Z18" i="36"/>
  <c r="AA18" i="36"/>
  <c r="AA16" i="36"/>
  <c r="AA14" i="36"/>
  <c r="AA12" i="36"/>
  <c r="AA10" i="36"/>
  <c r="AA8" i="36"/>
  <c r="AA5" i="36"/>
  <c r="B53" i="37"/>
  <c r="B57" i="37"/>
  <c r="B19" i="37"/>
  <c r="B40" i="37"/>
  <c r="B42" i="37"/>
  <c r="B43" i="37"/>
  <c r="B60" i="37"/>
  <c r="AB50" i="36"/>
  <c r="AC50" i="36"/>
  <c r="Z50" i="36"/>
  <c r="AA50" i="36"/>
  <c r="Z51" i="36"/>
  <c r="AA51" i="36"/>
  <c r="D19" i="37"/>
  <c r="AB59" i="37"/>
  <c r="AC59" i="37" s="1"/>
  <c r="AB56" i="37"/>
  <c r="AB17" i="37"/>
  <c r="AB18" i="37"/>
  <c r="AB15" i="37"/>
  <c r="AC15" i="37" s="1"/>
  <c r="AB10" i="37"/>
  <c r="AB11" i="37"/>
  <c r="AB12" i="37"/>
  <c r="AB4" i="37"/>
  <c r="AB5" i="37"/>
  <c r="AB3" i="37"/>
  <c r="AC29" i="37" s="1"/>
  <c r="X6" i="37"/>
  <c r="H6" i="37"/>
  <c r="X55" i="37"/>
  <c r="Y55" i="37" s="1"/>
  <c r="T55" i="37"/>
  <c r="U55" i="37" s="1"/>
  <c r="P55" i="37"/>
  <c r="H55" i="37"/>
  <c r="I55" i="37" s="1"/>
  <c r="R2" i="37"/>
  <c r="P2" i="37"/>
  <c r="F2" i="37"/>
  <c r="G31" i="37" s="1"/>
  <c r="D2" i="37"/>
  <c r="E53" i="37" s="1"/>
  <c r="B2" i="37"/>
  <c r="G29" i="37"/>
  <c r="Q29" i="37"/>
  <c r="Q28" i="37"/>
  <c r="S29" i="37"/>
  <c r="M31" i="37"/>
  <c r="O31" i="37"/>
  <c r="I31" i="37"/>
  <c r="Q31" i="37"/>
  <c r="U30" i="37"/>
  <c r="U34" i="37"/>
  <c r="G38" i="37"/>
  <c r="G53" i="37"/>
  <c r="O53" i="37"/>
  <c r="O35" i="37"/>
  <c r="O24" i="37"/>
  <c r="O34" i="37"/>
  <c r="O36" i="37"/>
  <c r="O9" i="37"/>
  <c r="O38" i="37"/>
  <c r="O26" i="37"/>
  <c r="O33" i="37"/>
  <c r="O23" i="37"/>
  <c r="I27" i="37"/>
  <c r="I24" i="37"/>
  <c r="I37" i="37"/>
  <c r="I34" i="37"/>
  <c r="I9" i="37"/>
  <c r="Q18" i="37"/>
  <c r="Q24" i="37"/>
  <c r="Q30" i="37"/>
  <c r="Q36" i="37"/>
  <c r="Q9" i="37"/>
  <c r="Q25" i="37"/>
  <c r="Q32" i="37"/>
  <c r="Q37" i="37"/>
  <c r="Q53" i="37"/>
  <c r="Q34" i="37"/>
  <c r="Q26" i="37"/>
  <c r="Q33" i="37"/>
  <c r="Q23" i="37"/>
  <c r="Q27" i="37"/>
  <c r="Q35" i="37"/>
  <c r="Y5" i="37"/>
  <c r="Y52" i="37"/>
  <c r="Y27" i="37"/>
  <c r="Y30" i="37"/>
  <c r="Y25" i="37"/>
  <c r="S25" i="37"/>
  <c r="S7" i="37"/>
  <c r="M53" i="37"/>
  <c r="M33" i="37"/>
  <c r="M35" i="37"/>
  <c r="W26" i="37"/>
  <c r="W23" i="37"/>
  <c r="W24" i="37"/>
  <c r="W19" i="37"/>
  <c r="W51" i="37"/>
  <c r="G50" i="37"/>
  <c r="G33" i="37"/>
  <c r="G25" i="37"/>
  <c r="G34" i="37"/>
  <c r="G35" i="37"/>
  <c r="G20" i="37"/>
  <c r="G26" i="37"/>
  <c r="G9" i="37"/>
  <c r="G24" i="37"/>
  <c r="G36" i="37"/>
  <c r="G27" i="37"/>
  <c r="G54" i="37"/>
  <c r="G7" i="37"/>
  <c r="O39" i="37"/>
  <c r="O7" i="37"/>
  <c r="G46" i="37"/>
  <c r="G11" i="37"/>
  <c r="G15" i="37"/>
  <c r="Q45" i="37"/>
  <c r="Q7" i="37"/>
  <c r="G48" i="37"/>
  <c r="G45" i="37"/>
  <c r="G4" i="37"/>
  <c r="G47" i="37"/>
  <c r="G12" i="37"/>
  <c r="G32" i="37"/>
  <c r="K47" i="37"/>
  <c r="G49" i="37"/>
  <c r="G10" i="37"/>
  <c r="C17" i="37"/>
  <c r="G18" i="37"/>
  <c r="W50" i="37"/>
  <c r="W10" i="37"/>
  <c r="S48" i="37"/>
  <c r="S11" i="37"/>
  <c r="AC49" i="37"/>
  <c r="AC48" i="37"/>
  <c r="AC47" i="37"/>
  <c r="O15" i="37"/>
  <c r="O50" i="37"/>
  <c r="O46" i="37"/>
  <c r="O47" i="37"/>
  <c r="O48" i="37"/>
  <c r="O49" i="37"/>
  <c r="O41" i="37"/>
  <c r="O4" i="37"/>
  <c r="O11" i="37"/>
  <c r="O12" i="37"/>
  <c r="O18" i="37"/>
  <c r="AC33" i="37"/>
  <c r="AC36" i="37"/>
  <c r="Q3" i="37"/>
  <c r="U5" i="37"/>
  <c r="Q51" i="37"/>
  <c r="M43" i="37"/>
  <c r="G59" i="37"/>
  <c r="G58" i="37"/>
  <c r="G56" i="37"/>
  <c r="G60" i="37"/>
  <c r="G42" i="37"/>
  <c r="G40" i="37"/>
  <c r="G37" i="37"/>
  <c r="G57" i="37"/>
  <c r="G41" i="37"/>
  <c r="G30" i="37"/>
  <c r="O59" i="37"/>
  <c r="O58" i="37"/>
  <c r="O56" i="37"/>
  <c r="O57" i="37"/>
  <c r="O54" i="37"/>
  <c r="O37" i="37"/>
  <c r="O60" i="37"/>
  <c r="O45" i="37"/>
  <c r="O43" i="37"/>
  <c r="O32" i="37"/>
  <c r="O30" i="37"/>
  <c r="W44" i="37"/>
  <c r="W43" i="37"/>
  <c r="M4" i="37"/>
  <c r="U4" i="37"/>
  <c r="G5" i="37"/>
  <c r="O5" i="37"/>
  <c r="Q46" i="37"/>
  <c r="M47" i="37"/>
  <c r="U47" i="37"/>
  <c r="I48" i="37"/>
  <c r="Q48" i="37"/>
  <c r="M49" i="37"/>
  <c r="K51" i="37"/>
  <c r="G52" i="37"/>
  <c r="O52" i="37"/>
  <c r="I10" i="37"/>
  <c r="M11" i="37"/>
  <c r="U11" i="37"/>
  <c r="Q12" i="37"/>
  <c r="G16" i="37"/>
  <c r="O17" i="37"/>
  <c r="AC32" i="37"/>
  <c r="U43" i="37"/>
  <c r="O44" i="37"/>
  <c r="Q57" i="37"/>
  <c r="Q54" i="37"/>
  <c r="Q44" i="37"/>
  <c r="Q58" i="37"/>
  <c r="Q56" i="37"/>
  <c r="Q42" i="37"/>
  <c r="Q15" i="37"/>
  <c r="Q59" i="37"/>
  <c r="Q43" i="37"/>
  <c r="Q16" i="37"/>
  <c r="M3" i="37"/>
  <c r="M51" i="37"/>
  <c r="I52" i="37"/>
  <c r="I57" i="37"/>
  <c r="I54" i="37"/>
  <c r="I16" i="37"/>
  <c r="Y58" i="37"/>
  <c r="Y39" i="37"/>
  <c r="Y16" i="37"/>
  <c r="Q5" i="37"/>
  <c r="Q52" i="37"/>
  <c r="U37" i="37"/>
  <c r="C56" i="37"/>
  <c r="C44" i="37"/>
  <c r="C39" i="37"/>
  <c r="C32" i="37"/>
  <c r="C45" i="37"/>
  <c r="C42" i="37"/>
  <c r="C37" i="37"/>
  <c r="C54" i="37"/>
  <c r="K57" i="37"/>
  <c r="K59" i="37"/>
  <c r="K32" i="37"/>
  <c r="K56" i="37"/>
  <c r="K40" i="37"/>
  <c r="K45" i="37"/>
  <c r="S57" i="37"/>
  <c r="S58" i="37"/>
  <c r="S45" i="37"/>
  <c r="S43" i="37"/>
  <c r="S42" i="37"/>
  <c r="G3" i="37"/>
  <c r="O3" i="37"/>
  <c r="Q4" i="37"/>
  <c r="C5" i="37"/>
  <c r="M46" i="37"/>
  <c r="Q47" i="37"/>
  <c r="M48" i="37"/>
  <c r="U48" i="37"/>
  <c r="I49" i="37"/>
  <c r="Q49" i="37"/>
  <c r="G51" i="37"/>
  <c r="O51" i="37"/>
  <c r="K52" i="37"/>
  <c r="I11" i="37"/>
  <c r="Q11" i="37"/>
  <c r="M12" i="37"/>
  <c r="U12" i="37"/>
  <c r="C15" i="37"/>
  <c r="O16" i="37"/>
  <c r="G17" i="37"/>
  <c r="C18" i="37"/>
  <c r="AC18" i="37"/>
  <c r="M32" i="37"/>
  <c r="AC35" i="37"/>
  <c r="G39" i="37"/>
  <c r="Q40" i="37"/>
  <c r="I58" i="37"/>
  <c r="E39" i="37"/>
  <c r="M59" i="37"/>
  <c r="M56" i="37"/>
  <c r="M45" i="37"/>
  <c r="M44" i="37"/>
  <c r="M54" i="37"/>
  <c r="M40" i="37"/>
  <c r="M37" i="37"/>
  <c r="M17" i="37"/>
  <c r="M16" i="37"/>
  <c r="M18" i="37"/>
  <c r="M15" i="37"/>
  <c r="U56" i="37"/>
  <c r="U45" i="37"/>
  <c r="U54" i="37"/>
  <c r="U16" i="37"/>
  <c r="U58" i="37"/>
  <c r="U57" i="37"/>
  <c r="U44" i="37"/>
  <c r="U40" i="37"/>
  <c r="U15" i="37"/>
  <c r="I3" i="37"/>
  <c r="Y3" i="37"/>
  <c r="M5" i="37"/>
  <c r="Q50" i="37"/>
  <c r="Y50" i="37"/>
  <c r="I51" i="37"/>
  <c r="M52" i="37"/>
  <c r="M39" i="37"/>
  <c r="Y40" i="37"/>
  <c r="M41" i="37"/>
  <c r="U41" i="37"/>
  <c r="Q55" i="37"/>
  <c r="Y57" i="37"/>
  <c r="AC45" i="37"/>
  <c r="O55" i="37"/>
  <c r="AC56" i="37"/>
  <c r="AF42" i="36"/>
  <c r="AF4" i="36"/>
  <c r="AF3" i="36"/>
  <c r="AF46" i="36"/>
  <c r="AF44" i="36"/>
  <c r="AF40" i="36"/>
  <c r="AF39" i="36"/>
  <c r="AF38" i="36"/>
  <c r="AF37" i="36"/>
  <c r="AF36" i="36"/>
  <c r="AF34" i="36"/>
  <c r="AF32" i="36"/>
  <c r="AF31" i="36"/>
  <c r="AF30" i="36"/>
  <c r="AF29" i="36"/>
  <c r="AF28" i="36"/>
  <c r="AF26" i="36"/>
  <c r="AF24" i="36"/>
  <c r="AF23" i="36"/>
  <c r="AF22" i="36"/>
  <c r="AF21" i="36"/>
  <c r="AF20" i="36"/>
  <c r="AF16" i="36"/>
  <c r="AF17" i="36"/>
  <c r="AF15" i="36"/>
  <c r="AF12" i="36"/>
  <c r="AF13" i="36"/>
  <c r="AF10" i="36"/>
  <c r="AF9" i="36"/>
  <c r="AF8" i="36"/>
  <c r="AF7" i="36"/>
  <c r="X43" i="36"/>
  <c r="AF43" i="36"/>
  <c r="X27" i="36"/>
  <c r="X35" i="36"/>
  <c r="X33" i="36"/>
  <c r="X25" i="36"/>
  <c r="X11" i="36"/>
  <c r="X14" i="36"/>
  <c r="AF14" i="36"/>
  <c r="V47" i="36"/>
  <c r="V27" i="36"/>
  <c r="V35" i="36"/>
  <c r="V25" i="36"/>
  <c r="V11" i="36"/>
  <c r="T45" i="36"/>
  <c r="T27" i="36"/>
  <c r="T35" i="36"/>
  <c r="T25" i="36"/>
  <c r="T11" i="36"/>
  <c r="R47" i="36"/>
  <c r="R27" i="36"/>
  <c r="AF47" i="36"/>
  <c r="R35" i="36"/>
  <c r="R33" i="36"/>
  <c r="R11" i="36"/>
  <c r="R25" i="36"/>
  <c r="P45" i="36"/>
  <c r="P27" i="36"/>
  <c r="P35" i="36"/>
  <c r="P33" i="36"/>
  <c r="P25" i="36"/>
  <c r="P11" i="36"/>
  <c r="F45" i="36"/>
  <c r="H45" i="36"/>
  <c r="J45" i="36"/>
  <c r="H27" i="36"/>
  <c r="AF27" i="36"/>
  <c r="J35" i="36"/>
  <c r="J25" i="36"/>
  <c r="N45" i="36"/>
  <c r="N41" i="36"/>
  <c r="N35" i="36"/>
  <c r="N33" i="36"/>
  <c r="AF33" i="36"/>
  <c r="N25" i="36"/>
  <c r="N11" i="36"/>
  <c r="L45" i="36"/>
  <c r="AF45" i="36"/>
  <c r="AF41" i="36"/>
  <c r="AG41" i="36"/>
  <c r="L35" i="36"/>
  <c r="AF35" i="36"/>
  <c r="N19" i="36"/>
  <c r="L25" i="36"/>
  <c r="AF25" i="36"/>
  <c r="AF19" i="36"/>
  <c r="L11" i="36"/>
  <c r="AF11" i="36"/>
  <c r="AG19" i="36"/>
  <c r="B6" i="36"/>
  <c r="V2" i="36"/>
  <c r="T2" i="36"/>
  <c r="R2" i="36"/>
  <c r="P2" i="36"/>
  <c r="L2" i="36"/>
  <c r="J2" i="36"/>
  <c r="H2" i="36"/>
  <c r="F2" i="36"/>
  <c r="D2" i="36"/>
  <c r="I23" i="36"/>
  <c r="E23" i="36"/>
  <c r="K23" i="36"/>
  <c r="M23" i="36"/>
  <c r="G23" i="36"/>
  <c r="U23" i="36"/>
  <c r="S23" i="36"/>
  <c r="W23" i="36"/>
  <c r="Q23" i="36"/>
  <c r="P6" i="36"/>
  <c r="N6" i="36"/>
  <c r="L6" i="36"/>
  <c r="J6" i="36"/>
  <c r="H6" i="36"/>
  <c r="F6" i="36"/>
  <c r="D6" i="36"/>
  <c r="N53" i="36"/>
  <c r="N52" i="36"/>
  <c r="P18" i="36"/>
  <c r="X41" i="36"/>
  <c r="V41" i="36"/>
  <c r="T41" i="36"/>
  <c r="R41" i="36"/>
  <c r="P41" i="36"/>
  <c r="L41" i="36"/>
  <c r="J41" i="36"/>
  <c r="H41" i="36"/>
  <c r="F41" i="36"/>
  <c r="D41" i="36"/>
  <c r="B41" i="36"/>
  <c r="X19" i="36"/>
  <c r="V19" i="36"/>
  <c r="T19" i="36"/>
  <c r="R19" i="36"/>
  <c r="P19" i="36"/>
  <c r="P53" i="36"/>
  <c r="L19" i="36"/>
  <c r="L53" i="36"/>
  <c r="J19" i="36"/>
  <c r="J53" i="36"/>
  <c r="H19" i="36"/>
  <c r="H53" i="36"/>
  <c r="F19" i="36"/>
  <c r="F53" i="36"/>
  <c r="D19" i="36"/>
  <c r="D53" i="36"/>
  <c r="B19" i="36"/>
  <c r="X6" i="36"/>
  <c r="V6" i="36"/>
  <c r="T6" i="36"/>
  <c r="R6" i="36"/>
  <c r="X2" i="36"/>
  <c r="U12" i="36"/>
  <c r="S3" i="36"/>
  <c r="Q9" i="36"/>
  <c r="N2" i="36"/>
  <c r="M14" i="36"/>
  <c r="K16" i="36"/>
  <c r="I11" i="36"/>
  <c r="E8" i="36"/>
  <c r="B2" i="36"/>
  <c r="J52" i="36"/>
  <c r="T52" i="36"/>
  <c r="X53" i="36"/>
  <c r="F52" i="36"/>
  <c r="P52" i="36"/>
  <c r="R18" i="36"/>
  <c r="S18" i="36"/>
  <c r="R53" i="36"/>
  <c r="D52" i="36"/>
  <c r="L52" i="36"/>
  <c r="V52" i="36"/>
  <c r="X52" i="36"/>
  <c r="T18" i="36"/>
  <c r="U18" i="36"/>
  <c r="T50" i="36"/>
  <c r="U50" i="36"/>
  <c r="T53" i="36"/>
  <c r="V18" i="36"/>
  <c r="W18" i="36"/>
  <c r="V51" i="36"/>
  <c r="W51" i="36"/>
  <c r="V53" i="36"/>
  <c r="H52" i="36"/>
  <c r="R52" i="36"/>
  <c r="AJ2" i="36"/>
  <c r="AD20" i="36"/>
  <c r="X18" i="36"/>
  <c r="Y18" i="36"/>
  <c r="N48" i="36"/>
  <c r="O48" i="36"/>
  <c r="N18" i="36"/>
  <c r="C23" i="36"/>
  <c r="O4" i="36"/>
  <c r="O23" i="36"/>
  <c r="Y7" i="36"/>
  <c r="Y23" i="36"/>
  <c r="Y15" i="36"/>
  <c r="Y6" i="36"/>
  <c r="U8" i="36"/>
  <c r="S5" i="36"/>
  <c r="S6" i="36"/>
  <c r="Q6" i="36"/>
  <c r="M6" i="36"/>
  <c r="M10" i="36"/>
  <c r="K4" i="36"/>
  <c r="I6" i="36"/>
  <c r="E3" i="36"/>
  <c r="E12" i="36"/>
  <c r="F49" i="36"/>
  <c r="G49" i="36"/>
  <c r="F48" i="36"/>
  <c r="G48" i="36"/>
  <c r="G47" i="36"/>
  <c r="G45" i="36"/>
  <c r="G43" i="36"/>
  <c r="G44" i="36"/>
  <c r="G40" i="36"/>
  <c r="G38" i="36"/>
  <c r="G35" i="36"/>
  <c r="G33" i="36"/>
  <c r="G42" i="36"/>
  <c r="G36" i="36"/>
  <c r="G46" i="36"/>
  <c r="G34" i="36"/>
  <c r="G27" i="36"/>
  <c r="G25" i="36"/>
  <c r="G20" i="36"/>
  <c r="G39" i="36"/>
  <c r="G32" i="36"/>
  <c r="G28" i="36"/>
  <c r="G16" i="36"/>
  <c r="G15" i="36"/>
  <c r="G13" i="36"/>
  <c r="G11" i="36"/>
  <c r="G9" i="36"/>
  <c r="G7" i="36"/>
  <c r="G26" i="36"/>
  <c r="F18" i="36"/>
  <c r="G18" i="36"/>
  <c r="F51" i="36"/>
  <c r="G51" i="36"/>
  <c r="G24" i="36"/>
  <c r="G14" i="36"/>
  <c r="G12" i="36"/>
  <c r="G10" i="36"/>
  <c r="G8" i="36"/>
  <c r="V49" i="36"/>
  <c r="W49" i="36"/>
  <c r="V48" i="36"/>
  <c r="W48" i="36"/>
  <c r="W47" i="36"/>
  <c r="W45" i="36"/>
  <c r="W43" i="36"/>
  <c r="W42" i="36"/>
  <c r="W46" i="36"/>
  <c r="W40" i="36"/>
  <c r="W38" i="36"/>
  <c r="W35" i="36"/>
  <c r="W33" i="36"/>
  <c r="W39" i="36"/>
  <c r="W32" i="36"/>
  <c r="W44" i="36"/>
  <c r="W37" i="36"/>
  <c r="W27" i="36"/>
  <c r="W25" i="36"/>
  <c r="W20" i="36"/>
  <c r="W36" i="36"/>
  <c r="W28" i="36"/>
  <c r="W24" i="36"/>
  <c r="W16" i="36"/>
  <c r="W15" i="36"/>
  <c r="W13" i="36"/>
  <c r="W11" i="36"/>
  <c r="W9" i="36"/>
  <c r="W7" i="36"/>
  <c r="W21" i="36"/>
  <c r="W14" i="36"/>
  <c r="W12" i="36"/>
  <c r="W10" i="36"/>
  <c r="W8" i="36"/>
  <c r="G5" i="36"/>
  <c r="G17" i="36"/>
  <c r="S27" i="36"/>
  <c r="G37" i="36"/>
  <c r="I47" i="36"/>
  <c r="I45" i="36"/>
  <c r="I43" i="36"/>
  <c r="I46" i="36"/>
  <c r="I44" i="36"/>
  <c r="I42" i="36"/>
  <c r="I40" i="36"/>
  <c r="I38" i="36"/>
  <c r="I35" i="36"/>
  <c r="I33" i="36"/>
  <c r="I28" i="36"/>
  <c r="H49" i="36"/>
  <c r="I49" i="36"/>
  <c r="H48" i="36"/>
  <c r="I48" i="36"/>
  <c r="I39" i="36"/>
  <c r="I37" i="36"/>
  <c r="I36" i="36"/>
  <c r="I34" i="36"/>
  <c r="I32" i="36"/>
  <c r="I27" i="36"/>
  <c r="I25" i="36"/>
  <c r="I20" i="36"/>
  <c r="I17" i="36"/>
  <c r="I26" i="36"/>
  <c r="I24" i="36"/>
  <c r="I21" i="36"/>
  <c r="I16" i="36"/>
  <c r="H18" i="36"/>
  <c r="I18" i="36"/>
  <c r="H51" i="36"/>
  <c r="I51" i="36"/>
  <c r="I14" i="36"/>
  <c r="I12" i="36"/>
  <c r="I10" i="36"/>
  <c r="I8" i="36"/>
  <c r="I5" i="36"/>
  <c r="I3" i="36"/>
  <c r="Q47" i="36"/>
  <c r="Q45" i="36"/>
  <c r="Q43" i="36"/>
  <c r="Q46" i="36"/>
  <c r="Q44" i="36"/>
  <c r="Q42" i="36"/>
  <c r="Q40" i="36"/>
  <c r="Q38" i="36"/>
  <c r="Q35" i="36"/>
  <c r="Q33" i="36"/>
  <c r="Q28" i="36"/>
  <c r="Q39" i="36"/>
  <c r="Q37" i="36"/>
  <c r="Q36" i="36"/>
  <c r="Q34" i="36"/>
  <c r="Q32" i="36"/>
  <c r="P49" i="36"/>
  <c r="Q49" i="36"/>
  <c r="Q27" i="36"/>
  <c r="Q25" i="36"/>
  <c r="Q20" i="36"/>
  <c r="Q17" i="36"/>
  <c r="P48" i="36"/>
  <c r="Q48" i="36"/>
  <c r="Q26" i="36"/>
  <c r="Q24" i="36"/>
  <c r="Q21" i="36"/>
  <c r="Q16" i="36"/>
  <c r="Q18" i="36"/>
  <c r="P51" i="36"/>
  <c r="Q51" i="36"/>
  <c r="Q14" i="36"/>
  <c r="Q12" i="36"/>
  <c r="Q10" i="36"/>
  <c r="Q8" i="36"/>
  <c r="Q5" i="36"/>
  <c r="Q3" i="36"/>
  <c r="Y47" i="36"/>
  <c r="Y45" i="36"/>
  <c r="Y43" i="36"/>
  <c r="Y46" i="36"/>
  <c r="Y44" i="36"/>
  <c r="Y42" i="36"/>
  <c r="Y40" i="36"/>
  <c r="Y38" i="36"/>
  <c r="Y35" i="36"/>
  <c r="Y33" i="36"/>
  <c r="Y28" i="36"/>
  <c r="X49" i="36"/>
  <c r="Y49" i="36"/>
  <c r="X48" i="36"/>
  <c r="Y48" i="36"/>
  <c r="Y39" i="36"/>
  <c r="Y37" i="36"/>
  <c r="Y36" i="36"/>
  <c r="Y34" i="36"/>
  <c r="Y32" i="36"/>
  <c r="Y27" i="36"/>
  <c r="Y25" i="36"/>
  <c r="Y20" i="36"/>
  <c r="Y17" i="36"/>
  <c r="Y26" i="36"/>
  <c r="Y24" i="36"/>
  <c r="Y21" i="36"/>
  <c r="Y16" i="36"/>
  <c r="Y14" i="36"/>
  <c r="Y12" i="36"/>
  <c r="Y10" i="36"/>
  <c r="Y8" i="36"/>
  <c r="Y5" i="36"/>
  <c r="Y3" i="36"/>
  <c r="G3" i="36"/>
  <c r="C4" i="36"/>
  <c r="Y4" i="36"/>
  <c r="K5" i="36"/>
  <c r="U5" i="36"/>
  <c r="O6" i="36"/>
  <c r="Y9" i="36"/>
  <c r="U10" i="36"/>
  <c r="Q11" i="36"/>
  <c r="M12" i="36"/>
  <c r="I13" i="36"/>
  <c r="E14" i="36"/>
  <c r="W17" i="36"/>
  <c r="K20" i="36"/>
  <c r="K3" i="36"/>
  <c r="U3" i="36"/>
  <c r="G4" i="36"/>
  <c r="Q4" i="36"/>
  <c r="C5" i="36"/>
  <c r="M5" i="36"/>
  <c r="W5" i="36"/>
  <c r="E6" i="36"/>
  <c r="K6" i="36"/>
  <c r="U6" i="36"/>
  <c r="I7" i="36"/>
  <c r="Y11" i="36"/>
  <c r="Q13" i="36"/>
  <c r="I15" i="36"/>
  <c r="B18" i="36"/>
  <c r="C19" i="36"/>
  <c r="G21" i="36"/>
  <c r="N49" i="36"/>
  <c r="O49" i="36"/>
  <c r="O47" i="36"/>
  <c r="O45" i="36"/>
  <c r="O43" i="36"/>
  <c r="O44" i="36"/>
  <c r="O42" i="36"/>
  <c r="O40" i="36"/>
  <c r="O38" i="36"/>
  <c r="O35" i="36"/>
  <c r="O33" i="36"/>
  <c r="O46" i="36"/>
  <c r="O34" i="36"/>
  <c r="O28" i="36"/>
  <c r="O39" i="36"/>
  <c r="O32" i="36"/>
  <c r="O27" i="36"/>
  <c r="O25" i="36"/>
  <c r="O20" i="36"/>
  <c r="O37" i="36"/>
  <c r="O26" i="36"/>
  <c r="O15" i="36"/>
  <c r="O13" i="36"/>
  <c r="O11" i="36"/>
  <c r="O9" i="36"/>
  <c r="O7" i="36"/>
  <c r="O36" i="36"/>
  <c r="O24" i="36"/>
  <c r="O18" i="36"/>
  <c r="N51" i="36"/>
  <c r="O51" i="36"/>
  <c r="O17" i="36"/>
  <c r="O21" i="36"/>
  <c r="O16" i="36"/>
  <c r="O14" i="36"/>
  <c r="O12" i="36"/>
  <c r="O10" i="36"/>
  <c r="O8" i="36"/>
  <c r="O3" i="36"/>
  <c r="W4" i="36"/>
  <c r="C6" i="36"/>
  <c r="B49" i="36"/>
  <c r="B48" i="36"/>
  <c r="C46" i="36"/>
  <c r="C44" i="36"/>
  <c r="C45" i="36"/>
  <c r="C39" i="36"/>
  <c r="C37" i="36"/>
  <c r="C36" i="36"/>
  <c r="C34" i="36"/>
  <c r="C32" i="36"/>
  <c r="C43" i="36"/>
  <c r="C47" i="36"/>
  <c r="C42" i="36"/>
  <c r="C35" i="36"/>
  <c r="C26" i="36"/>
  <c r="C24" i="36"/>
  <c r="C21" i="36"/>
  <c r="C40" i="36"/>
  <c r="C33" i="36"/>
  <c r="C20" i="36"/>
  <c r="C17" i="36"/>
  <c r="C14" i="36"/>
  <c r="C12" i="36"/>
  <c r="C10" i="36"/>
  <c r="C8" i="36"/>
  <c r="C27" i="36"/>
  <c r="C16" i="36"/>
  <c r="C38" i="36"/>
  <c r="C28" i="36"/>
  <c r="C25" i="36"/>
  <c r="C15" i="36"/>
  <c r="C13" i="36"/>
  <c r="C11" i="36"/>
  <c r="C9" i="36"/>
  <c r="C7" i="36"/>
  <c r="J49" i="36"/>
  <c r="K49" i="36"/>
  <c r="J48" i="36"/>
  <c r="K48" i="36"/>
  <c r="K46" i="36"/>
  <c r="K44" i="36"/>
  <c r="K42" i="36"/>
  <c r="K43" i="36"/>
  <c r="K39" i="36"/>
  <c r="K37" i="36"/>
  <c r="K36" i="36"/>
  <c r="K34" i="36"/>
  <c r="K32" i="36"/>
  <c r="K47" i="36"/>
  <c r="K35" i="36"/>
  <c r="K40" i="36"/>
  <c r="K33" i="36"/>
  <c r="K28" i="36"/>
  <c r="K26" i="36"/>
  <c r="K24" i="36"/>
  <c r="K21" i="36"/>
  <c r="K45" i="36"/>
  <c r="K38" i="36"/>
  <c r="K27" i="36"/>
  <c r="K14" i="36"/>
  <c r="K12" i="36"/>
  <c r="K10" i="36"/>
  <c r="K8" i="36"/>
  <c r="K25" i="36"/>
  <c r="K17" i="36"/>
  <c r="K15" i="36"/>
  <c r="K13" i="36"/>
  <c r="K11" i="36"/>
  <c r="K9" i="36"/>
  <c r="K7" i="36"/>
  <c r="R49" i="36"/>
  <c r="S49" i="36"/>
  <c r="R48" i="36"/>
  <c r="S48" i="36"/>
  <c r="S46" i="36"/>
  <c r="S44" i="36"/>
  <c r="S42" i="36"/>
  <c r="S43" i="36"/>
  <c r="S47" i="36"/>
  <c r="S39" i="36"/>
  <c r="S37" i="36"/>
  <c r="S36" i="36"/>
  <c r="S34" i="36"/>
  <c r="S32" i="36"/>
  <c r="S45" i="36"/>
  <c r="S40" i="36"/>
  <c r="S33" i="36"/>
  <c r="S38" i="36"/>
  <c r="S26" i="36"/>
  <c r="S24" i="36"/>
  <c r="S21" i="36"/>
  <c r="S25" i="36"/>
  <c r="S17" i="36"/>
  <c r="S14" i="36"/>
  <c r="S12" i="36"/>
  <c r="S10" i="36"/>
  <c r="S8" i="36"/>
  <c r="S28" i="36"/>
  <c r="S16" i="36"/>
  <c r="S35" i="36"/>
  <c r="S20" i="36"/>
  <c r="S15" i="36"/>
  <c r="S13" i="36"/>
  <c r="S11" i="36"/>
  <c r="S9" i="36"/>
  <c r="S7" i="36"/>
  <c r="E46" i="36"/>
  <c r="E44" i="36"/>
  <c r="E42" i="36"/>
  <c r="E47" i="36"/>
  <c r="E45" i="36"/>
  <c r="E43" i="36"/>
  <c r="E39" i="36"/>
  <c r="E37" i="36"/>
  <c r="E36" i="36"/>
  <c r="E34" i="36"/>
  <c r="E32" i="36"/>
  <c r="D49" i="36"/>
  <c r="E49" i="36"/>
  <c r="D48" i="36"/>
  <c r="E48" i="36"/>
  <c r="E40" i="36"/>
  <c r="E38" i="36"/>
  <c r="E35" i="36"/>
  <c r="E33" i="36"/>
  <c r="E28" i="36"/>
  <c r="E26" i="36"/>
  <c r="E24" i="36"/>
  <c r="E21" i="36"/>
  <c r="E16" i="36"/>
  <c r="E27" i="36"/>
  <c r="E25" i="36"/>
  <c r="E20" i="36"/>
  <c r="E17" i="36"/>
  <c r="E15" i="36"/>
  <c r="E13" i="36"/>
  <c r="E11" i="36"/>
  <c r="E9" i="36"/>
  <c r="E7" i="36"/>
  <c r="E4" i="36"/>
  <c r="D18" i="36"/>
  <c r="E18" i="36"/>
  <c r="D51" i="36"/>
  <c r="E51" i="36"/>
  <c r="M46" i="36"/>
  <c r="M44" i="36"/>
  <c r="M42" i="36"/>
  <c r="M47" i="36"/>
  <c r="M45" i="36"/>
  <c r="M43" i="36"/>
  <c r="L49" i="36"/>
  <c r="M49" i="36"/>
  <c r="L48" i="36"/>
  <c r="M48" i="36"/>
  <c r="M39" i="36"/>
  <c r="M37" i="36"/>
  <c r="M36" i="36"/>
  <c r="M34" i="36"/>
  <c r="M32" i="36"/>
  <c r="M40" i="36"/>
  <c r="M38" i="36"/>
  <c r="M35" i="36"/>
  <c r="M33" i="36"/>
  <c r="M28" i="36"/>
  <c r="M26" i="36"/>
  <c r="M24" i="36"/>
  <c r="M21" i="36"/>
  <c r="M16" i="36"/>
  <c r="M27" i="36"/>
  <c r="M25" i="36"/>
  <c r="M20" i="36"/>
  <c r="M17" i="36"/>
  <c r="M15" i="36"/>
  <c r="M13" i="36"/>
  <c r="M11" i="36"/>
  <c r="M9" i="36"/>
  <c r="M7" i="36"/>
  <c r="M4" i="36"/>
  <c r="L18" i="36"/>
  <c r="M18" i="36"/>
  <c r="L50" i="36"/>
  <c r="M50" i="36"/>
  <c r="U46" i="36"/>
  <c r="U44" i="36"/>
  <c r="U42" i="36"/>
  <c r="U47" i="36"/>
  <c r="U45" i="36"/>
  <c r="U43" i="36"/>
  <c r="U39" i="36"/>
  <c r="U37" i="36"/>
  <c r="U36" i="36"/>
  <c r="U34" i="36"/>
  <c r="U32" i="36"/>
  <c r="T49" i="36"/>
  <c r="U49" i="36"/>
  <c r="T48" i="36"/>
  <c r="U48" i="36"/>
  <c r="U40" i="36"/>
  <c r="U38" i="36"/>
  <c r="U35" i="36"/>
  <c r="U33" i="36"/>
  <c r="U28" i="36"/>
  <c r="U26" i="36"/>
  <c r="U24" i="36"/>
  <c r="U21" i="36"/>
  <c r="U16" i="36"/>
  <c r="U27" i="36"/>
  <c r="U25" i="36"/>
  <c r="U20" i="36"/>
  <c r="U17" i="36"/>
  <c r="U15" i="36"/>
  <c r="U13" i="36"/>
  <c r="U11" i="36"/>
  <c r="U9" i="36"/>
  <c r="U7" i="36"/>
  <c r="U4" i="36"/>
  <c r="C3" i="36"/>
  <c r="M3" i="36"/>
  <c r="W3" i="36"/>
  <c r="I4" i="36"/>
  <c r="S4" i="36"/>
  <c r="E5" i="36"/>
  <c r="O5" i="36"/>
  <c r="G6" i="36"/>
  <c r="W6" i="36"/>
  <c r="Q7" i="36"/>
  <c r="M8" i="36"/>
  <c r="I9" i="36"/>
  <c r="E10" i="36"/>
  <c r="Y13" i="36"/>
  <c r="U14" i="36"/>
  <c r="Q15" i="36"/>
  <c r="J18" i="36"/>
  <c r="K18" i="36"/>
  <c r="J50" i="36"/>
  <c r="K50" i="36"/>
  <c r="W26" i="36"/>
  <c r="W34" i="36"/>
  <c r="E19" i="36"/>
  <c r="M19" i="36"/>
  <c r="U19" i="36"/>
  <c r="I19" i="36"/>
  <c r="Q19" i="36"/>
  <c r="Y19" i="36"/>
  <c r="C41" i="36"/>
  <c r="K41" i="36"/>
  <c r="S41" i="36"/>
  <c r="G19" i="36"/>
  <c r="K19" i="36"/>
  <c r="O19" i="36"/>
  <c r="S19" i="36"/>
  <c r="W19" i="36"/>
  <c r="E41" i="36"/>
  <c r="M41" i="36"/>
  <c r="U41" i="36"/>
  <c r="G41" i="36"/>
  <c r="O41" i="36"/>
  <c r="W41" i="36"/>
  <c r="I41" i="36"/>
  <c r="Q41" i="36"/>
  <c r="Y41" i="36"/>
  <c r="AD2" i="36"/>
  <c r="AD41" i="36"/>
  <c r="AD10" i="36"/>
  <c r="AD38" i="36"/>
  <c r="AD6" i="36"/>
  <c r="AD16" i="36"/>
  <c r="AD15" i="36"/>
  <c r="AD37" i="36"/>
  <c r="AD43" i="36"/>
  <c r="AD8" i="36"/>
  <c r="AD7" i="36"/>
  <c r="AD34" i="36"/>
  <c r="AD35" i="36"/>
  <c r="AD3" i="36"/>
  <c r="AH3" i="36"/>
  <c r="AD9" i="36"/>
  <c r="AD25" i="36"/>
  <c r="AD5" i="36"/>
  <c r="AD4" i="36"/>
  <c r="AD26" i="36"/>
  <c r="AD21" i="36"/>
  <c r="AD44" i="36"/>
  <c r="AD45" i="36"/>
  <c r="AF53" i="36"/>
  <c r="AD19" i="36"/>
  <c r="AD12" i="36"/>
  <c r="AD17" i="36"/>
  <c r="AD11" i="36"/>
  <c r="AD39" i="36"/>
  <c r="AD27" i="36"/>
  <c r="AD28" i="36"/>
  <c r="AD40" i="36"/>
  <c r="AD47" i="36"/>
  <c r="AD53" i="36"/>
  <c r="AD14" i="36"/>
  <c r="AD32" i="36"/>
  <c r="AD13" i="36"/>
  <c r="AD42" i="36"/>
  <c r="AD36" i="36"/>
  <c r="AD33" i="36"/>
  <c r="AD46" i="36"/>
  <c r="AD31" i="36"/>
  <c r="AD52" i="36"/>
  <c r="AD29" i="36"/>
  <c r="AD24" i="36"/>
  <c r="AD23" i="36"/>
  <c r="AD30" i="36"/>
  <c r="AH5" i="36"/>
  <c r="AH4" i="36"/>
  <c r="X51" i="36"/>
  <c r="Y51" i="36"/>
  <c r="X50" i="36"/>
  <c r="Y50" i="36"/>
  <c r="R51" i="36"/>
  <c r="S51" i="36"/>
  <c r="F50" i="36"/>
  <c r="G50" i="36"/>
  <c r="D50" i="36"/>
  <c r="E50" i="36"/>
  <c r="N50" i="36"/>
  <c r="O50" i="36"/>
  <c r="L51" i="36"/>
  <c r="M51" i="36"/>
  <c r="J51" i="36"/>
  <c r="K51" i="36"/>
  <c r="V50" i="36"/>
  <c r="W50" i="36"/>
  <c r="P50" i="36"/>
  <c r="Q50" i="36"/>
  <c r="T51" i="36"/>
  <c r="U51" i="36"/>
  <c r="C48" i="36"/>
  <c r="AD48" i="36"/>
  <c r="C18" i="36"/>
  <c r="AD18" i="36"/>
  <c r="R50" i="36"/>
  <c r="S50" i="36"/>
  <c r="H50" i="36"/>
  <c r="I50" i="36"/>
  <c r="C49" i="36"/>
  <c r="AD49" i="36"/>
  <c r="AG47" i="36"/>
  <c r="AG45" i="36"/>
  <c r="AG16" i="36"/>
  <c r="AG25" i="36"/>
  <c r="AG43" i="36"/>
  <c r="AG27" i="36"/>
  <c r="AG33" i="36"/>
  <c r="AE12" i="36"/>
  <c r="AE29" i="36"/>
  <c r="AE27" i="36"/>
  <c r="AE26" i="36"/>
  <c r="AE46" i="36"/>
  <c r="AE13" i="36"/>
  <c r="AE32" i="36"/>
  <c r="AE28" i="36"/>
  <c r="AE40" i="36"/>
  <c r="AE24" i="36"/>
  <c r="AE49" i="36"/>
  <c r="AE18" i="36"/>
  <c r="AE19" i="36"/>
  <c r="AE31" i="36"/>
  <c r="AE42" i="36"/>
  <c r="AE44" i="36"/>
  <c r="AE5" i="36"/>
  <c r="AE35" i="36"/>
  <c r="AE43" i="36"/>
  <c r="AE6" i="36"/>
  <c r="AE47" i="36"/>
  <c r="AE39" i="36"/>
  <c r="AE21" i="36"/>
  <c r="AE37" i="36"/>
  <c r="AE38" i="36"/>
  <c r="AE30" i="36"/>
  <c r="AE3" i="36"/>
  <c r="AE16" i="36"/>
  <c r="AE20" i="36"/>
  <c r="AE48" i="36"/>
  <c r="AH2" i="36"/>
  <c r="AE23" i="36"/>
  <c r="AE33" i="36"/>
  <c r="AE11" i="36"/>
  <c r="AE34" i="36"/>
  <c r="AE10" i="36"/>
  <c r="AE25" i="36"/>
  <c r="AE45" i="36"/>
  <c r="AE36" i="36"/>
  <c r="AE41" i="36"/>
  <c r="AF5" i="36"/>
  <c r="AE15" i="36"/>
  <c r="AE4" i="36"/>
  <c r="AE7" i="36"/>
  <c r="AE8" i="36"/>
  <c r="AE9" i="36"/>
  <c r="AE14" i="36"/>
  <c r="AE17" i="36"/>
  <c r="AF2" i="36"/>
  <c r="AG4" i="36"/>
  <c r="AG29" i="36"/>
  <c r="AG46" i="36"/>
  <c r="AG30" i="36"/>
  <c r="AF6" i="36"/>
  <c r="AF48" i="36"/>
  <c r="AG31" i="36"/>
  <c r="AG44" i="36"/>
  <c r="AG26" i="36"/>
  <c r="AG13" i="36"/>
  <c r="AG9" i="36"/>
  <c r="AG36" i="36"/>
  <c r="AG11" i="36"/>
  <c r="AG14" i="36"/>
  <c r="AG20" i="36"/>
  <c r="AG15" i="36"/>
  <c r="AG40" i="36"/>
  <c r="AG21" i="36"/>
  <c r="AG38" i="36"/>
  <c r="AG35" i="36"/>
  <c r="AG28" i="36"/>
  <c r="AG37" i="36"/>
  <c r="AG34" i="36"/>
  <c r="AG7" i="36"/>
  <c r="AG10" i="36"/>
  <c r="AG42" i="36"/>
  <c r="AG32" i="36"/>
  <c r="AG8" i="36"/>
  <c r="AG12" i="36"/>
  <c r="AG39" i="36"/>
  <c r="AG17" i="36"/>
  <c r="AG23" i="36"/>
  <c r="AG22" i="36"/>
  <c r="AG24" i="36"/>
  <c r="B51" i="36"/>
  <c r="B50" i="36"/>
  <c r="AG5" i="36"/>
  <c r="AF18" i="36"/>
  <c r="AF51" i="36"/>
  <c r="AG51" i="36" s="1"/>
  <c r="AG3" i="36"/>
  <c r="AG6" i="36"/>
  <c r="AF49" i="36"/>
  <c r="AG49" i="36"/>
  <c r="AF50" i="36"/>
  <c r="AG50" i="36"/>
  <c r="C50" i="36"/>
  <c r="AD50" i="36"/>
  <c r="AE50" i="36"/>
  <c r="C51" i="36"/>
  <c r="AD51" i="36"/>
  <c r="AE51" i="36"/>
  <c r="V69" i="24"/>
  <c r="T69" i="24"/>
  <c r="U69" i="24"/>
  <c r="R69" i="24"/>
  <c r="S69" i="24"/>
  <c r="P69" i="24"/>
  <c r="Q69" i="24"/>
  <c r="N69" i="24"/>
  <c r="O69" i="24"/>
  <c r="L69" i="24"/>
  <c r="M69" i="24"/>
  <c r="J69" i="24"/>
  <c r="H69" i="24"/>
  <c r="I69" i="24"/>
  <c r="F69" i="24"/>
  <c r="G69" i="24"/>
  <c r="T3" i="24"/>
  <c r="T17" i="24"/>
  <c r="U17" i="24"/>
  <c r="T18" i="24"/>
  <c r="K52" i="24"/>
  <c r="I60" i="24"/>
  <c r="G60" i="24"/>
  <c r="E60" i="24"/>
  <c r="I52" i="24"/>
  <c r="C80" i="24"/>
  <c r="C79" i="24"/>
  <c r="C78" i="24"/>
  <c r="C77" i="24"/>
  <c r="C76" i="24"/>
  <c r="C75" i="24"/>
  <c r="C74" i="24"/>
  <c r="C73" i="24"/>
  <c r="C72" i="24"/>
  <c r="C71" i="24"/>
  <c r="C70" i="24"/>
  <c r="B69" i="24"/>
  <c r="C69" i="24"/>
  <c r="C68" i="24"/>
  <c r="C67" i="24"/>
  <c r="C66" i="24"/>
  <c r="C65" i="24"/>
  <c r="C64" i="24"/>
  <c r="C63" i="24"/>
  <c r="C62" i="24"/>
  <c r="C61" i="24"/>
  <c r="C60" i="24"/>
  <c r="C59" i="24"/>
  <c r="C58" i="24"/>
  <c r="C57" i="24"/>
  <c r="C56" i="24"/>
  <c r="C51" i="24"/>
  <c r="C50" i="24"/>
  <c r="C33" i="24"/>
  <c r="C54" i="24"/>
  <c r="C53" i="24"/>
  <c r="C52" i="24"/>
  <c r="C49" i="24"/>
  <c r="C47" i="24"/>
  <c r="C46" i="24"/>
  <c r="C44" i="24"/>
  <c r="C45" i="24"/>
  <c r="C43" i="24"/>
  <c r="C42" i="24"/>
  <c r="C41" i="24"/>
  <c r="C40" i="24"/>
  <c r="C39" i="24"/>
  <c r="C38" i="24"/>
  <c r="C37" i="24"/>
  <c r="C36" i="24"/>
  <c r="C35" i="24"/>
  <c r="C34" i="24"/>
  <c r="C28" i="24"/>
  <c r="C31" i="24"/>
  <c r="C30" i="24"/>
  <c r="C29" i="24"/>
  <c r="C27" i="24"/>
  <c r="C26" i="24"/>
  <c r="C25" i="24"/>
  <c r="C24" i="24"/>
  <c r="C23" i="24"/>
  <c r="C22" i="24"/>
  <c r="C21" i="24"/>
  <c r="C20" i="24"/>
  <c r="C19" i="24"/>
  <c r="C16" i="24"/>
  <c r="C15" i="24"/>
  <c r="C14" i="24"/>
  <c r="C13" i="24"/>
  <c r="C7" i="24"/>
  <c r="C6" i="24"/>
  <c r="C5" i="24"/>
  <c r="C8" i="24"/>
  <c r="C12" i="24"/>
  <c r="C11" i="24"/>
  <c r="C10" i="24"/>
  <c r="C9" i="24"/>
  <c r="C4" i="24"/>
  <c r="B3" i="24"/>
  <c r="C3" i="24"/>
  <c r="AA67" i="24"/>
  <c r="Y67" i="24"/>
  <c r="W67" i="24"/>
  <c r="U67" i="24"/>
  <c r="S67" i="24"/>
  <c r="Q67" i="24"/>
  <c r="O67" i="24"/>
  <c r="M67" i="24"/>
  <c r="K67" i="24"/>
  <c r="I67" i="24"/>
  <c r="G67" i="24"/>
  <c r="E67" i="24"/>
  <c r="AA66" i="24"/>
  <c r="Y66" i="24"/>
  <c r="W66" i="24"/>
  <c r="U66" i="24"/>
  <c r="S66" i="24"/>
  <c r="Q66" i="24"/>
  <c r="O66" i="24"/>
  <c r="M66" i="24"/>
  <c r="K66" i="24"/>
  <c r="I66" i="24"/>
  <c r="G66" i="24"/>
  <c r="E66" i="24"/>
  <c r="AA65" i="24"/>
  <c r="Y65" i="24"/>
  <c r="W65" i="24"/>
  <c r="U65" i="24"/>
  <c r="S65" i="24"/>
  <c r="Q65" i="24"/>
  <c r="O65" i="24"/>
  <c r="M65" i="24"/>
  <c r="K65" i="24"/>
  <c r="I65" i="24"/>
  <c r="G65" i="24"/>
  <c r="E65" i="24"/>
  <c r="AA64" i="24"/>
  <c r="Y64" i="24"/>
  <c r="W64" i="24"/>
  <c r="U64" i="24"/>
  <c r="S64" i="24"/>
  <c r="Q64" i="24"/>
  <c r="O64" i="24"/>
  <c r="M64" i="24"/>
  <c r="K64" i="24"/>
  <c r="I64" i="24"/>
  <c r="G64" i="24"/>
  <c r="E64" i="24"/>
  <c r="AA63" i="24"/>
  <c r="Y63" i="24"/>
  <c r="W63" i="24"/>
  <c r="U63" i="24"/>
  <c r="S63" i="24"/>
  <c r="Q63" i="24"/>
  <c r="O63" i="24"/>
  <c r="M63" i="24"/>
  <c r="K63" i="24"/>
  <c r="I63" i="24"/>
  <c r="G63" i="24"/>
  <c r="E63" i="24"/>
  <c r="AA62" i="24"/>
  <c r="Y62" i="24"/>
  <c r="W62" i="24"/>
  <c r="U62" i="24"/>
  <c r="S62" i="24"/>
  <c r="Q62" i="24"/>
  <c r="O62" i="24"/>
  <c r="M62" i="24"/>
  <c r="K62" i="24"/>
  <c r="I62" i="24"/>
  <c r="G58" i="24"/>
  <c r="E58" i="24"/>
  <c r="H3" i="24"/>
  <c r="I3" i="24"/>
  <c r="F18" i="24"/>
  <c r="G18" i="24"/>
  <c r="E69" i="24"/>
  <c r="D3" i="24"/>
  <c r="D82" i="24"/>
  <c r="E82" i="24"/>
  <c r="G37" i="24"/>
  <c r="G36" i="24"/>
  <c r="G56" i="24"/>
  <c r="F3" i="24"/>
  <c r="G3" i="24"/>
  <c r="AA80" i="24"/>
  <c r="Y80" i="24"/>
  <c r="W80" i="24"/>
  <c r="U80" i="24"/>
  <c r="S80" i="24"/>
  <c r="Q80" i="24"/>
  <c r="O80" i="24"/>
  <c r="M80" i="24"/>
  <c r="K80" i="24"/>
  <c r="I80" i="24"/>
  <c r="G80" i="24"/>
  <c r="E80" i="24"/>
  <c r="AA79" i="24"/>
  <c r="Y79" i="24"/>
  <c r="W79" i="24"/>
  <c r="U79" i="24"/>
  <c r="S79" i="24"/>
  <c r="Q79" i="24"/>
  <c r="O79" i="24"/>
  <c r="M79" i="24"/>
  <c r="K79" i="24"/>
  <c r="I79" i="24"/>
  <c r="G79" i="24"/>
  <c r="E79" i="24"/>
  <c r="AA78" i="24"/>
  <c r="Y78" i="24"/>
  <c r="W78" i="24"/>
  <c r="U78" i="24"/>
  <c r="S78" i="24"/>
  <c r="Q78" i="24"/>
  <c r="O78" i="24"/>
  <c r="M78" i="24"/>
  <c r="K78" i="24"/>
  <c r="I78" i="24"/>
  <c r="G78" i="24"/>
  <c r="E78" i="24"/>
  <c r="AA77" i="24"/>
  <c r="Y77" i="24"/>
  <c r="W77" i="24"/>
  <c r="U77" i="24"/>
  <c r="S77" i="24"/>
  <c r="Q77" i="24"/>
  <c r="O77" i="24"/>
  <c r="M77" i="24"/>
  <c r="K77" i="24"/>
  <c r="I77" i="24"/>
  <c r="G77" i="24"/>
  <c r="E77" i="24"/>
  <c r="AA76" i="24"/>
  <c r="Y76" i="24"/>
  <c r="W76" i="24"/>
  <c r="U76" i="24"/>
  <c r="S76" i="24"/>
  <c r="Q76" i="24"/>
  <c r="O76" i="24"/>
  <c r="M76" i="24"/>
  <c r="K76" i="24"/>
  <c r="I76" i="24"/>
  <c r="G76" i="24"/>
  <c r="E76" i="24"/>
  <c r="AA75" i="24"/>
  <c r="Y75" i="24"/>
  <c r="W75" i="24"/>
  <c r="U75" i="24"/>
  <c r="S75" i="24"/>
  <c r="Q75" i="24"/>
  <c r="O75" i="24"/>
  <c r="M75" i="24"/>
  <c r="K75" i="24"/>
  <c r="I75" i="24"/>
  <c r="G75" i="24"/>
  <c r="E75" i="24"/>
  <c r="AA74" i="24"/>
  <c r="Y74" i="24"/>
  <c r="W74" i="24"/>
  <c r="U74" i="24"/>
  <c r="S74" i="24"/>
  <c r="Q74" i="24"/>
  <c r="O74" i="24"/>
  <c r="M74" i="24"/>
  <c r="K74" i="24"/>
  <c r="I74" i="24"/>
  <c r="G74" i="24"/>
  <c r="E74" i="24"/>
  <c r="AA73" i="24"/>
  <c r="Y73" i="24"/>
  <c r="W73" i="24"/>
  <c r="U73" i="24"/>
  <c r="S73" i="24"/>
  <c r="Q73" i="24"/>
  <c r="O73" i="24"/>
  <c r="M73" i="24"/>
  <c r="K73" i="24"/>
  <c r="I73" i="24"/>
  <c r="G73" i="24"/>
  <c r="E73" i="24"/>
  <c r="AA72" i="24"/>
  <c r="Y72" i="24"/>
  <c r="W72" i="24"/>
  <c r="U72" i="24"/>
  <c r="S72" i="24"/>
  <c r="Q72" i="24"/>
  <c r="O72" i="24"/>
  <c r="M72" i="24"/>
  <c r="K72" i="24"/>
  <c r="I72" i="24"/>
  <c r="G72" i="24"/>
  <c r="E72" i="24"/>
  <c r="AA71" i="24"/>
  <c r="Y71" i="24"/>
  <c r="W71" i="24"/>
  <c r="U71" i="24"/>
  <c r="S71" i="24"/>
  <c r="Q71" i="24"/>
  <c r="O71" i="24"/>
  <c r="M71" i="24"/>
  <c r="K71" i="24"/>
  <c r="I71" i="24"/>
  <c r="G71" i="24"/>
  <c r="E71" i="24"/>
  <c r="AA70" i="24"/>
  <c r="Y70" i="24"/>
  <c r="W70" i="24"/>
  <c r="U70" i="24"/>
  <c r="S70" i="24"/>
  <c r="Q70" i="24"/>
  <c r="O70" i="24"/>
  <c r="M70" i="24"/>
  <c r="K70" i="24"/>
  <c r="I70" i="24"/>
  <c r="G70" i="24"/>
  <c r="E70" i="24"/>
  <c r="Z69" i="24"/>
  <c r="X69" i="24"/>
  <c r="Y69" i="24"/>
  <c r="AA68" i="24"/>
  <c r="Y68" i="24"/>
  <c r="W68" i="24"/>
  <c r="U68" i="24"/>
  <c r="S68" i="24"/>
  <c r="Q68" i="24"/>
  <c r="O68" i="24"/>
  <c r="M68" i="24"/>
  <c r="K68" i="24"/>
  <c r="I68" i="24"/>
  <c r="G38" i="24"/>
  <c r="E38" i="24"/>
  <c r="AA61" i="24"/>
  <c r="Y61" i="24"/>
  <c r="W61" i="24"/>
  <c r="U61" i="24"/>
  <c r="S61" i="24"/>
  <c r="Q61" i="24"/>
  <c r="O61" i="24"/>
  <c r="M61" i="24"/>
  <c r="K61" i="24"/>
  <c r="I61" i="24"/>
  <c r="G45" i="24"/>
  <c r="E45" i="24"/>
  <c r="AA60" i="24"/>
  <c r="Y60" i="24"/>
  <c r="W60" i="24"/>
  <c r="U60" i="24"/>
  <c r="S60" i="24"/>
  <c r="Q60" i="24"/>
  <c r="O60" i="24"/>
  <c r="M60" i="24"/>
  <c r="K60" i="24"/>
  <c r="G68" i="24"/>
  <c r="E68" i="24"/>
  <c r="AA59" i="24"/>
  <c r="Y59" i="24"/>
  <c r="W59" i="24"/>
  <c r="U59" i="24"/>
  <c r="S59" i="24"/>
  <c r="Q59" i="24"/>
  <c r="O59" i="24"/>
  <c r="M59" i="24"/>
  <c r="K59" i="24"/>
  <c r="I59" i="24"/>
  <c r="G28" i="24"/>
  <c r="E28" i="24"/>
  <c r="AA58" i="24"/>
  <c r="Y58" i="24"/>
  <c r="W58" i="24"/>
  <c r="U58" i="24"/>
  <c r="S58" i="24"/>
  <c r="Q58" i="24"/>
  <c r="O58" i="24"/>
  <c r="M58" i="24"/>
  <c r="K58" i="24"/>
  <c r="I58" i="24"/>
  <c r="G22" i="24"/>
  <c r="E22" i="24"/>
  <c r="AA57" i="24"/>
  <c r="Y57" i="24"/>
  <c r="W57" i="24"/>
  <c r="U57" i="24"/>
  <c r="S57" i="24"/>
  <c r="Q57" i="24"/>
  <c r="O57" i="24"/>
  <c r="M57" i="24"/>
  <c r="K57" i="24"/>
  <c r="I57" i="24"/>
  <c r="G31" i="24"/>
  <c r="E31" i="24"/>
  <c r="AA56" i="24"/>
  <c r="Y56" i="24"/>
  <c r="W56" i="24"/>
  <c r="U56" i="24"/>
  <c r="S56" i="24"/>
  <c r="Q56" i="24"/>
  <c r="O56" i="24"/>
  <c r="M56" i="24"/>
  <c r="K56" i="24"/>
  <c r="I56" i="24"/>
  <c r="G20" i="24"/>
  <c r="E20" i="24"/>
  <c r="AA55" i="24"/>
  <c r="Y55" i="24"/>
  <c r="W55" i="24"/>
  <c r="U55" i="24"/>
  <c r="S55" i="24"/>
  <c r="Q55" i="24"/>
  <c r="O55" i="24"/>
  <c r="M55" i="24"/>
  <c r="K55" i="24"/>
  <c r="I55" i="24"/>
  <c r="G57" i="24"/>
  <c r="E57" i="24"/>
  <c r="AA54" i="24"/>
  <c r="Y54" i="24"/>
  <c r="W54" i="24"/>
  <c r="U54" i="24"/>
  <c r="S54" i="24"/>
  <c r="Q54" i="24"/>
  <c r="O54" i="24"/>
  <c r="M54" i="24"/>
  <c r="K54" i="24"/>
  <c r="I54" i="24"/>
  <c r="G26" i="24"/>
  <c r="E26" i="24"/>
  <c r="AA53" i="24"/>
  <c r="Y53" i="24"/>
  <c r="W53" i="24"/>
  <c r="U53" i="24"/>
  <c r="S53" i="24"/>
  <c r="Q53" i="24"/>
  <c r="O53" i="24"/>
  <c r="M53" i="24"/>
  <c r="K53" i="24"/>
  <c r="I53" i="24"/>
  <c r="G61" i="24"/>
  <c r="E61" i="24"/>
  <c r="AA52" i="24"/>
  <c r="Y52" i="24"/>
  <c r="W52" i="24"/>
  <c r="U52" i="24"/>
  <c r="S52" i="24"/>
  <c r="Q52" i="24"/>
  <c r="O52" i="24"/>
  <c r="M52" i="24"/>
  <c r="E56" i="24"/>
  <c r="AA51" i="24"/>
  <c r="Y51" i="24"/>
  <c r="W51" i="24"/>
  <c r="U51" i="24"/>
  <c r="S51" i="24"/>
  <c r="Q51" i="24"/>
  <c r="O51" i="24"/>
  <c r="M51" i="24"/>
  <c r="K51" i="24"/>
  <c r="I51" i="24"/>
  <c r="G55" i="24"/>
  <c r="E55" i="24"/>
  <c r="AA50" i="24"/>
  <c r="Y50" i="24"/>
  <c r="W50" i="24"/>
  <c r="U50" i="24"/>
  <c r="S50" i="24"/>
  <c r="Q50" i="24"/>
  <c r="O50" i="24"/>
  <c r="M50" i="24"/>
  <c r="K50" i="24"/>
  <c r="I50" i="24"/>
  <c r="G54" i="24"/>
  <c r="E54" i="24"/>
  <c r="AA49" i="24"/>
  <c r="Y49" i="24"/>
  <c r="W49" i="24"/>
  <c r="U49" i="24"/>
  <c r="S49" i="24"/>
  <c r="Q49" i="24"/>
  <c r="O49" i="24"/>
  <c r="M49" i="24"/>
  <c r="K49" i="24"/>
  <c r="I49" i="24"/>
  <c r="G53" i="24"/>
  <c r="E53" i="24"/>
  <c r="AA48" i="24"/>
  <c r="Y48" i="24"/>
  <c r="W48" i="24"/>
  <c r="U48" i="24"/>
  <c r="S48" i="24"/>
  <c r="Q48" i="24"/>
  <c r="O48" i="24"/>
  <c r="M48" i="24"/>
  <c r="K48" i="24"/>
  <c r="I48" i="24"/>
  <c r="G52" i="24"/>
  <c r="AA47" i="24"/>
  <c r="Y47" i="24"/>
  <c r="W47" i="24"/>
  <c r="U47" i="24"/>
  <c r="S47" i="24"/>
  <c r="Q47" i="24"/>
  <c r="O47" i="24"/>
  <c r="M47" i="24"/>
  <c r="K47" i="24"/>
  <c r="I47" i="24"/>
  <c r="G51" i="24"/>
  <c r="E51" i="24"/>
  <c r="AA46" i="24"/>
  <c r="Y46" i="24"/>
  <c r="W46" i="24"/>
  <c r="U46" i="24"/>
  <c r="S46" i="24"/>
  <c r="Q46" i="24"/>
  <c r="O46" i="24"/>
  <c r="M46" i="24"/>
  <c r="K46" i="24"/>
  <c r="I46" i="24"/>
  <c r="G62" i="24"/>
  <c r="E62" i="24"/>
  <c r="AA45" i="24"/>
  <c r="Y45" i="24"/>
  <c r="W45" i="24"/>
  <c r="U45" i="24"/>
  <c r="S45" i="24"/>
  <c r="Q45" i="24"/>
  <c r="O45" i="24"/>
  <c r="M45" i="24"/>
  <c r="K45" i="24"/>
  <c r="I45" i="24"/>
  <c r="G50" i="24"/>
  <c r="E50" i="24"/>
  <c r="AA44" i="24"/>
  <c r="Y44" i="24"/>
  <c r="W44" i="24"/>
  <c r="U44" i="24"/>
  <c r="S44" i="24"/>
  <c r="Q44" i="24"/>
  <c r="O44" i="24"/>
  <c r="M44" i="24"/>
  <c r="K44" i="24"/>
  <c r="I44" i="24"/>
  <c r="G49" i="24"/>
  <c r="E49" i="24"/>
  <c r="AA43" i="24"/>
  <c r="Y43" i="24"/>
  <c r="W43" i="24"/>
  <c r="U43" i="24"/>
  <c r="S43" i="24"/>
  <c r="Q43" i="24"/>
  <c r="O43" i="24"/>
  <c r="M43" i="24"/>
  <c r="K43" i="24"/>
  <c r="I43" i="24"/>
  <c r="G48" i="24"/>
  <c r="E48" i="24"/>
  <c r="AA42" i="24"/>
  <c r="Y42" i="24"/>
  <c r="W42" i="24"/>
  <c r="U42" i="24"/>
  <c r="S42" i="24"/>
  <c r="Q42" i="24"/>
  <c r="O42" i="24"/>
  <c r="M42" i="24"/>
  <c r="K42" i="24"/>
  <c r="I42" i="24"/>
  <c r="G47" i="24"/>
  <c r="E47" i="24"/>
  <c r="AA41" i="24"/>
  <c r="Y41" i="24"/>
  <c r="W41" i="24"/>
  <c r="U41" i="24"/>
  <c r="S41" i="24"/>
  <c r="Q41" i="24"/>
  <c r="O41" i="24"/>
  <c r="M41" i="24"/>
  <c r="K41" i="24"/>
  <c r="I41" i="24"/>
  <c r="G46" i="24"/>
  <c r="E46" i="24"/>
  <c r="AA40" i="24"/>
  <c r="Y40" i="24"/>
  <c r="W40" i="24"/>
  <c r="U40" i="24"/>
  <c r="S40" i="24"/>
  <c r="Q40" i="24"/>
  <c r="O40" i="24"/>
  <c r="M40" i="24"/>
  <c r="K40" i="24"/>
  <c r="I40" i="24"/>
  <c r="G44" i="24"/>
  <c r="E44" i="24"/>
  <c r="AA39" i="24"/>
  <c r="Y39" i="24"/>
  <c r="W39" i="24"/>
  <c r="U39" i="24"/>
  <c r="S39" i="24"/>
  <c r="Q39" i="24"/>
  <c r="O39" i="24"/>
  <c r="M39" i="24"/>
  <c r="K39" i="24"/>
  <c r="I39" i="24"/>
  <c r="G43" i="24"/>
  <c r="E43" i="24"/>
  <c r="AA38" i="24"/>
  <c r="Y38" i="24"/>
  <c r="W38" i="24"/>
  <c r="U38" i="24"/>
  <c r="S38" i="24"/>
  <c r="Q38" i="24"/>
  <c r="O38" i="24"/>
  <c r="M38" i="24"/>
  <c r="K38" i="24"/>
  <c r="I38" i="24"/>
  <c r="G42" i="24"/>
  <c r="E42" i="24"/>
  <c r="AA37" i="24"/>
  <c r="Y37" i="24"/>
  <c r="W37" i="24"/>
  <c r="U37" i="24"/>
  <c r="S37" i="24"/>
  <c r="Q37" i="24"/>
  <c r="O37" i="24"/>
  <c r="M37" i="24"/>
  <c r="K37" i="24"/>
  <c r="I37" i="24"/>
  <c r="G41" i="24"/>
  <c r="E41" i="24"/>
  <c r="AA36" i="24"/>
  <c r="Y36" i="24"/>
  <c r="W36" i="24"/>
  <c r="U36" i="24"/>
  <c r="S36" i="24"/>
  <c r="Q36" i="24"/>
  <c r="O36" i="24"/>
  <c r="M36" i="24"/>
  <c r="K36" i="24"/>
  <c r="I36" i="24"/>
  <c r="G40" i="24"/>
  <c r="E40" i="24"/>
  <c r="AA35" i="24"/>
  <c r="Y35" i="24"/>
  <c r="W35" i="24"/>
  <c r="U35" i="24"/>
  <c r="S35" i="24"/>
  <c r="Q35" i="24"/>
  <c r="O35" i="24"/>
  <c r="M35" i="24"/>
  <c r="K35" i="24"/>
  <c r="I35" i="24"/>
  <c r="G39" i="24"/>
  <c r="E39" i="24"/>
  <c r="AA34" i="24"/>
  <c r="Y34" i="24"/>
  <c r="W34" i="24"/>
  <c r="U34" i="24"/>
  <c r="S34" i="24"/>
  <c r="Q34" i="24"/>
  <c r="O34" i="24"/>
  <c r="M34" i="24"/>
  <c r="K34" i="24"/>
  <c r="I34" i="24"/>
  <c r="E37" i="24"/>
  <c r="AA33" i="24"/>
  <c r="Y33" i="24"/>
  <c r="W33" i="24"/>
  <c r="U33" i="24"/>
  <c r="S33" i="24"/>
  <c r="Q33" i="24"/>
  <c r="O33" i="24"/>
  <c r="M33" i="24"/>
  <c r="K33" i="24"/>
  <c r="I33" i="24"/>
  <c r="E36" i="24"/>
  <c r="AA31" i="24"/>
  <c r="Y31" i="24"/>
  <c r="W31" i="24"/>
  <c r="U31" i="24"/>
  <c r="S31" i="24"/>
  <c r="Q31" i="24"/>
  <c r="O31" i="24"/>
  <c r="M31" i="24"/>
  <c r="K31" i="24"/>
  <c r="I31" i="24"/>
  <c r="G35" i="24"/>
  <c r="E35" i="24"/>
  <c r="AA30" i="24"/>
  <c r="Y30" i="24"/>
  <c r="W30" i="24"/>
  <c r="U30" i="24"/>
  <c r="S30" i="24"/>
  <c r="Q30" i="24"/>
  <c r="O30" i="24"/>
  <c r="M30" i="24"/>
  <c r="K30" i="24"/>
  <c r="I30" i="24"/>
  <c r="G34" i="24"/>
  <c r="E34" i="24"/>
  <c r="AA29" i="24"/>
  <c r="Y29" i="24"/>
  <c r="W29" i="24"/>
  <c r="U29" i="24"/>
  <c r="S29" i="24"/>
  <c r="Q29" i="24"/>
  <c r="O29" i="24"/>
  <c r="M29" i="24"/>
  <c r="K29" i="24"/>
  <c r="I29" i="24"/>
  <c r="G33" i="24"/>
  <c r="E33" i="24"/>
  <c r="AA28" i="24"/>
  <c r="Y28" i="24"/>
  <c r="W28" i="24"/>
  <c r="U28" i="24"/>
  <c r="S28" i="24"/>
  <c r="Q28" i="24"/>
  <c r="O28" i="24"/>
  <c r="M28" i="24"/>
  <c r="K28" i="24"/>
  <c r="I28" i="24"/>
  <c r="G30" i="24"/>
  <c r="E30" i="24"/>
  <c r="AA27" i="24"/>
  <c r="Y27" i="24"/>
  <c r="W27" i="24"/>
  <c r="U27" i="24"/>
  <c r="S27" i="24"/>
  <c r="Q27" i="24"/>
  <c r="O27" i="24"/>
  <c r="M27" i="24"/>
  <c r="K27" i="24"/>
  <c r="I27" i="24"/>
  <c r="G29" i="24"/>
  <c r="E29" i="24"/>
  <c r="AA26" i="24"/>
  <c r="Y26" i="24"/>
  <c r="W26" i="24"/>
  <c r="U26" i="24"/>
  <c r="S26" i="24"/>
  <c r="Q26" i="24"/>
  <c r="O26" i="24"/>
  <c r="M26" i="24"/>
  <c r="K26" i="24"/>
  <c r="I26" i="24"/>
  <c r="G27" i="24"/>
  <c r="E27" i="24"/>
  <c r="AA25" i="24"/>
  <c r="Y25" i="24"/>
  <c r="W25" i="24"/>
  <c r="U25" i="24"/>
  <c r="S25" i="24"/>
  <c r="Q25" i="24"/>
  <c r="O25" i="24"/>
  <c r="M25" i="24"/>
  <c r="K25" i="24"/>
  <c r="I25" i="24"/>
  <c r="AA24" i="24"/>
  <c r="Y24" i="24"/>
  <c r="W24" i="24"/>
  <c r="U24" i="24"/>
  <c r="S24" i="24"/>
  <c r="Q24" i="24"/>
  <c r="O24" i="24"/>
  <c r="M24" i="24"/>
  <c r="K24" i="24"/>
  <c r="I24" i="24"/>
  <c r="G25" i="24"/>
  <c r="E25" i="24"/>
  <c r="AA23" i="24"/>
  <c r="Y23" i="24"/>
  <c r="W23" i="24"/>
  <c r="U23" i="24"/>
  <c r="S23" i="24"/>
  <c r="Q23" i="24"/>
  <c r="O23" i="24"/>
  <c r="M23" i="24"/>
  <c r="K23" i="24"/>
  <c r="I23" i="24"/>
  <c r="G24" i="24"/>
  <c r="E24" i="24"/>
  <c r="AA22" i="24"/>
  <c r="Y22" i="24"/>
  <c r="W22" i="24"/>
  <c r="U22" i="24"/>
  <c r="S22" i="24"/>
  <c r="Q22" i="24"/>
  <c r="O22" i="24"/>
  <c r="M22" i="24"/>
  <c r="K22" i="24"/>
  <c r="I22" i="24"/>
  <c r="G59" i="24"/>
  <c r="E59" i="24"/>
  <c r="AA21" i="24"/>
  <c r="Y21" i="24"/>
  <c r="W21" i="24"/>
  <c r="U21" i="24"/>
  <c r="S21" i="24"/>
  <c r="Q21" i="24"/>
  <c r="O21" i="24"/>
  <c r="M21" i="24"/>
  <c r="K21" i="24"/>
  <c r="G23" i="24"/>
  <c r="E23" i="24"/>
  <c r="AA20" i="24"/>
  <c r="Y20" i="24"/>
  <c r="W20" i="24"/>
  <c r="U20" i="24"/>
  <c r="S20" i="24"/>
  <c r="Q20" i="24"/>
  <c r="O20" i="24"/>
  <c r="M20" i="24"/>
  <c r="K20" i="24"/>
  <c r="I20" i="24"/>
  <c r="G21" i="24"/>
  <c r="E21" i="24"/>
  <c r="AA19" i="24"/>
  <c r="Y19" i="24"/>
  <c r="W19" i="24"/>
  <c r="U19" i="24"/>
  <c r="S19" i="24"/>
  <c r="Q19" i="24"/>
  <c r="O19" i="24"/>
  <c r="M19" i="24"/>
  <c r="I19" i="24"/>
  <c r="G19" i="24"/>
  <c r="E19" i="24"/>
  <c r="Z18" i="24"/>
  <c r="Z3" i="24"/>
  <c r="AA3" i="24"/>
  <c r="X18" i="24"/>
  <c r="Y18" i="24"/>
  <c r="V18" i="24"/>
  <c r="W18" i="24"/>
  <c r="R18" i="24"/>
  <c r="S18" i="24"/>
  <c r="P18" i="24"/>
  <c r="Q18" i="24"/>
  <c r="N18" i="24"/>
  <c r="L18" i="24"/>
  <c r="AA16" i="24"/>
  <c r="Y16" i="24"/>
  <c r="W16" i="24"/>
  <c r="U16" i="24"/>
  <c r="S16" i="24"/>
  <c r="Q16" i="24"/>
  <c r="O16" i="24"/>
  <c r="M16" i="24"/>
  <c r="K16" i="24"/>
  <c r="I16" i="24"/>
  <c r="G16" i="24"/>
  <c r="E16" i="24"/>
  <c r="AA15" i="24"/>
  <c r="Y15" i="24"/>
  <c r="W15" i="24"/>
  <c r="U15" i="24"/>
  <c r="S15" i="24"/>
  <c r="Q15" i="24"/>
  <c r="O15" i="24"/>
  <c r="M15" i="24"/>
  <c r="K15" i="24"/>
  <c r="I15" i="24"/>
  <c r="G15" i="24"/>
  <c r="E15" i="24"/>
  <c r="AA14" i="24"/>
  <c r="Y14" i="24"/>
  <c r="W14" i="24"/>
  <c r="U14" i="24"/>
  <c r="S14" i="24"/>
  <c r="Q14" i="24"/>
  <c r="O14" i="24"/>
  <c r="M14" i="24"/>
  <c r="K14" i="24"/>
  <c r="I14" i="24"/>
  <c r="G14" i="24"/>
  <c r="E14" i="24"/>
  <c r="AA13" i="24"/>
  <c r="Y13" i="24"/>
  <c r="W13" i="24"/>
  <c r="U13" i="24"/>
  <c r="S13" i="24"/>
  <c r="Q13" i="24"/>
  <c r="O13" i="24"/>
  <c r="M13" i="24"/>
  <c r="K13" i="24"/>
  <c r="I13" i="24"/>
  <c r="G13" i="24"/>
  <c r="E13" i="24"/>
  <c r="AA12" i="24"/>
  <c r="Y12" i="24"/>
  <c r="W12" i="24"/>
  <c r="U12" i="24"/>
  <c r="S12" i="24"/>
  <c r="Q12" i="24"/>
  <c r="O12" i="24"/>
  <c r="M12" i="24"/>
  <c r="K12" i="24"/>
  <c r="I12" i="24"/>
  <c r="G12" i="24"/>
  <c r="E12" i="24"/>
  <c r="AA11" i="24"/>
  <c r="Y11" i="24"/>
  <c r="W11" i="24"/>
  <c r="U11" i="24"/>
  <c r="S11" i="24"/>
  <c r="Q11" i="24"/>
  <c r="O11" i="24"/>
  <c r="M11" i="24"/>
  <c r="K11" i="24"/>
  <c r="I11" i="24"/>
  <c r="G11" i="24"/>
  <c r="E11" i="24"/>
  <c r="AA10" i="24"/>
  <c r="Y10" i="24"/>
  <c r="W10" i="24"/>
  <c r="U10" i="24"/>
  <c r="S10" i="24"/>
  <c r="Q10" i="24"/>
  <c r="O10" i="24"/>
  <c r="M10" i="24"/>
  <c r="K10" i="24"/>
  <c r="I10" i="24"/>
  <c r="G10" i="24"/>
  <c r="E10" i="24"/>
  <c r="AA9" i="24"/>
  <c r="Y9" i="24"/>
  <c r="W9" i="24"/>
  <c r="U9" i="24"/>
  <c r="S9" i="24"/>
  <c r="Q9" i="24"/>
  <c r="O9" i="24"/>
  <c r="M9" i="24"/>
  <c r="K9" i="24"/>
  <c r="I9" i="24"/>
  <c r="G9" i="24"/>
  <c r="E9" i="24"/>
  <c r="AA8" i="24"/>
  <c r="Y8" i="24"/>
  <c r="W8" i="24"/>
  <c r="U8" i="24"/>
  <c r="S8" i="24"/>
  <c r="Q8" i="24"/>
  <c r="O8" i="24"/>
  <c r="M8" i="24"/>
  <c r="K8" i="24"/>
  <c r="I8" i="24"/>
  <c r="G8" i="24"/>
  <c r="E8" i="24"/>
  <c r="AA7" i="24"/>
  <c r="Y7" i="24"/>
  <c r="W7" i="24"/>
  <c r="U7" i="24"/>
  <c r="S7" i="24"/>
  <c r="Q7" i="24"/>
  <c r="O7" i="24"/>
  <c r="M7" i="24"/>
  <c r="K7" i="24"/>
  <c r="I7" i="24"/>
  <c r="G7" i="24"/>
  <c r="E7" i="24"/>
  <c r="AA6" i="24"/>
  <c r="Y6" i="24"/>
  <c r="W6" i="24"/>
  <c r="U6" i="24"/>
  <c r="S6" i="24"/>
  <c r="Q6" i="24"/>
  <c r="O6" i="24"/>
  <c r="M6" i="24"/>
  <c r="K6" i="24"/>
  <c r="I6" i="24"/>
  <c r="G6" i="24"/>
  <c r="E6" i="24"/>
  <c r="AA5" i="24"/>
  <c r="Y5" i="24"/>
  <c r="W5" i="24"/>
  <c r="U5" i="24"/>
  <c r="S5" i="24"/>
  <c r="Q5" i="24"/>
  <c r="O5" i="24"/>
  <c r="M5" i="24"/>
  <c r="K5" i="24"/>
  <c r="I5" i="24"/>
  <c r="G5" i="24"/>
  <c r="E5" i="24"/>
  <c r="AA4" i="24"/>
  <c r="Y4" i="24"/>
  <c r="W4" i="24"/>
  <c r="U4" i="24"/>
  <c r="S4" i="24"/>
  <c r="Q4" i="24"/>
  <c r="O4" i="24"/>
  <c r="M4" i="24"/>
  <c r="K4" i="24"/>
  <c r="I4" i="24"/>
  <c r="G4" i="24"/>
  <c r="E4" i="24"/>
  <c r="X3" i="24"/>
  <c r="V3" i="24"/>
  <c r="W3" i="24"/>
  <c r="R3" i="24"/>
  <c r="P3" i="24"/>
  <c r="N3" i="24"/>
  <c r="N17" i="24"/>
  <c r="O17" i="24"/>
  <c r="L3" i="24"/>
  <c r="J3" i="24"/>
  <c r="J17" i="24"/>
  <c r="K17" i="24"/>
  <c r="J18" i="24"/>
  <c r="AF2" i="24"/>
  <c r="AB75" i="24"/>
  <c r="I21" i="24"/>
  <c r="H18" i="24"/>
  <c r="H82" i="24"/>
  <c r="I82" i="24"/>
  <c r="K19" i="24"/>
  <c r="C48" i="24"/>
  <c r="B18" i="24"/>
  <c r="E52" i="24"/>
  <c r="C55" i="24"/>
  <c r="E18" i="24"/>
  <c r="H17" i="24"/>
  <c r="I17" i="24"/>
  <c r="W69" i="24"/>
  <c r="D17" i="24"/>
  <c r="E17" i="24"/>
  <c r="D85" i="24"/>
  <c r="E3" i="24"/>
  <c r="F17" i="24"/>
  <c r="G17" i="24"/>
  <c r="D81" i="24"/>
  <c r="E81" i="24"/>
  <c r="B17" i="24"/>
  <c r="C17" i="24"/>
  <c r="R82" i="24"/>
  <c r="S82" i="24"/>
  <c r="L82" i="24"/>
  <c r="M82" i="24"/>
  <c r="AB45" i="24"/>
  <c r="AD45" i="24"/>
  <c r="AB16" i="24"/>
  <c r="AD16" i="24"/>
  <c r="AB22" i="24"/>
  <c r="AD22" i="24"/>
  <c r="AB21" i="24"/>
  <c r="R17" i="24"/>
  <c r="S17" i="24"/>
  <c r="R84" i="24"/>
  <c r="AB43" i="24"/>
  <c r="AD43" i="24"/>
  <c r="AB24" i="24"/>
  <c r="AD24" i="24"/>
  <c r="AB76" i="24"/>
  <c r="AD76" i="24"/>
  <c r="AB57" i="24"/>
  <c r="AD57" i="24"/>
  <c r="AB27" i="24"/>
  <c r="AD27" i="24"/>
  <c r="AB28" i="24"/>
  <c r="AD28" i="24"/>
  <c r="AB63" i="24"/>
  <c r="AD63" i="24"/>
  <c r="AB47" i="24"/>
  <c r="AD47" i="24"/>
  <c r="AB46" i="24"/>
  <c r="AD46" i="24"/>
  <c r="AB77" i="24"/>
  <c r="AB60" i="24"/>
  <c r="AD60" i="24"/>
  <c r="AB58" i="24"/>
  <c r="AD58" i="24"/>
  <c r="AB52" i="24"/>
  <c r="AD52" i="24"/>
  <c r="AB72" i="24"/>
  <c r="AD72" i="24"/>
  <c r="AB23" i="24"/>
  <c r="AD23" i="24"/>
  <c r="AB15" i="24"/>
  <c r="AD15" i="24"/>
  <c r="AB59" i="24"/>
  <c r="AD59" i="24"/>
  <c r="AB6" i="24"/>
  <c r="AD6" i="24"/>
  <c r="AB39" i="24"/>
  <c r="AD39" i="24"/>
  <c r="AB12" i="24"/>
  <c r="AD12" i="24"/>
  <c r="AB37" i="24"/>
  <c r="AD37" i="24"/>
  <c r="AB78" i="24"/>
  <c r="AB67" i="24"/>
  <c r="AD67" i="24"/>
  <c r="AB8" i="24"/>
  <c r="AD8" i="24"/>
  <c r="AB48" i="24"/>
  <c r="AD48" i="24"/>
  <c r="AB65" i="24"/>
  <c r="AD65" i="24"/>
  <c r="AB53" i="24"/>
  <c r="AD53" i="24"/>
  <c r="AB4" i="24"/>
  <c r="AD4" i="24"/>
  <c r="AD3" i="24"/>
  <c r="AB38" i="24"/>
  <c r="AD38" i="24"/>
  <c r="AB79" i="24"/>
  <c r="AD79" i="24"/>
  <c r="AB9" i="24"/>
  <c r="AD9" i="24"/>
  <c r="O3" i="24"/>
  <c r="Z17" i="24"/>
  <c r="AA17" i="24"/>
  <c r="Z84" i="24"/>
  <c r="AB41" i="24"/>
  <c r="AB71" i="24"/>
  <c r="AB29" i="24"/>
  <c r="AD29" i="24"/>
  <c r="AB68" i="24"/>
  <c r="AD68" i="24"/>
  <c r="AB64" i="24"/>
  <c r="AD64" i="24"/>
  <c r="AB51" i="24"/>
  <c r="AB13" i="24"/>
  <c r="AD13" i="24"/>
  <c r="AB33" i="24"/>
  <c r="AD33" i="24"/>
  <c r="AB11" i="24"/>
  <c r="AD11" i="24"/>
  <c r="AB26" i="24"/>
  <c r="AD26" i="24"/>
  <c r="AB56" i="24"/>
  <c r="AD56" i="24"/>
  <c r="V17" i="24"/>
  <c r="W17" i="24"/>
  <c r="V84" i="24"/>
  <c r="L81" i="24"/>
  <c r="M81" i="24"/>
  <c r="L17" i="24"/>
  <c r="M17" i="24"/>
  <c r="L84" i="24"/>
  <c r="AB49" i="24"/>
  <c r="AD49" i="24"/>
  <c r="M3" i="24"/>
  <c r="J84" i="24"/>
  <c r="Z82" i="24"/>
  <c r="AA82" i="24"/>
  <c r="AB36" i="24"/>
  <c r="AD36" i="24"/>
  <c r="AB31" i="24"/>
  <c r="AD31" i="24"/>
  <c r="AB30" i="24"/>
  <c r="AD30" i="24"/>
  <c r="AB7" i="24"/>
  <c r="AD7" i="24"/>
  <c r="AB19" i="24"/>
  <c r="AB70" i="24"/>
  <c r="AB25" i="24"/>
  <c r="AB44" i="24"/>
  <c r="AD44" i="24"/>
  <c r="AB55" i="24"/>
  <c r="AB61" i="24"/>
  <c r="AD61" i="24"/>
  <c r="AB14" i="24"/>
  <c r="AD14" i="24"/>
  <c r="AB54" i="24"/>
  <c r="AB42" i="24"/>
  <c r="AD42" i="24"/>
  <c r="S3" i="24"/>
  <c r="D84" i="24"/>
  <c r="K3" i="24"/>
  <c r="AA18" i="24"/>
  <c r="I18" i="24"/>
  <c r="V82" i="24"/>
  <c r="W82" i="24"/>
  <c r="M18" i="24"/>
  <c r="V81" i="24"/>
  <c r="W81" i="24"/>
  <c r="R81" i="24"/>
  <c r="S81" i="24"/>
  <c r="AD71" i="24"/>
  <c r="AB5" i="24"/>
  <c r="AD5" i="24"/>
  <c r="U3" i="24"/>
  <c r="AB80" i="24"/>
  <c r="AD80" i="24"/>
  <c r="AB62" i="24"/>
  <c r="AD62" i="24"/>
  <c r="AB2" i="24"/>
  <c r="AC51" i="24"/>
  <c r="H81" i="24"/>
  <c r="I81" i="24"/>
  <c r="J82" i="24"/>
  <c r="K82" i="24"/>
  <c r="Z81" i="24"/>
  <c r="AA81" i="24"/>
  <c r="P17" i="24"/>
  <c r="Q17" i="24"/>
  <c r="P85" i="24"/>
  <c r="Q3" i="24"/>
  <c r="P81" i="24"/>
  <c r="Q81" i="24"/>
  <c r="P82" i="24"/>
  <c r="Q82" i="24"/>
  <c r="AD78" i="24"/>
  <c r="N85" i="24"/>
  <c r="AB66" i="24"/>
  <c r="AD66" i="24"/>
  <c r="AB35" i="24"/>
  <c r="AD35" i="24"/>
  <c r="F82" i="24"/>
  <c r="G82" i="24"/>
  <c r="AB10" i="24"/>
  <c r="AB34" i="24"/>
  <c r="AD34" i="24"/>
  <c r="AB40" i="24"/>
  <c r="AD40" i="24"/>
  <c r="AD41" i="24"/>
  <c r="F81" i="24"/>
  <c r="G81" i="24"/>
  <c r="H84" i="24"/>
  <c r="H85" i="24"/>
  <c r="AD75" i="24"/>
  <c r="O18" i="24"/>
  <c r="N81" i="24"/>
  <c r="O81" i="24"/>
  <c r="N82" i="24"/>
  <c r="O82" i="24"/>
  <c r="N84" i="24"/>
  <c r="AA69" i="24"/>
  <c r="AD21" i="24"/>
  <c r="F84" i="24"/>
  <c r="F85" i="24"/>
  <c r="B84" i="24"/>
  <c r="B81" i="24"/>
  <c r="C81" i="24"/>
  <c r="B82" i="24"/>
  <c r="C82" i="24"/>
  <c r="C18" i="24"/>
  <c r="B85" i="24"/>
  <c r="J85" i="24"/>
  <c r="X17" i="24"/>
  <c r="Y17" i="24"/>
  <c r="X81" i="24"/>
  <c r="Y81" i="24"/>
  <c r="Y3" i="24"/>
  <c r="X82" i="24"/>
  <c r="Y82" i="24"/>
  <c r="T84" i="24"/>
  <c r="U18" i="24"/>
  <c r="T82" i="24"/>
  <c r="U82" i="24"/>
  <c r="T81" i="24"/>
  <c r="U81" i="24"/>
  <c r="K69" i="24"/>
  <c r="J81" i="24"/>
  <c r="K81" i="24"/>
  <c r="AD77" i="24"/>
  <c r="AD51" i="24"/>
  <c r="AD25" i="24"/>
  <c r="AD54" i="24"/>
  <c r="AB3" i="24"/>
  <c r="T85" i="24"/>
  <c r="AB74" i="24"/>
  <c r="AB20" i="24"/>
  <c r="AB73" i="24"/>
  <c r="K18" i="24"/>
  <c r="AB50" i="24"/>
  <c r="R85" i="24"/>
  <c r="AB17" i="24"/>
  <c r="AC17" i="24"/>
  <c r="V85" i="24"/>
  <c r="AC30" i="24"/>
  <c r="AC63" i="24"/>
  <c r="AC35" i="24"/>
  <c r="AC54" i="24"/>
  <c r="AC72" i="24"/>
  <c r="AC6" i="24"/>
  <c r="AC12" i="24"/>
  <c r="AC9" i="24"/>
  <c r="AC25" i="24"/>
  <c r="AC67" i="24"/>
  <c r="AC39" i="24"/>
  <c r="AC48" i="24"/>
  <c r="AC46" i="24"/>
  <c r="Z85" i="24"/>
  <c r="AC38" i="24"/>
  <c r="AC55" i="24"/>
  <c r="AC19" i="24"/>
  <c r="AC75" i="24"/>
  <c r="AC11" i="24"/>
  <c r="AC57" i="24"/>
  <c r="AC62" i="24"/>
  <c r="L85" i="24"/>
  <c r="AC47" i="24"/>
  <c r="AC79" i="24"/>
  <c r="AC60" i="24"/>
  <c r="AC64" i="24"/>
  <c r="AC7" i="24"/>
  <c r="AC21" i="24"/>
  <c r="AC23" i="24"/>
  <c r="AC65" i="24"/>
  <c r="AC22" i="24"/>
  <c r="AC29" i="24"/>
  <c r="AC28" i="24"/>
  <c r="AC56" i="24"/>
  <c r="AC13" i="24"/>
  <c r="AC53" i="24"/>
  <c r="AC76" i="24"/>
  <c r="AC24" i="24"/>
  <c r="AC36" i="24"/>
  <c r="AC26" i="24"/>
  <c r="AD2" i="24"/>
  <c r="AE53" i="24"/>
  <c r="AC5" i="24"/>
  <c r="AC78" i="24"/>
  <c r="AC42" i="24"/>
  <c r="AD55" i="24"/>
  <c r="AE55" i="24"/>
  <c r="AC49" i="24"/>
  <c r="AC59" i="24"/>
  <c r="AC77" i="24"/>
  <c r="AC68" i="24"/>
  <c r="AC37" i="24"/>
  <c r="AC15" i="24"/>
  <c r="AC45" i="24"/>
  <c r="AC71" i="24"/>
  <c r="AD19" i="24"/>
  <c r="AD18" i="24"/>
  <c r="AB18" i="24"/>
  <c r="AC18" i="24"/>
  <c r="AB69" i="24"/>
  <c r="AC69" i="24"/>
  <c r="AD70" i="24"/>
  <c r="AD69" i="24"/>
  <c r="AE69" i="24"/>
  <c r="AC66" i="24"/>
  <c r="AC4" i="24"/>
  <c r="AC61" i="24"/>
  <c r="AC31" i="24"/>
  <c r="P84" i="24"/>
  <c r="AC44" i="24"/>
  <c r="AC16" i="24"/>
  <c r="AC8" i="24"/>
  <c r="AC58" i="24"/>
  <c r="AC33" i="24"/>
  <c r="AC70" i="24"/>
  <c r="AC14" i="24"/>
  <c r="AC52" i="24"/>
  <c r="AC27" i="24"/>
  <c r="AC41" i="24"/>
  <c r="AC80" i="24"/>
  <c r="AC34" i="24"/>
  <c r="AC43" i="24"/>
  <c r="AC40" i="24"/>
  <c r="AC10" i="24"/>
  <c r="AD10" i="24"/>
  <c r="AD73" i="24"/>
  <c r="AC73" i="24"/>
  <c r="AC3" i="24"/>
  <c r="AC20" i="24"/>
  <c r="AD20" i="24"/>
  <c r="AD50" i="24"/>
  <c r="AC50" i="24"/>
  <c r="AD74" i="24"/>
  <c r="AC74" i="24"/>
  <c r="X85" i="24"/>
  <c r="X84" i="24"/>
  <c r="AE26" i="24"/>
  <c r="AE16" i="24"/>
  <c r="AE68" i="24"/>
  <c r="AE75" i="24"/>
  <c r="AE10" i="24"/>
  <c r="AE31" i="24"/>
  <c r="AE8" i="24"/>
  <c r="AE27" i="24"/>
  <c r="AE5" i="24"/>
  <c r="AE42" i="24"/>
  <c r="AE29" i="24"/>
  <c r="AE74" i="24"/>
  <c r="AE40" i="24"/>
  <c r="AE6" i="24"/>
  <c r="AE34" i="24"/>
  <c r="AE77" i="24"/>
  <c r="AE78" i="24"/>
  <c r="AE37" i="24"/>
  <c r="AE79" i="24"/>
  <c r="AB84" i="24"/>
  <c r="AE23" i="24"/>
  <c r="AE57" i="24"/>
  <c r="AE7" i="24"/>
  <c r="AE36" i="24"/>
  <c r="AE52" i="24"/>
  <c r="AE28" i="24"/>
  <c r="AE80" i="24"/>
  <c r="AE76" i="24"/>
  <c r="AE73" i="24"/>
  <c r="AE56" i="24"/>
  <c r="AE9" i="24"/>
  <c r="AE30" i="24"/>
  <c r="AE60" i="24"/>
  <c r="AE12" i="24"/>
  <c r="AE51" i="24"/>
  <c r="AE44" i="24"/>
  <c r="AE19" i="24"/>
  <c r="AE62" i="24"/>
  <c r="AE22" i="24"/>
  <c r="AE15" i="24"/>
  <c r="AE63" i="24"/>
  <c r="AE71" i="24"/>
  <c r="AE4" i="24"/>
  <c r="AE58" i="24"/>
  <c r="AE50" i="24"/>
  <c r="AE20" i="24"/>
  <c r="AE3" i="24"/>
  <c r="AE24" i="24"/>
  <c r="AE54" i="24"/>
  <c r="AE21" i="24"/>
  <c r="AE59" i="24"/>
  <c r="AE25" i="24"/>
  <c r="AE46" i="24"/>
  <c r="AE61" i="24"/>
  <c r="AE14" i="24"/>
  <c r="AE41" i="24"/>
  <c r="AE45" i="24"/>
  <c r="AE67" i="24"/>
  <c r="AE13" i="24"/>
  <c r="AE38" i="24"/>
  <c r="AE70" i="24"/>
  <c r="AD17" i="24"/>
  <c r="AE17" i="24"/>
  <c r="AD84" i="24"/>
  <c r="AE72" i="24"/>
  <c r="AE49" i="24"/>
  <c r="AE65" i="24"/>
  <c r="AE43" i="24"/>
  <c r="AE35" i="24"/>
  <c r="AE33" i="24"/>
  <c r="AE11" i="24"/>
  <c r="AE64" i="24"/>
  <c r="AE48" i="24"/>
  <c r="AE66" i="24"/>
  <c r="AE47" i="24"/>
  <c r="AE39" i="24"/>
  <c r="AE18" i="24"/>
  <c r="AB82" i="24"/>
  <c r="AC82" i="24"/>
  <c r="AB81" i="24"/>
  <c r="AC81" i="24"/>
  <c r="AB85" i="24"/>
  <c r="AD82" i="24"/>
  <c r="AE82" i="24"/>
  <c r="AD81" i="24"/>
  <c r="AE81" i="24"/>
  <c r="C50" i="37"/>
  <c r="AD85" i="24"/>
  <c r="E16" i="40"/>
  <c r="Y40" i="38" l="1"/>
  <c r="Y60" i="38"/>
  <c r="Y51" i="38"/>
  <c r="Y44" i="38"/>
  <c r="Y32" i="38"/>
  <c r="Y36" i="38"/>
  <c r="Y45" i="38"/>
  <c r="Y57" i="38"/>
  <c r="Y50" i="38"/>
  <c r="Y31" i="38"/>
  <c r="Y23" i="38"/>
  <c r="Y55" i="38"/>
  <c r="Y9" i="38"/>
  <c r="Y49" i="38"/>
  <c r="Y38" i="38"/>
  <c r="Y39" i="38"/>
  <c r="Y29" i="38"/>
  <c r="Y27" i="38"/>
  <c r="Y13" i="38"/>
  <c r="Y48" i="38"/>
  <c r="Y25" i="38"/>
  <c r="Y42" i="38"/>
  <c r="Y28" i="38"/>
  <c r="Y7" i="38"/>
  <c r="Y47" i="38"/>
  <c r="Y26" i="38"/>
  <c r="Y33" i="38"/>
  <c r="Y5" i="38"/>
  <c r="Y16" i="38"/>
  <c r="Y46" i="38"/>
  <c r="Y18" i="38"/>
  <c r="Y35" i="38"/>
  <c r="Y24" i="38"/>
  <c r="Y43" i="38"/>
  <c r="Y56" i="38"/>
  <c r="Y53" i="38"/>
  <c r="Y34" i="38"/>
  <c r="Y17" i="38"/>
  <c r="Y3" i="38"/>
  <c r="Y21" i="38"/>
  <c r="Y37" i="38"/>
  <c r="Y20" i="38"/>
  <c r="K26" i="38"/>
  <c r="K25" i="38"/>
  <c r="K33" i="38"/>
  <c r="Q29" i="38"/>
  <c r="Q51" i="38"/>
  <c r="O11" i="38"/>
  <c r="O45" i="38"/>
  <c r="O29" i="38"/>
  <c r="O51" i="38"/>
  <c r="K36" i="38"/>
  <c r="K23" i="38"/>
  <c r="K37" i="38"/>
  <c r="I41" i="38"/>
  <c r="K8" i="38"/>
  <c r="K30" i="38"/>
  <c r="O20" i="38"/>
  <c r="Q30" i="38"/>
  <c r="I9" i="38"/>
  <c r="K47" i="38"/>
  <c r="K50" i="38"/>
  <c r="I58" i="38"/>
  <c r="K46" i="38"/>
  <c r="D19" i="38"/>
  <c r="E19" i="38" s="1"/>
  <c r="Q19" i="38"/>
  <c r="Y30" i="38"/>
  <c r="K51" i="38"/>
  <c r="Y4" i="38"/>
  <c r="I23" i="38"/>
  <c r="Q44" i="38"/>
  <c r="Q59" i="38"/>
  <c r="O8" i="38"/>
  <c r="O26" i="38"/>
  <c r="O27" i="38"/>
  <c r="O28" i="38"/>
  <c r="C35" i="38"/>
  <c r="E43" i="38"/>
  <c r="W38" i="38"/>
  <c r="Y41" i="38"/>
  <c r="K18" i="38"/>
  <c r="K7" i="38"/>
  <c r="K58" i="38"/>
  <c r="K59" i="38"/>
  <c r="I55" i="38"/>
  <c r="K21" i="38"/>
  <c r="G6" i="37"/>
  <c r="F13" i="37"/>
  <c r="G13" i="37" s="1"/>
  <c r="E41" i="37"/>
  <c r="W16" i="37"/>
  <c r="W5" i="37"/>
  <c r="W57" i="37"/>
  <c r="W56" i="37"/>
  <c r="W48" i="37"/>
  <c r="W49" i="37"/>
  <c r="W11" i="37"/>
  <c r="W7" i="37"/>
  <c r="W9" i="37"/>
  <c r="W18" i="37"/>
  <c r="W17" i="37"/>
  <c r="W20" i="37"/>
  <c r="Q19" i="37"/>
  <c r="W28" i="37"/>
  <c r="R14" i="37"/>
  <c r="S55" i="37"/>
  <c r="S30" i="37"/>
  <c r="W38" i="37"/>
  <c r="AC22" i="37"/>
  <c r="AC52" i="37"/>
  <c r="AC37" i="37"/>
  <c r="E44" i="37"/>
  <c r="E37" i="37"/>
  <c r="W3" i="37"/>
  <c r="W45" i="37"/>
  <c r="W37" i="37"/>
  <c r="W59" i="37"/>
  <c r="W4" i="37"/>
  <c r="W47" i="37"/>
  <c r="W46" i="37"/>
  <c r="W32" i="37"/>
  <c r="W36" i="37"/>
  <c r="W35" i="37"/>
  <c r="W52" i="37"/>
  <c r="W34" i="37"/>
  <c r="W31" i="37"/>
  <c r="G28" i="37"/>
  <c r="C43" i="37"/>
  <c r="C57" i="37"/>
  <c r="L55" i="37"/>
  <c r="M55" i="37" s="1"/>
  <c r="AC27" i="37"/>
  <c r="Q10" i="37"/>
  <c r="AC41" i="37"/>
  <c r="Q41" i="37"/>
  <c r="Q60" i="37"/>
  <c r="W40" i="37"/>
  <c r="W60" i="37"/>
  <c r="W53" i="37"/>
  <c r="W39" i="37"/>
  <c r="W12" i="37"/>
  <c r="W15" i="37"/>
  <c r="E7" i="37"/>
  <c r="E9" i="37"/>
  <c r="W25" i="37"/>
  <c r="W27" i="37"/>
  <c r="W33" i="37"/>
  <c r="G43" i="37"/>
  <c r="M58" i="37"/>
  <c r="Q38" i="37"/>
  <c r="R61" i="37"/>
  <c r="S61" i="37" s="1"/>
  <c r="R68" i="37"/>
  <c r="V6" i="37"/>
  <c r="W8" i="37"/>
  <c r="K6" i="37"/>
  <c r="E57" i="37"/>
  <c r="E43" i="37"/>
  <c r="Y6" i="37"/>
  <c r="AB8" i="37"/>
  <c r="Z42" i="37"/>
  <c r="I56" i="37"/>
  <c r="E18" i="37"/>
  <c r="E16" i="37"/>
  <c r="E58" i="37"/>
  <c r="E59" i="37"/>
  <c r="E10" i="37"/>
  <c r="E50" i="37"/>
  <c r="E46" i="37"/>
  <c r="Y4" i="37"/>
  <c r="E51" i="37"/>
  <c r="Y43" i="37"/>
  <c r="I39" i="37"/>
  <c r="E49" i="37"/>
  <c r="I41" i="37"/>
  <c r="E5" i="37"/>
  <c r="E25" i="37"/>
  <c r="E35" i="37"/>
  <c r="Y51" i="37"/>
  <c r="Y24" i="37"/>
  <c r="Q20" i="37"/>
  <c r="I38" i="37"/>
  <c r="I32" i="37"/>
  <c r="I6" i="37"/>
  <c r="R70" i="37"/>
  <c r="S6" i="37"/>
  <c r="I40" i="37"/>
  <c r="K34" i="37"/>
  <c r="K60" i="37"/>
  <c r="K43" i="37"/>
  <c r="K54" i="37"/>
  <c r="K5" i="37"/>
  <c r="K15" i="37"/>
  <c r="K58" i="37"/>
  <c r="K39" i="37"/>
  <c r="K42" i="37"/>
  <c r="N8" i="37"/>
  <c r="O8" i="37" s="1"/>
  <c r="O10" i="37"/>
  <c r="C30" i="37"/>
  <c r="K30" i="37"/>
  <c r="T8" i="37"/>
  <c r="T6" i="37" s="1"/>
  <c r="U10" i="37"/>
  <c r="U17" i="37"/>
  <c r="U7" i="37"/>
  <c r="U49" i="37"/>
  <c r="U46" i="37"/>
  <c r="U52" i="37"/>
  <c r="U3" i="37"/>
  <c r="U59" i="37"/>
  <c r="E28" i="37"/>
  <c r="E26" i="37"/>
  <c r="E23" i="37"/>
  <c r="E34" i="37"/>
  <c r="E47" i="37"/>
  <c r="E3" i="37"/>
  <c r="E48" i="37"/>
  <c r="E8" i="37"/>
  <c r="E33" i="37"/>
  <c r="E27" i="37"/>
  <c r="E52" i="37"/>
  <c r="E4" i="37"/>
  <c r="E11" i="37"/>
  <c r="D13" i="37"/>
  <c r="E13" i="37" s="1"/>
  <c r="E12" i="37"/>
  <c r="E56" i="37"/>
  <c r="E54" i="37"/>
  <c r="E19" i="37"/>
  <c r="E40" i="37"/>
  <c r="E15" i="37"/>
  <c r="E60" i="37"/>
  <c r="E45" i="37"/>
  <c r="E24" i="37"/>
  <c r="E20" i="37"/>
  <c r="K8" i="37"/>
  <c r="P6" i="37"/>
  <c r="Q8" i="37"/>
  <c r="I28" i="37"/>
  <c r="I35" i="37"/>
  <c r="I36" i="37"/>
  <c r="I26" i="37"/>
  <c r="I59" i="37"/>
  <c r="I12" i="37"/>
  <c r="H13" i="37"/>
  <c r="I13" i="37" s="1"/>
  <c r="I44" i="37"/>
  <c r="I15" i="37"/>
  <c r="I4" i="37"/>
  <c r="I17" i="37"/>
  <c r="I18" i="37"/>
  <c r="I53" i="37"/>
  <c r="I33" i="37"/>
  <c r="I7" i="37"/>
  <c r="I46" i="37"/>
  <c r="I50" i="37"/>
  <c r="I5" i="37"/>
  <c r="I60" i="37"/>
  <c r="I45" i="37"/>
  <c r="I47" i="37"/>
  <c r="M10" i="37"/>
  <c r="L8" i="37"/>
  <c r="L6" i="37" s="1"/>
  <c r="AC57" i="37"/>
  <c r="N19" i="37"/>
  <c r="O20" i="37"/>
  <c r="AB6" i="37"/>
  <c r="Y22" i="37"/>
  <c r="Y29" i="37"/>
  <c r="Y34" i="37"/>
  <c r="Y17" i="37"/>
  <c r="Y36" i="37"/>
  <c r="Y37" i="37"/>
  <c r="Y10" i="37"/>
  <c r="Y56" i="37"/>
  <c r="Y60" i="37"/>
  <c r="Y54" i="37"/>
  <c r="Y15" i="37"/>
  <c r="Y11" i="37"/>
  <c r="X13" i="37"/>
  <c r="Y13" i="37" s="1"/>
  <c r="Y28" i="37"/>
  <c r="Y31" i="37"/>
  <c r="Y26" i="37"/>
  <c r="Y23" i="37"/>
  <c r="Y18" i="37"/>
  <c r="Y9" i="37"/>
  <c r="Y7" i="37"/>
  <c r="Y41" i="37"/>
  <c r="Y48" i="37"/>
  <c r="Y44" i="37"/>
  <c r="Y49" i="37"/>
  <c r="E32" i="37"/>
  <c r="E17" i="37"/>
  <c r="Y59" i="37"/>
  <c r="Y47" i="37"/>
  <c r="E42" i="37"/>
  <c r="Y45" i="37"/>
  <c r="I43" i="37"/>
  <c r="Y12" i="37"/>
  <c r="Y46" i="37"/>
  <c r="E6" i="37"/>
  <c r="E36" i="37"/>
  <c r="Y32" i="37"/>
  <c r="Y35" i="37"/>
  <c r="Y53" i="37"/>
  <c r="I20" i="37"/>
  <c r="I30" i="37"/>
  <c r="E38" i="37"/>
  <c r="C29" i="37"/>
  <c r="C24" i="37"/>
  <c r="C47" i="37"/>
  <c r="AE2" i="37"/>
  <c r="C40" i="37"/>
  <c r="C25" i="37"/>
  <c r="C41" i="37"/>
  <c r="C59" i="37"/>
  <c r="C58" i="37"/>
  <c r="C52" i="37"/>
  <c r="S20" i="37"/>
  <c r="S39" i="37"/>
  <c r="S60" i="37"/>
  <c r="S59" i="37"/>
  <c r="S37" i="37"/>
  <c r="S15" i="37"/>
  <c r="S56" i="37"/>
  <c r="S44" i="37"/>
  <c r="S5" i="37"/>
  <c r="S18" i="37"/>
  <c r="B55" i="37"/>
  <c r="C55" i="37" s="1"/>
  <c r="C60" i="37"/>
  <c r="B14" i="37"/>
  <c r="C14" i="37" s="1"/>
  <c r="I8" i="37"/>
  <c r="AB39" i="37"/>
  <c r="AC39" i="37" s="1"/>
  <c r="I42" i="37"/>
  <c r="I25" i="37"/>
  <c r="K44" i="37"/>
  <c r="D30" i="37"/>
  <c r="AB31" i="37"/>
  <c r="AB30" i="37" s="1"/>
  <c r="AC30" i="37" s="1"/>
  <c r="V14" i="37"/>
  <c r="W14" i="37" s="1"/>
  <c r="F55" i="37"/>
  <c r="G55" i="37" s="1"/>
  <c r="AC17" i="37"/>
  <c r="AB43" i="37"/>
  <c r="AC43" i="37" s="1"/>
  <c r="U38" i="37"/>
  <c r="S31" i="37"/>
  <c r="B6" i="37"/>
  <c r="C8" i="37"/>
  <c r="J19" i="37"/>
  <c r="AB24" i="37"/>
  <c r="AC24" i="37" s="1"/>
  <c r="K24" i="37"/>
  <c r="K38" i="37"/>
  <c r="K33" i="37"/>
  <c r="K53" i="37"/>
  <c r="K18" i="37"/>
  <c r="K50" i="37"/>
  <c r="K4" i="37"/>
  <c r="K41" i="37"/>
  <c r="K3" i="37"/>
  <c r="K28" i="37"/>
  <c r="K20" i="37"/>
  <c r="K23" i="37"/>
  <c r="K35" i="37"/>
  <c r="K7" i="37"/>
  <c r="J13" i="37"/>
  <c r="K13" i="37" s="1"/>
  <c r="K46" i="37"/>
  <c r="K11" i="37"/>
  <c r="K48" i="37"/>
  <c r="K16" i="37"/>
  <c r="K29" i="37"/>
  <c r="K37" i="37"/>
  <c r="K31" i="37"/>
  <c r="K27" i="37"/>
  <c r="K10" i="37"/>
  <c r="K49" i="37"/>
  <c r="K17" i="37"/>
  <c r="K12" i="37"/>
  <c r="AB26" i="37"/>
  <c r="AC26" i="37" s="1"/>
  <c r="M26" i="37"/>
  <c r="AB54" i="37"/>
  <c r="AC54" i="37" s="1"/>
  <c r="W54" i="37"/>
  <c r="V55" i="37"/>
  <c r="W58" i="37"/>
  <c r="AB58" i="37"/>
  <c r="X19" i="37"/>
  <c r="Y20" i="37"/>
  <c r="S17" i="37"/>
  <c r="S16" i="37"/>
  <c r="C48" i="37"/>
  <c r="C9" i="37"/>
  <c r="S38" i="37"/>
  <c r="G8" i="37"/>
  <c r="N6" i="37"/>
  <c r="K26" i="37"/>
  <c r="AC31" i="37"/>
  <c r="U28" i="37"/>
  <c r="U31" i="37"/>
  <c r="U23" i="37"/>
  <c r="U36" i="37"/>
  <c r="U25" i="37"/>
  <c r="U51" i="37"/>
  <c r="T13" i="37"/>
  <c r="U13" i="37" s="1"/>
  <c r="U29" i="37"/>
  <c r="U60" i="37"/>
  <c r="U27" i="37"/>
  <c r="U18" i="37"/>
  <c r="U8" i="37"/>
  <c r="U32" i="37"/>
  <c r="U26" i="37"/>
  <c r="U50" i="37"/>
  <c r="U53" i="37"/>
  <c r="U35" i="37"/>
  <c r="U24" i="37"/>
  <c r="U39" i="37"/>
  <c r="U9" i="37"/>
  <c r="U33" i="37"/>
  <c r="C3" i="37"/>
  <c r="S10" i="37"/>
  <c r="S12" i="37"/>
  <c r="C16" i="37"/>
  <c r="C7" i="37"/>
  <c r="C38" i="37"/>
  <c r="K9" i="37"/>
  <c r="AB60" i="37"/>
  <c r="AC60" i="37" s="1"/>
  <c r="D55" i="37"/>
  <c r="K36" i="37"/>
  <c r="M28" i="37"/>
  <c r="M38" i="37"/>
  <c r="M23" i="37"/>
  <c r="M24" i="37"/>
  <c r="M50" i="37"/>
  <c r="M29" i="37"/>
  <c r="M36" i="37"/>
  <c r="M20" i="37"/>
  <c r="M27" i="37"/>
  <c r="M34" i="37"/>
  <c r="M57" i="37"/>
  <c r="M25" i="37"/>
  <c r="M9" i="37"/>
  <c r="M7" i="37"/>
  <c r="AB25" i="37"/>
  <c r="AC25" i="37" s="1"/>
  <c r="K25" i="37"/>
  <c r="L19" i="37"/>
  <c r="AB23" i="37"/>
  <c r="AC23" i="37" s="1"/>
  <c r="AB40" i="37"/>
  <c r="AC40" i="37" s="1"/>
  <c r="O40" i="37"/>
  <c r="T19" i="37"/>
  <c r="U20" i="37"/>
  <c r="AB20" i="37"/>
  <c r="C53" i="37"/>
  <c r="C36" i="37"/>
  <c r="C35" i="37"/>
  <c r="C34" i="37"/>
  <c r="C12" i="37"/>
  <c r="C49" i="37"/>
  <c r="C46" i="37"/>
  <c r="C11" i="37"/>
  <c r="C23" i="37"/>
  <c r="C20" i="37"/>
  <c r="C10" i="37"/>
  <c r="C28" i="37"/>
  <c r="C19" i="37"/>
  <c r="C27" i="37"/>
  <c r="C26" i="37"/>
  <c r="C33" i="37"/>
  <c r="C51" i="37"/>
  <c r="C4" i="37"/>
  <c r="R13" i="37"/>
  <c r="S13" i="37" s="1"/>
  <c r="S36" i="37"/>
  <c r="S32" i="37"/>
  <c r="S26" i="37"/>
  <c r="S23" i="37"/>
  <c r="S51" i="37"/>
  <c r="S4" i="37"/>
  <c r="S41" i="37"/>
  <c r="S49" i="37"/>
  <c r="S19" i="37"/>
  <c r="R62" i="37"/>
  <c r="S62" i="37" s="1"/>
  <c r="S54" i="37"/>
  <c r="S52" i="37"/>
  <c r="S34" i="37"/>
  <c r="S33" i="37"/>
  <c r="S27" i="37"/>
  <c r="S47" i="37"/>
  <c r="S46" i="37"/>
  <c r="S50" i="37"/>
  <c r="S3" i="37"/>
  <c r="S28" i="37"/>
  <c r="S24" i="37"/>
  <c r="S8" i="37"/>
  <c r="S9" i="37"/>
  <c r="S35" i="37"/>
  <c r="F19" i="37"/>
  <c r="G23" i="37"/>
  <c r="H14" i="37"/>
  <c r="H70" i="37" s="1"/>
  <c r="AB16" i="37"/>
  <c r="AC16" i="37" s="1"/>
  <c r="O19" i="37"/>
  <c r="N14" i="37"/>
  <c r="AB38" i="37"/>
  <c r="AC38" i="37" s="1"/>
  <c r="Q17" i="37"/>
  <c r="P14" i="37"/>
  <c r="S53" i="37"/>
  <c r="AB42" i="37"/>
  <c r="AC42" i="37" s="1"/>
  <c r="E29" i="37"/>
  <c r="E31" i="37"/>
  <c r="L88" i="40"/>
  <c r="P88" i="40"/>
  <c r="J54" i="38"/>
  <c r="K54" i="38" s="1"/>
  <c r="E54" i="38"/>
  <c r="Q40" i="38"/>
  <c r="Q24" i="38"/>
  <c r="Q5" i="38"/>
  <c r="K44" i="38"/>
  <c r="K40" i="38"/>
  <c r="K48" i="38"/>
  <c r="K29" i="38"/>
  <c r="K34" i="38"/>
  <c r="K49" i="38"/>
  <c r="K55" i="38"/>
  <c r="K3" i="38"/>
  <c r="Q38" i="38"/>
  <c r="Q31" i="38"/>
  <c r="Q35" i="38"/>
  <c r="Q23" i="38"/>
  <c r="Q60" i="38"/>
  <c r="Q47" i="38"/>
  <c r="Q56" i="38"/>
  <c r="E44" i="38"/>
  <c r="E59" i="38"/>
  <c r="K5" i="38"/>
  <c r="K11" i="38"/>
  <c r="O17" i="38"/>
  <c r="O50" i="38"/>
  <c r="O40" i="38"/>
  <c r="O34" i="38"/>
  <c r="O5" i="38"/>
  <c r="O44" i="38"/>
  <c r="O13" i="38"/>
  <c r="Q22" i="38"/>
  <c r="O22" i="38"/>
  <c r="O48" i="38"/>
  <c r="O4" i="38"/>
  <c r="O52" i="38"/>
  <c r="Q7" i="38"/>
  <c r="K57" i="38"/>
  <c r="Q37" i="38"/>
  <c r="K24" i="38"/>
  <c r="Q45" i="38"/>
  <c r="K4" i="38"/>
  <c r="K13" i="38"/>
  <c r="K45" i="38"/>
  <c r="K17" i="38"/>
  <c r="K31" i="38"/>
  <c r="K35" i="38"/>
  <c r="K53" i="38"/>
  <c r="Q16" i="38"/>
  <c r="Q17" i="38"/>
  <c r="Q32" i="38"/>
  <c r="Q36" i="38"/>
  <c r="Q25" i="38"/>
  <c r="Q50" i="38"/>
  <c r="Q48" i="38"/>
  <c r="E28" i="38"/>
  <c r="O59" i="38"/>
  <c r="O57" i="38"/>
  <c r="O47" i="38"/>
  <c r="O39" i="38"/>
  <c r="O32" i="38"/>
  <c r="O3" i="38"/>
  <c r="O30" i="38"/>
  <c r="O7" i="38"/>
  <c r="O53" i="38"/>
  <c r="O36" i="38"/>
  <c r="O58" i="38"/>
  <c r="O43" i="38"/>
  <c r="K52" i="38"/>
  <c r="Q11" i="38"/>
  <c r="I29" i="38"/>
  <c r="I48" i="38"/>
  <c r="I30" i="38"/>
  <c r="I32" i="38"/>
  <c r="I49" i="38"/>
  <c r="I51" i="38"/>
  <c r="G54" i="38"/>
  <c r="E23" i="38"/>
  <c r="G24" i="38"/>
  <c r="G51" i="38"/>
  <c r="E58" i="38"/>
  <c r="E7" i="38"/>
  <c r="E27" i="38"/>
  <c r="E34" i="38"/>
  <c r="E24" i="38"/>
  <c r="E45" i="38"/>
  <c r="E47" i="38"/>
  <c r="E49" i="38"/>
  <c r="G3" i="38"/>
  <c r="E5" i="38"/>
  <c r="E46" i="38"/>
  <c r="E20" i="38"/>
  <c r="E3" i="38"/>
  <c r="E4" i="38"/>
  <c r="G5" i="38"/>
  <c r="G34" i="38"/>
  <c r="G57" i="38"/>
  <c r="E26" i="38"/>
  <c r="E9" i="38"/>
  <c r="E31" i="38"/>
  <c r="E35" i="38"/>
  <c r="E56" i="38"/>
  <c r="E16" i="38"/>
  <c r="E48" i="38"/>
  <c r="E52" i="38"/>
  <c r="E22" i="38"/>
  <c r="G30" i="38"/>
  <c r="E37" i="38"/>
  <c r="K38" i="38"/>
  <c r="Q52" i="38"/>
  <c r="T8" i="38"/>
  <c r="T6" i="38" s="1"/>
  <c r="T14" i="38" s="1"/>
  <c r="U14" i="38" s="1"/>
  <c r="E60" i="38"/>
  <c r="E13" i="38"/>
  <c r="E25" i="38"/>
  <c r="E18" i="38"/>
  <c r="E11" i="38"/>
  <c r="E32" i="38"/>
  <c r="E36" i="38"/>
  <c r="E57" i="38"/>
  <c r="E17" i="38"/>
  <c r="E50" i="38"/>
  <c r="E55" i="38"/>
  <c r="AB26" i="38"/>
  <c r="E39" i="38"/>
  <c r="U53" i="38"/>
  <c r="C40" i="38"/>
  <c r="C20" i="38"/>
  <c r="E30" i="38"/>
  <c r="C33" i="38"/>
  <c r="C59" i="38"/>
  <c r="E38" i="38"/>
  <c r="E41" i="38"/>
  <c r="C39" i="38"/>
  <c r="C17" i="38"/>
  <c r="C18" i="38"/>
  <c r="C48" i="38"/>
  <c r="C37" i="38"/>
  <c r="N19" i="38"/>
  <c r="O19" i="38" s="1"/>
  <c r="C41" i="38"/>
  <c r="Y52" i="38"/>
  <c r="C6" i="38"/>
  <c r="C16" i="38"/>
  <c r="C13" i="38"/>
  <c r="C58" i="38"/>
  <c r="C56" i="38"/>
  <c r="K9" i="38"/>
  <c r="C53" i="38"/>
  <c r="C60" i="38"/>
  <c r="G40" i="38"/>
  <c r="G42" i="38"/>
  <c r="H19" i="38"/>
  <c r="H15" i="38" s="1"/>
  <c r="I15" i="38" s="1"/>
  <c r="L15" i="38"/>
  <c r="M15" i="38" s="1"/>
  <c r="S54" i="38"/>
  <c r="Y58" i="38"/>
  <c r="N6" i="38"/>
  <c r="N14" i="38" s="1"/>
  <c r="O14" i="38" s="1"/>
  <c r="C4" i="38"/>
  <c r="C26" i="38"/>
  <c r="C29" i="38"/>
  <c r="C50" i="38"/>
  <c r="C3" i="38"/>
  <c r="B14" i="38"/>
  <c r="C14" i="38" s="1"/>
  <c r="E53" i="38"/>
  <c r="K42" i="38"/>
  <c r="Q39" i="38"/>
  <c r="D6" i="38"/>
  <c r="D70" i="38" s="1"/>
  <c r="E8" i="38"/>
  <c r="R8" i="38"/>
  <c r="R6" i="38" s="1"/>
  <c r="S9" i="38"/>
  <c r="S43" i="38"/>
  <c r="S22" i="38"/>
  <c r="S4" i="38"/>
  <c r="S55" i="38"/>
  <c r="S49" i="38"/>
  <c r="S33" i="38"/>
  <c r="S28" i="38"/>
  <c r="S39" i="38"/>
  <c r="S30" i="38"/>
  <c r="S24" i="38"/>
  <c r="S13" i="38"/>
  <c r="S16" i="38"/>
  <c r="S21" i="38"/>
  <c r="S35" i="38"/>
  <c r="S47" i="38"/>
  <c r="S45" i="38"/>
  <c r="S18" i="38"/>
  <c r="S59" i="38"/>
  <c r="S51" i="38"/>
  <c r="S36" i="38"/>
  <c r="S32" i="38"/>
  <c r="S17" i="38"/>
  <c r="S46" i="38"/>
  <c r="S48" i="38"/>
  <c r="S52" i="38"/>
  <c r="S37" i="38"/>
  <c r="S7" i="38"/>
  <c r="S38" i="38"/>
  <c r="S5" i="38"/>
  <c r="S50" i="38"/>
  <c r="S31" i="38"/>
  <c r="S42" i="38"/>
  <c r="S27" i="38"/>
  <c r="S23" i="38"/>
  <c r="S11" i="38"/>
  <c r="S40" i="38"/>
  <c r="S53" i="38"/>
  <c r="G43" i="38"/>
  <c r="G7" i="38"/>
  <c r="G59" i="38"/>
  <c r="G50" i="38"/>
  <c r="G41" i="38"/>
  <c r="G37" i="38"/>
  <c r="G33" i="38"/>
  <c r="G29" i="38"/>
  <c r="G26" i="38"/>
  <c r="G17" i="38"/>
  <c r="G4" i="38"/>
  <c r="G55" i="38"/>
  <c r="G47" i="38"/>
  <c r="G44" i="38"/>
  <c r="G31" i="38"/>
  <c r="G58" i="38"/>
  <c r="G22" i="38"/>
  <c r="G49" i="38"/>
  <c r="G48" i="38"/>
  <c r="G27" i="38"/>
  <c r="G39" i="38"/>
  <c r="G36" i="38"/>
  <c r="G32" i="38"/>
  <c r="G28" i="38"/>
  <c r="G23" i="38"/>
  <c r="G16" i="38"/>
  <c r="G11" i="38"/>
  <c r="G53" i="38"/>
  <c r="G25" i="38"/>
  <c r="G35" i="38"/>
  <c r="G18" i="38"/>
  <c r="G13" i="38"/>
  <c r="J6" i="38"/>
  <c r="B54" i="38"/>
  <c r="C54" i="38" s="1"/>
  <c r="G20" i="38"/>
  <c r="U12" i="38"/>
  <c r="V8" i="38"/>
  <c r="W9" i="38"/>
  <c r="U54" i="38"/>
  <c r="F8" i="38"/>
  <c r="G9" i="38"/>
  <c r="AB2" i="38"/>
  <c r="AB57" i="38"/>
  <c r="S57" i="38"/>
  <c r="S56" i="38"/>
  <c r="I20" i="38"/>
  <c r="S25" i="38"/>
  <c r="S41" i="38"/>
  <c r="S60" i="38"/>
  <c r="G52" i="38"/>
  <c r="S44" i="38"/>
  <c r="AB60" i="38"/>
  <c r="AB40" i="38"/>
  <c r="S19" i="38"/>
  <c r="I17" i="38"/>
  <c r="I11" i="38"/>
  <c r="I56" i="38"/>
  <c r="I35" i="38"/>
  <c r="I52" i="38"/>
  <c r="I53" i="38"/>
  <c r="I5" i="38"/>
  <c r="R15" i="38"/>
  <c r="S15" i="38" s="1"/>
  <c r="AB42" i="38"/>
  <c r="B19" i="38"/>
  <c r="C19" i="38" s="1"/>
  <c r="S20" i="38"/>
  <c r="I39" i="38"/>
  <c r="I40" i="38"/>
  <c r="C23" i="38"/>
  <c r="I16" i="38"/>
  <c r="I26" i="38"/>
  <c r="I37" i="38"/>
  <c r="I46" i="38"/>
  <c r="I57" i="38"/>
  <c r="I13" i="38"/>
  <c r="I54" i="38"/>
  <c r="B30" i="38"/>
  <c r="AB34" i="38"/>
  <c r="C34" i="38"/>
  <c r="J19" i="38"/>
  <c r="K20" i="38"/>
  <c r="AB20" i="38"/>
  <c r="AB38" i="38"/>
  <c r="O38" i="38"/>
  <c r="N15" i="38"/>
  <c r="N70" i="38" s="1"/>
  <c r="N69" i="38" s="1"/>
  <c r="M22" i="38"/>
  <c r="M17" i="38"/>
  <c r="M20" i="38"/>
  <c r="M55" i="38"/>
  <c r="M16" i="38"/>
  <c r="M26" i="38"/>
  <c r="M51" i="38"/>
  <c r="M37" i="38"/>
  <c r="M50" i="38"/>
  <c r="M23" i="38"/>
  <c r="M25" i="38"/>
  <c r="M30" i="38"/>
  <c r="M5" i="38"/>
  <c r="M58" i="38"/>
  <c r="M43" i="38"/>
  <c r="M21" i="38"/>
  <c r="M13" i="38"/>
  <c r="M11" i="38"/>
  <c r="M49" i="38"/>
  <c r="M47" i="38"/>
  <c r="M40" i="38"/>
  <c r="M9" i="38"/>
  <c r="M31" i="38"/>
  <c r="M36" i="38"/>
  <c r="M46" i="38"/>
  <c r="M27" i="38"/>
  <c r="M3" i="38"/>
  <c r="M33" i="38"/>
  <c r="M39" i="38"/>
  <c r="M19" i="38"/>
  <c r="M59" i="38"/>
  <c r="M45" i="38"/>
  <c r="M44" i="38"/>
  <c r="M42" i="38"/>
  <c r="M56" i="38"/>
  <c r="AE2" i="38"/>
  <c r="Z34" i="38" s="1"/>
  <c r="M4" i="38"/>
  <c r="M60" i="38"/>
  <c r="M28" i="38"/>
  <c r="M7" i="38"/>
  <c r="M32" i="38"/>
  <c r="M35" i="38"/>
  <c r="AB52" i="38"/>
  <c r="M52" i="38"/>
  <c r="AB41" i="38"/>
  <c r="O41" i="38"/>
  <c r="P8" i="38"/>
  <c r="AB9" i="38"/>
  <c r="U37" i="38"/>
  <c r="AB37" i="38"/>
  <c r="U43" i="38"/>
  <c r="U21" i="38"/>
  <c r="U18" i="38"/>
  <c r="U30" i="38"/>
  <c r="U31" i="38"/>
  <c r="U59" i="38"/>
  <c r="U13" i="38"/>
  <c r="U22" i="38"/>
  <c r="U4" i="38"/>
  <c r="U5" i="38"/>
  <c r="U49" i="38"/>
  <c r="U42" i="38"/>
  <c r="U11" i="38"/>
  <c r="U50" i="38"/>
  <c r="U46" i="38"/>
  <c r="U38" i="38"/>
  <c r="U45" i="38"/>
  <c r="U56" i="38"/>
  <c r="U25" i="38"/>
  <c r="U7" i="38"/>
  <c r="U40" i="38"/>
  <c r="U39" i="38"/>
  <c r="U60" i="38"/>
  <c r="U52" i="38"/>
  <c r="U27" i="38"/>
  <c r="U36" i="38"/>
  <c r="U29" i="38"/>
  <c r="U55" i="38"/>
  <c r="U32" i="38"/>
  <c r="U33" i="38"/>
  <c r="U3" i="38"/>
  <c r="U41" i="38"/>
  <c r="U57" i="38"/>
  <c r="U48" i="38"/>
  <c r="U16" i="38"/>
  <c r="U35" i="38"/>
  <c r="U26" i="38"/>
  <c r="U44" i="38"/>
  <c r="U17" i="38"/>
  <c r="U23" i="38"/>
  <c r="U19" i="38"/>
  <c r="U20" i="38"/>
  <c r="V19" i="38"/>
  <c r="W27" i="38"/>
  <c r="AB27" i="38"/>
  <c r="U58" i="38"/>
  <c r="AB58" i="38"/>
  <c r="AB22" i="38"/>
  <c r="X19" i="38"/>
  <c r="Y22" i="38"/>
  <c r="X54" i="38"/>
  <c r="AB59" i="38"/>
  <c r="Y59" i="38"/>
  <c r="X8" i="38"/>
  <c r="Y11" i="38"/>
  <c r="U28" i="38"/>
  <c r="U47" i="38"/>
  <c r="M24" i="38"/>
  <c r="M54" i="38"/>
  <c r="M41" i="38"/>
  <c r="P15" i="38"/>
  <c r="U24" i="38"/>
  <c r="U51" i="38"/>
  <c r="M48" i="38"/>
  <c r="M38" i="38"/>
  <c r="U34" i="38"/>
  <c r="M18" i="38"/>
  <c r="M29" i="38"/>
  <c r="Q9" i="38"/>
  <c r="H8" i="38"/>
  <c r="I3" i="38"/>
  <c r="I47" i="38"/>
  <c r="I44" i="38"/>
  <c r="I38" i="38"/>
  <c r="I34" i="38"/>
  <c r="I27" i="38"/>
  <c r="I28" i="38"/>
  <c r="I45" i="38"/>
  <c r="I4" i="38"/>
  <c r="I21" i="38"/>
  <c r="I43" i="38"/>
  <c r="I59" i="38"/>
  <c r="I50" i="38"/>
  <c r="I60" i="38"/>
  <c r="I18" i="38"/>
  <c r="I36" i="38"/>
  <c r="I42" i="38"/>
  <c r="I25" i="38"/>
  <c r="I33" i="38"/>
  <c r="I31" i="38"/>
  <c r="I7" i="38"/>
  <c r="C43" i="38"/>
  <c r="C22" i="38"/>
  <c r="C7" i="38"/>
  <c r="C11" i="38"/>
  <c r="C55" i="38"/>
  <c r="C46" i="38"/>
  <c r="C36" i="38"/>
  <c r="C32" i="38"/>
  <c r="C42" i="38"/>
  <c r="C45" i="38"/>
  <c r="C24" i="38"/>
  <c r="C47" i="38"/>
  <c r="C44" i="38"/>
  <c r="C27" i="38"/>
  <c r="C8" i="38"/>
  <c r="C49" i="38"/>
  <c r="C31" i="38"/>
  <c r="C5" i="38"/>
  <c r="C9" i="38"/>
  <c r="C57" i="38"/>
  <c r="C52" i="38"/>
  <c r="C28" i="38"/>
  <c r="C38" i="38"/>
  <c r="C25" i="38"/>
  <c r="T15" i="38"/>
  <c r="AB39" i="38"/>
  <c r="D15" i="38"/>
  <c r="AB21" i="38"/>
  <c r="G21" i="38"/>
  <c r="F19" i="38"/>
  <c r="AB46" i="38"/>
  <c r="G46" i="38"/>
  <c r="AB56" i="38"/>
  <c r="G56" i="38"/>
  <c r="AB53" i="38"/>
  <c r="M53" i="38"/>
  <c r="AB11" i="38"/>
  <c r="L6" i="38"/>
  <c r="M8" i="38"/>
  <c r="C21" i="38"/>
  <c r="AB51" i="38"/>
  <c r="C51" i="38"/>
  <c r="H84" i="40"/>
  <c r="R84" i="40"/>
  <c r="X84" i="40"/>
  <c r="Y31" i="40"/>
  <c r="L84" i="40"/>
  <c r="L64" i="40"/>
  <c r="F84" i="40"/>
  <c r="N84" i="40"/>
  <c r="L91" i="40"/>
  <c r="J84" i="40"/>
  <c r="P84" i="40"/>
  <c r="P89" i="40" s="1"/>
  <c r="P91" i="40"/>
  <c r="V84" i="40"/>
  <c r="G28" i="40"/>
  <c r="T84" i="40"/>
  <c r="U31" i="40"/>
  <c r="G62" i="40"/>
  <c r="G24" i="40"/>
  <c r="D84" i="40"/>
  <c r="B84" i="40"/>
  <c r="O49" i="40"/>
  <c r="U17" i="40"/>
  <c r="E9" i="40"/>
  <c r="Y29" i="40"/>
  <c r="M31" i="40"/>
  <c r="AB9" i="40"/>
  <c r="AB8" i="40" s="1"/>
  <c r="AB6" i="40" s="1"/>
  <c r="E23" i="40"/>
  <c r="S44" i="40"/>
  <c r="S61" i="40"/>
  <c r="S69" i="40"/>
  <c r="B19" i="40"/>
  <c r="C19" i="40" s="1"/>
  <c r="AB17" i="40"/>
  <c r="D15" i="40"/>
  <c r="F19" i="40"/>
  <c r="F15" i="40" s="1"/>
  <c r="F91" i="40" s="1"/>
  <c r="AB18" i="40"/>
  <c r="J15" i="40"/>
  <c r="T19" i="40"/>
  <c r="AB2" i="40"/>
  <c r="N15" i="40"/>
  <c r="N88" i="40" s="1"/>
  <c r="N89" i="40" s="1"/>
  <c r="H19" i="40"/>
  <c r="H15" i="40" s="1"/>
  <c r="H88" i="40" s="1"/>
  <c r="Y27" i="40"/>
  <c r="Y40" i="40"/>
  <c r="Q45" i="40"/>
  <c r="U40" i="40"/>
  <c r="W40" i="40"/>
  <c r="O25" i="40"/>
  <c r="O54" i="40"/>
  <c r="E28" i="40"/>
  <c r="Q57" i="40"/>
  <c r="E26" i="40"/>
  <c r="E60" i="40"/>
  <c r="Q24" i="40"/>
  <c r="Q52" i="40"/>
  <c r="E59" i="40"/>
  <c r="E35" i="40"/>
  <c r="Q28" i="40"/>
  <c r="Q42" i="40"/>
  <c r="E55" i="40"/>
  <c r="E49" i="40"/>
  <c r="E18" i="40"/>
  <c r="E24" i="40"/>
  <c r="Q7" i="40"/>
  <c r="Y58" i="40"/>
  <c r="C48" i="40"/>
  <c r="O18" i="40"/>
  <c r="U42" i="40"/>
  <c r="K26" i="40"/>
  <c r="O53" i="40"/>
  <c r="U44" i="40"/>
  <c r="E34" i="40"/>
  <c r="Q27" i="40"/>
  <c r="W60" i="40"/>
  <c r="C45" i="40"/>
  <c r="I58" i="40"/>
  <c r="H14" i="40"/>
  <c r="I14" i="40" s="1"/>
  <c r="S24" i="40"/>
  <c r="Y55" i="40"/>
  <c r="C63" i="40"/>
  <c r="I29" i="40"/>
  <c r="U4" i="40"/>
  <c r="M7" i="40"/>
  <c r="U56" i="40"/>
  <c r="G3" i="40"/>
  <c r="C23" i="40"/>
  <c r="O30" i="40"/>
  <c r="O17" i="40"/>
  <c r="Y52" i="40"/>
  <c r="Y57" i="40"/>
  <c r="Y3" i="40"/>
  <c r="O27" i="40"/>
  <c r="C33" i="40"/>
  <c r="Y25" i="40"/>
  <c r="O32" i="40"/>
  <c r="E19" i="40"/>
  <c r="G59" i="40"/>
  <c r="O40" i="40"/>
  <c r="O52" i="40"/>
  <c r="O48" i="40"/>
  <c r="O58" i="40"/>
  <c r="Y34" i="40"/>
  <c r="Y47" i="40"/>
  <c r="O16" i="40"/>
  <c r="Q56" i="40"/>
  <c r="G53" i="40"/>
  <c r="C28" i="40"/>
  <c r="Q44" i="40"/>
  <c r="Q17" i="40"/>
  <c r="Q40" i="40"/>
  <c r="Q54" i="40"/>
  <c r="G7" i="40"/>
  <c r="E63" i="40"/>
  <c r="E52" i="40"/>
  <c r="O60" i="40"/>
  <c r="E62" i="40"/>
  <c r="O47" i="40"/>
  <c r="E57" i="40"/>
  <c r="O50" i="40"/>
  <c r="Y9" i="40"/>
  <c r="Y44" i="40"/>
  <c r="O4" i="40"/>
  <c r="E45" i="40"/>
  <c r="Q63" i="40"/>
  <c r="G18" i="40"/>
  <c r="G57" i="40"/>
  <c r="U57" i="40"/>
  <c r="Q25" i="40"/>
  <c r="Q38" i="40"/>
  <c r="Q35" i="40"/>
  <c r="Q59" i="40"/>
  <c r="B8" i="40"/>
  <c r="G60" i="40"/>
  <c r="G49" i="40"/>
  <c r="G58" i="40"/>
  <c r="G47" i="40"/>
  <c r="G44" i="40"/>
  <c r="I4" i="40"/>
  <c r="G48" i="40"/>
  <c r="G23" i="40"/>
  <c r="G30" i="40"/>
  <c r="G33" i="40"/>
  <c r="G36" i="40"/>
  <c r="G51" i="40"/>
  <c r="U60" i="40"/>
  <c r="G5" i="40"/>
  <c r="G9" i="40"/>
  <c r="G40" i="40"/>
  <c r="G20" i="40"/>
  <c r="AB59" i="40"/>
  <c r="I27" i="40"/>
  <c r="G27" i="40"/>
  <c r="G16" i="40"/>
  <c r="G6" i="40"/>
  <c r="H56" i="40"/>
  <c r="I56" i="40" s="1"/>
  <c r="O29" i="40"/>
  <c r="O36" i="40"/>
  <c r="O3" i="40"/>
  <c r="O28" i="40"/>
  <c r="C20" i="40"/>
  <c r="O62" i="40"/>
  <c r="C60" i="40"/>
  <c r="G29" i="40"/>
  <c r="G34" i="40"/>
  <c r="G38" i="40"/>
  <c r="G52" i="40"/>
  <c r="C13" i="40"/>
  <c r="G22" i="40"/>
  <c r="AB40" i="40"/>
  <c r="U25" i="40"/>
  <c r="U55" i="40"/>
  <c r="U53" i="40"/>
  <c r="U52" i="40"/>
  <c r="U38" i="40"/>
  <c r="U35" i="40"/>
  <c r="U43" i="40"/>
  <c r="U26" i="40"/>
  <c r="U16" i="40"/>
  <c r="U3" i="40"/>
  <c r="U22" i="40"/>
  <c r="U13" i="40"/>
  <c r="U63" i="40"/>
  <c r="U54" i="40"/>
  <c r="U46" i="40"/>
  <c r="U48" i="40"/>
  <c r="U36" i="40"/>
  <c r="U33" i="40"/>
  <c r="U27" i="40"/>
  <c r="U18" i="40"/>
  <c r="U5" i="40"/>
  <c r="U28" i="40"/>
  <c r="U59" i="40"/>
  <c r="U62" i="40"/>
  <c r="U50" i="40"/>
  <c r="U37" i="40"/>
  <c r="U34" i="40"/>
  <c r="U30" i="40"/>
  <c r="U23" i="40"/>
  <c r="U7" i="40"/>
  <c r="U51" i="40"/>
  <c r="U9" i="40"/>
  <c r="U45" i="40"/>
  <c r="C49" i="40"/>
  <c r="C40" i="40"/>
  <c r="C53" i="40"/>
  <c r="C25" i="40"/>
  <c r="C4" i="40"/>
  <c r="C62" i="40"/>
  <c r="C55" i="40"/>
  <c r="C27" i="40"/>
  <c r="C58" i="40"/>
  <c r="C54" i="40"/>
  <c r="C35" i="40"/>
  <c r="C24" i="40"/>
  <c r="C36" i="40"/>
  <c r="O63" i="40"/>
  <c r="O45" i="40"/>
  <c r="O42" i="40"/>
  <c r="O7" i="40"/>
  <c r="O43" i="40"/>
  <c r="O51" i="40"/>
  <c r="O57" i="40"/>
  <c r="O34" i="40"/>
  <c r="O55" i="40"/>
  <c r="O38" i="40"/>
  <c r="O35" i="40"/>
  <c r="O44" i="40"/>
  <c r="O46" i="40"/>
  <c r="O23" i="40"/>
  <c r="O33" i="40"/>
  <c r="O59" i="40"/>
  <c r="O26" i="40"/>
  <c r="O37" i="40"/>
  <c r="O24" i="40"/>
  <c r="U29" i="40"/>
  <c r="C30" i="40"/>
  <c r="C52" i="40"/>
  <c r="U49" i="40"/>
  <c r="U58" i="40"/>
  <c r="Q13" i="40"/>
  <c r="Q47" i="40"/>
  <c r="Q29" i="40"/>
  <c r="Q23" i="40"/>
  <c r="Q46" i="40"/>
  <c r="Q30" i="40"/>
  <c r="Q51" i="40"/>
  <c r="Q62" i="40"/>
  <c r="V14" i="40"/>
  <c r="W14" i="40" s="1"/>
  <c r="E32" i="40"/>
  <c r="U32" i="40"/>
  <c r="O56" i="40"/>
  <c r="C41" i="40"/>
  <c r="E39" i="40"/>
  <c r="E51" i="40"/>
  <c r="G41" i="40"/>
  <c r="C51" i="40"/>
  <c r="AB42" i="40"/>
  <c r="E44" i="40"/>
  <c r="E54" i="40"/>
  <c r="O22" i="40"/>
  <c r="E36" i="40"/>
  <c r="E7" i="40"/>
  <c r="E47" i="40"/>
  <c r="E5" i="40"/>
  <c r="E46" i="40"/>
  <c r="E4" i="40"/>
  <c r="E40" i="40"/>
  <c r="W37" i="40"/>
  <c r="E48" i="40"/>
  <c r="E37" i="40"/>
  <c r="Q20" i="40"/>
  <c r="E33" i="40"/>
  <c r="E50" i="40"/>
  <c r="E30" i="40"/>
  <c r="E27" i="40"/>
  <c r="E38" i="40"/>
  <c r="E13" i="40"/>
  <c r="E3" i="40"/>
  <c r="E22" i="40"/>
  <c r="Q9" i="40"/>
  <c r="Q5" i="40"/>
  <c r="Q26" i="40"/>
  <c r="Q48" i="40"/>
  <c r="Q34" i="40"/>
  <c r="Q55" i="40"/>
  <c r="Q53" i="40"/>
  <c r="G43" i="40"/>
  <c r="W28" i="40"/>
  <c r="I30" i="40"/>
  <c r="I8" i="40"/>
  <c r="Q19" i="40"/>
  <c r="Y46" i="40"/>
  <c r="Y54" i="40"/>
  <c r="Y38" i="40"/>
  <c r="W45" i="40"/>
  <c r="I38" i="40"/>
  <c r="S43" i="40"/>
  <c r="I34" i="40"/>
  <c r="Y8" i="40"/>
  <c r="Y13" i="40"/>
  <c r="Y32" i="40"/>
  <c r="O19" i="40"/>
  <c r="G42" i="40"/>
  <c r="I39" i="40"/>
  <c r="G55" i="40"/>
  <c r="S20" i="40"/>
  <c r="I17" i="40"/>
  <c r="AB44" i="40"/>
  <c r="I20" i="40"/>
  <c r="Y37" i="40"/>
  <c r="Y50" i="40"/>
  <c r="Y35" i="40"/>
  <c r="W9" i="40"/>
  <c r="I33" i="40"/>
  <c r="S47" i="40"/>
  <c r="Y4" i="40"/>
  <c r="Y7" i="40"/>
  <c r="Y26" i="40"/>
  <c r="C32" i="40"/>
  <c r="K36" i="40"/>
  <c r="J14" i="40"/>
  <c r="C43" i="40"/>
  <c r="E43" i="40"/>
  <c r="S52" i="40"/>
  <c r="S51" i="40"/>
  <c r="S36" i="40"/>
  <c r="S23" i="40"/>
  <c r="S32" i="40"/>
  <c r="I63" i="40"/>
  <c r="E58" i="40"/>
  <c r="I7" i="40"/>
  <c r="I26" i="40"/>
  <c r="I32" i="40"/>
  <c r="I48" i="40"/>
  <c r="I42" i="40"/>
  <c r="I53" i="40"/>
  <c r="I23" i="40"/>
  <c r="I54" i="40"/>
  <c r="G8" i="40"/>
  <c r="S56" i="40"/>
  <c r="I22" i="40"/>
  <c r="S63" i="40"/>
  <c r="S3" i="40"/>
  <c r="I28" i="40"/>
  <c r="I47" i="40"/>
  <c r="S13" i="40"/>
  <c r="C31" i="40"/>
  <c r="C34" i="40"/>
  <c r="C5" i="40"/>
  <c r="C16" i="40"/>
  <c r="C57" i="40"/>
  <c r="C44" i="40"/>
  <c r="C46" i="40"/>
  <c r="C38" i="40"/>
  <c r="C29" i="40"/>
  <c r="C7" i="40"/>
  <c r="O9" i="40"/>
  <c r="O5" i="40"/>
  <c r="O13" i="40"/>
  <c r="W32" i="40"/>
  <c r="Y48" i="40"/>
  <c r="Y43" i="40"/>
  <c r="Y36" i="40"/>
  <c r="Y33" i="40"/>
  <c r="Y30" i="40"/>
  <c r="Y18" i="40"/>
  <c r="Y5" i="40"/>
  <c r="Y17" i="40"/>
  <c r="Y42" i="40"/>
  <c r="Y53" i="40"/>
  <c r="Y16" i="40"/>
  <c r="Y49" i="40"/>
  <c r="O41" i="40"/>
  <c r="M41" i="40"/>
  <c r="C39" i="40"/>
  <c r="C9" i="40"/>
  <c r="E41" i="40"/>
  <c r="M19" i="40"/>
  <c r="I43" i="40"/>
  <c r="B56" i="40"/>
  <c r="C56" i="40" s="1"/>
  <c r="I31" i="40"/>
  <c r="I55" i="40"/>
  <c r="I35" i="40"/>
  <c r="I46" i="40"/>
  <c r="I3" i="40"/>
  <c r="I60" i="40"/>
  <c r="I45" i="40"/>
  <c r="I37" i="40"/>
  <c r="I40" i="40"/>
  <c r="I18" i="40"/>
  <c r="I13" i="40"/>
  <c r="I52" i="40"/>
  <c r="I59" i="40"/>
  <c r="I5" i="40"/>
  <c r="I57" i="40"/>
  <c r="I44" i="40"/>
  <c r="S58" i="40"/>
  <c r="I25" i="40"/>
  <c r="I50" i="40"/>
  <c r="W42" i="40"/>
  <c r="W53" i="40"/>
  <c r="W17" i="40"/>
  <c r="AB51" i="40"/>
  <c r="E42" i="40"/>
  <c r="I41" i="40"/>
  <c r="W4" i="40"/>
  <c r="I36" i="40"/>
  <c r="C8" i="40"/>
  <c r="W5" i="40"/>
  <c r="I24" i="40"/>
  <c r="I49" i="40"/>
  <c r="I61" i="40"/>
  <c r="I51" i="40"/>
  <c r="I9" i="40"/>
  <c r="D56" i="40"/>
  <c r="E56" i="40" s="1"/>
  <c r="S25" i="40"/>
  <c r="C26" i="40"/>
  <c r="C37" i="40"/>
  <c r="C47" i="40"/>
  <c r="C59" i="40"/>
  <c r="C50" i="40"/>
  <c r="S9" i="40"/>
  <c r="C3" i="40"/>
  <c r="I16" i="40"/>
  <c r="I62" i="40"/>
  <c r="C18" i="40"/>
  <c r="E53" i="40"/>
  <c r="E25" i="40"/>
  <c r="E29" i="40"/>
  <c r="Q3" i="40"/>
  <c r="Q58" i="40"/>
  <c r="Q60" i="40"/>
  <c r="Q49" i="40"/>
  <c r="Q33" i="40"/>
  <c r="Q50" i="40"/>
  <c r="Q43" i="40"/>
  <c r="Q18" i="40"/>
  <c r="Q4" i="40"/>
  <c r="Q22" i="40"/>
  <c r="Q37" i="40"/>
  <c r="D6" i="40"/>
  <c r="D88" i="40" s="1"/>
  <c r="D89" i="40" s="1"/>
  <c r="E8" i="40"/>
  <c r="Q32" i="40"/>
  <c r="Y45" i="40"/>
  <c r="G31" i="40"/>
  <c r="G4" i="40"/>
  <c r="G13" i="40"/>
  <c r="G54" i="40"/>
  <c r="G50" i="40"/>
  <c r="G37" i="40"/>
  <c r="G35" i="40"/>
  <c r="G25" i="40"/>
  <c r="G17" i="40"/>
  <c r="G26" i="40"/>
  <c r="G45" i="40"/>
  <c r="F14" i="40"/>
  <c r="G14" i="40" s="1"/>
  <c r="C42" i="40"/>
  <c r="Q6" i="40"/>
  <c r="Q8" i="40"/>
  <c r="AB54" i="40"/>
  <c r="E20" i="40"/>
  <c r="G39" i="40"/>
  <c r="G63" i="40"/>
  <c r="I6" i="40"/>
  <c r="O8" i="40"/>
  <c r="M39" i="40"/>
  <c r="AB43" i="40"/>
  <c r="AB63" i="40"/>
  <c r="W8" i="40"/>
  <c r="W22" i="40"/>
  <c r="W49" i="40"/>
  <c r="W47" i="40"/>
  <c r="W57" i="40"/>
  <c r="W25" i="40"/>
  <c r="W33" i="40"/>
  <c r="W63" i="40"/>
  <c r="S17" i="40"/>
  <c r="S30" i="40"/>
  <c r="S54" i="40"/>
  <c r="S29" i="40"/>
  <c r="S38" i="40"/>
  <c r="S45" i="40"/>
  <c r="S57" i="40"/>
  <c r="S49" i="40"/>
  <c r="S62" i="40"/>
  <c r="S18" i="40"/>
  <c r="M50" i="40"/>
  <c r="C22" i="40"/>
  <c r="W3" i="40"/>
  <c r="W13" i="40"/>
  <c r="W18" i="40"/>
  <c r="W27" i="40"/>
  <c r="W38" i="40"/>
  <c r="G21" i="40"/>
  <c r="M6" i="40"/>
  <c r="E17" i="40"/>
  <c r="W29" i="40"/>
  <c r="W34" i="40"/>
  <c r="W52" i="40"/>
  <c r="W50" i="40"/>
  <c r="W58" i="40"/>
  <c r="W26" i="40"/>
  <c r="W43" i="40"/>
  <c r="S59" i="40"/>
  <c r="F56" i="40"/>
  <c r="G56" i="40" s="1"/>
  <c r="S4" i="40"/>
  <c r="S35" i="40"/>
  <c r="S22" i="40"/>
  <c r="S33" i="40"/>
  <c r="S46" i="40"/>
  <c r="S60" i="40"/>
  <c r="S50" i="40"/>
  <c r="C17" i="40"/>
  <c r="S16" i="40"/>
  <c r="W36" i="40"/>
  <c r="W48" i="40"/>
  <c r="W59" i="40"/>
  <c r="W56" i="40"/>
  <c r="W16" i="40"/>
  <c r="W46" i="40"/>
  <c r="W44" i="40"/>
  <c r="W54" i="40"/>
  <c r="W7" i="40"/>
  <c r="W30" i="40"/>
  <c r="W55" i="40"/>
  <c r="G46" i="40"/>
  <c r="S42" i="40"/>
  <c r="S7" i="40"/>
  <c r="S27" i="40"/>
  <c r="S34" i="40"/>
  <c r="S28" i="40"/>
  <c r="S37" i="40"/>
  <c r="S53" i="40"/>
  <c r="S55" i="40"/>
  <c r="S48" i="40"/>
  <c r="S6" i="40"/>
  <c r="W35" i="40"/>
  <c r="X6" i="40"/>
  <c r="U8" i="40"/>
  <c r="Y59" i="40"/>
  <c r="Y51" i="40"/>
  <c r="Y62" i="40"/>
  <c r="Y56" i="40"/>
  <c r="Y63" i="40"/>
  <c r="Y60" i="40"/>
  <c r="W51" i="40"/>
  <c r="W62" i="40"/>
  <c r="U47" i="40"/>
  <c r="S5" i="40"/>
  <c r="S26" i="40"/>
  <c r="S8" i="40"/>
  <c r="S40" i="40"/>
  <c r="S31" i="40"/>
  <c r="Q16" i="40"/>
  <c r="Q36" i="40"/>
  <c r="Q31" i="40"/>
  <c r="O20" i="40"/>
  <c r="O6" i="40"/>
  <c r="M57" i="40"/>
  <c r="O39" i="40"/>
  <c r="M28" i="40"/>
  <c r="M13" i="40"/>
  <c r="M16" i="40"/>
  <c r="M33" i="40"/>
  <c r="M51" i="40"/>
  <c r="M22" i="40"/>
  <c r="M17" i="40"/>
  <c r="M34" i="40"/>
  <c r="M62" i="40"/>
  <c r="M54" i="40"/>
  <c r="M9" i="40"/>
  <c r="M43" i="40"/>
  <c r="M18" i="40"/>
  <c r="M35" i="40"/>
  <c r="M48" i="40"/>
  <c r="M20" i="40"/>
  <c r="M29" i="40"/>
  <c r="M52" i="40"/>
  <c r="M23" i="40"/>
  <c r="M36" i="40"/>
  <c r="M53" i="40"/>
  <c r="M49" i="40"/>
  <c r="M3" i="40"/>
  <c r="M26" i="40"/>
  <c r="M37" i="40"/>
  <c r="M58" i="40"/>
  <c r="L14" i="40"/>
  <c r="M14" i="40" s="1"/>
  <c r="L72" i="40" s="1"/>
  <c r="M8" i="40"/>
  <c r="M24" i="40"/>
  <c r="M42" i="40"/>
  <c r="M32" i="40"/>
  <c r="M25" i="40"/>
  <c r="M4" i="40"/>
  <c r="M27" i="40"/>
  <c r="M38" i="40"/>
  <c r="M59" i="40"/>
  <c r="AE2" i="40"/>
  <c r="Z69" i="40" s="1"/>
  <c r="M40" i="40"/>
  <c r="M5" i="40"/>
  <c r="M30" i="40"/>
  <c r="M44" i="40"/>
  <c r="M60" i="40"/>
  <c r="M55" i="40"/>
  <c r="M63" i="40"/>
  <c r="M45" i="40"/>
  <c r="M47" i="40"/>
  <c r="M46" i="40"/>
  <c r="M56" i="40"/>
  <c r="U6" i="40"/>
  <c r="T14" i="40"/>
  <c r="U14" i="40" s="1"/>
  <c r="R14" i="40"/>
  <c r="S14" i="40" s="1"/>
  <c r="N14" i="40"/>
  <c r="O14" i="40" s="1"/>
  <c r="W6" i="40"/>
  <c r="P14" i="40"/>
  <c r="Q14" i="40" s="1"/>
  <c r="P72" i="40" s="1"/>
  <c r="K4" i="40"/>
  <c r="K37" i="40"/>
  <c r="K30" i="40"/>
  <c r="K38" i="40"/>
  <c r="K34" i="40"/>
  <c r="K16" i="40"/>
  <c r="K49" i="40"/>
  <c r="K7" i="40"/>
  <c r="K32" i="40"/>
  <c r="K47" i="40"/>
  <c r="K13" i="40"/>
  <c r="K27" i="40"/>
  <c r="K24" i="40"/>
  <c r="K3" i="40"/>
  <c r="K28" i="40"/>
  <c r="K19" i="40"/>
  <c r="K62" i="40"/>
  <c r="K22" i="40"/>
  <c r="K18" i="40"/>
  <c r="K25" i="40"/>
  <c r="K33" i="40"/>
  <c r="K35" i="40"/>
  <c r="K45" i="40"/>
  <c r="K46" i="40"/>
  <c r="K40" i="40"/>
  <c r="K43" i="40"/>
  <c r="K29" i="40"/>
  <c r="K63" i="40"/>
  <c r="K42" i="40"/>
  <c r="K23" i="40"/>
  <c r="K56" i="40"/>
  <c r="K55" i="40"/>
  <c r="K57" i="40"/>
  <c r="K6" i="40"/>
  <c r="K60" i="40"/>
  <c r="K51" i="40"/>
  <c r="K58" i="40"/>
  <c r="K54" i="40"/>
  <c r="K50" i="40"/>
  <c r="K52" i="40"/>
  <c r="K41" i="40"/>
  <c r="K39" i="40"/>
  <c r="K48" i="40"/>
  <c r="K20" i="40"/>
  <c r="K53" i="40"/>
  <c r="K44" i="40"/>
  <c r="K9" i="40"/>
  <c r="K8" i="40"/>
  <c r="K59" i="40"/>
  <c r="K17" i="40"/>
  <c r="K5" i="40"/>
  <c r="B12" i="41" l="1"/>
  <c r="B62" i="37"/>
  <c r="R66" i="37"/>
  <c r="S66" i="37" s="1"/>
  <c r="S14" i="37"/>
  <c r="S70" i="37" s="1"/>
  <c r="V62" i="37"/>
  <c r="W62" i="37" s="1"/>
  <c r="R65" i="37"/>
  <c r="S65" i="37" s="1"/>
  <c r="E30" i="37"/>
  <c r="Z30" i="37"/>
  <c r="M6" i="37"/>
  <c r="L13" i="37"/>
  <c r="M13" i="37" s="1"/>
  <c r="Q6" i="37"/>
  <c r="P13" i="37"/>
  <c r="Q13" i="37" s="1"/>
  <c r="P64" i="37" s="1"/>
  <c r="Q64" i="37" s="1"/>
  <c r="V70" i="37"/>
  <c r="W6" i="37"/>
  <c r="V66" i="37"/>
  <c r="W66" i="37" s="1"/>
  <c r="Z37" i="37"/>
  <c r="Z52" i="37"/>
  <c r="Z35" i="37"/>
  <c r="Z22" i="37"/>
  <c r="Z41" i="37"/>
  <c r="Z24" i="37"/>
  <c r="Z26" i="37"/>
  <c r="Z50" i="37"/>
  <c r="Z59" i="37"/>
  <c r="Z7" i="37"/>
  <c r="Z3" i="37"/>
  <c r="Z28" i="37"/>
  <c r="Z32" i="37"/>
  <c r="Z17" i="37"/>
  <c r="Z25" i="37"/>
  <c r="Z39" i="37"/>
  <c r="Z5" i="37"/>
  <c r="Z9" i="37"/>
  <c r="Z33" i="37"/>
  <c r="Z46" i="37"/>
  <c r="Z67" i="37"/>
  <c r="Z49" i="37"/>
  <c r="Z18" i="37"/>
  <c r="Z15" i="37"/>
  <c r="Z21" i="37"/>
  <c r="Z45" i="37"/>
  <c r="Z23" i="37"/>
  <c r="Z51" i="37"/>
  <c r="Z11" i="37"/>
  <c r="Z56" i="37"/>
  <c r="Z29" i="37"/>
  <c r="Z34" i="37"/>
  <c r="Z31" i="37"/>
  <c r="Z54" i="37"/>
  <c r="Z10" i="37"/>
  <c r="Z60" i="37"/>
  <c r="Z36" i="37"/>
  <c r="Z38" i="37"/>
  <c r="Z47" i="37"/>
  <c r="Z12" i="37"/>
  <c r="Z27" i="37"/>
  <c r="Z40" i="37"/>
  <c r="Z2" i="37"/>
  <c r="AB2" i="37" s="1"/>
  <c r="Z16" i="37"/>
  <c r="Z4" i="37"/>
  <c r="Z48" i="37"/>
  <c r="Z44" i="37"/>
  <c r="AA44" i="37" s="1"/>
  <c r="Z58" i="37"/>
  <c r="Z57" i="37"/>
  <c r="Z53" i="37"/>
  <c r="N70" i="37"/>
  <c r="B70" i="37"/>
  <c r="Z20" i="37"/>
  <c r="U6" i="37"/>
  <c r="AB13" i="37"/>
  <c r="B61" i="37"/>
  <c r="M8" i="37"/>
  <c r="V13" i="37"/>
  <c r="W13" i="37" s="1"/>
  <c r="V63" i="37" s="1"/>
  <c r="W63" i="37" s="1"/>
  <c r="D14" i="37"/>
  <c r="V61" i="37"/>
  <c r="Z8" i="37"/>
  <c r="AA8" i="37" s="1"/>
  <c r="Z43" i="37"/>
  <c r="W61" i="37"/>
  <c r="V68" i="37"/>
  <c r="H66" i="37"/>
  <c r="I66" i="37" s="1"/>
  <c r="H65" i="37"/>
  <c r="I65" i="37" s="1"/>
  <c r="H63" i="37"/>
  <c r="I63" i="37" s="1"/>
  <c r="H62" i="37"/>
  <c r="I62" i="37" s="1"/>
  <c r="H64" i="37"/>
  <c r="I64" i="37" s="1"/>
  <c r="I14" i="37"/>
  <c r="I70" i="37" s="1"/>
  <c r="H61" i="37"/>
  <c r="T14" i="37"/>
  <c r="T70" i="37" s="1"/>
  <c r="U19" i="37"/>
  <c r="L14" i="37"/>
  <c r="L70" i="37" s="1"/>
  <c r="M19" i="37"/>
  <c r="C62" i="37"/>
  <c r="N66" i="37"/>
  <c r="O66" i="37" s="1"/>
  <c r="N62" i="37"/>
  <c r="O62" i="37" s="1"/>
  <c r="N61" i="37"/>
  <c r="O6" i="37"/>
  <c r="N13" i="37"/>
  <c r="O13" i="37" s="1"/>
  <c r="N64" i="37" s="1"/>
  <c r="O64" i="37" s="1"/>
  <c r="X14" i="37"/>
  <c r="Y70" i="37" s="1"/>
  <c r="Y19" i="37"/>
  <c r="K19" i="37"/>
  <c r="J14" i="37"/>
  <c r="J70" i="37" s="1"/>
  <c r="Y71" i="37"/>
  <c r="N65" i="37"/>
  <c r="O65" i="37" s="1"/>
  <c r="O14" i="37"/>
  <c r="C61" i="37"/>
  <c r="AB55" i="37"/>
  <c r="AC58" i="37"/>
  <c r="P61" i="37"/>
  <c r="P66" i="37"/>
  <c r="Q66" i="37" s="1"/>
  <c r="P62" i="37"/>
  <c r="Q62" i="37" s="1"/>
  <c r="Q14" i="37"/>
  <c r="P65" i="37"/>
  <c r="Q65" i="37" s="1"/>
  <c r="F14" i="37"/>
  <c r="F70" i="37" s="1"/>
  <c r="G19" i="37"/>
  <c r="Z19" i="37"/>
  <c r="R64" i="37"/>
  <c r="S64" i="37" s="1"/>
  <c r="R63" i="37"/>
  <c r="S63" i="37" s="1"/>
  <c r="AC20" i="37"/>
  <c r="AC19" i="37"/>
  <c r="B66" i="37"/>
  <c r="B65" i="37"/>
  <c r="Z6" i="37"/>
  <c r="C6" i="37"/>
  <c r="C70" i="37" s="1"/>
  <c r="B13" i="37"/>
  <c r="D64" i="37"/>
  <c r="E64" i="37" s="1"/>
  <c r="E55" i="37"/>
  <c r="Z55" i="37"/>
  <c r="D61" i="37"/>
  <c r="D71" i="37" s="1"/>
  <c r="V65" i="37"/>
  <c r="W65" i="37" s="1"/>
  <c r="W55" i="37"/>
  <c r="N91" i="40"/>
  <c r="H89" i="40"/>
  <c r="J89" i="40"/>
  <c r="H91" i="40"/>
  <c r="J88" i="40"/>
  <c r="F88" i="40"/>
  <c r="F89" i="40" s="1"/>
  <c r="T70" i="38"/>
  <c r="T69" i="38" s="1"/>
  <c r="U8" i="38"/>
  <c r="U6" i="38"/>
  <c r="Z52" i="38"/>
  <c r="S8" i="38"/>
  <c r="I19" i="38"/>
  <c r="AB30" i="38"/>
  <c r="T61" i="38"/>
  <c r="U61" i="38" s="1"/>
  <c r="D69" i="38"/>
  <c r="L70" i="38"/>
  <c r="L69" i="38" s="1"/>
  <c r="Z39" i="38"/>
  <c r="Z2" i="38"/>
  <c r="Z22" i="38"/>
  <c r="Z21" i="38"/>
  <c r="O6" i="38"/>
  <c r="Z11" i="38"/>
  <c r="Z37" i="38"/>
  <c r="N68" i="38"/>
  <c r="O68" i="38" s="1"/>
  <c r="Z9" i="38"/>
  <c r="W8" i="38"/>
  <c r="V6" i="38"/>
  <c r="Z38" i="38"/>
  <c r="F6" i="38"/>
  <c r="G8" i="38"/>
  <c r="K6" i="38"/>
  <c r="J14" i="38"/>
  <c r="K14" i="38" s="1"/>
  <c r="Z51" i="38"/>
  <c r="Z56" i="38"/>
  <c r="Z46" i="38"/>
  <c r="Z59" i="38"/>
  <c r="Z54" i="38"/>
  <c r="E6" i="38"/>
  <c r="D14" i="38"/>
  <c r="E14" i="38" s="1"/>
  <c r="D63" i="38" s="1"/>
  <c r="E63" i="38" s="1"/>
  <c r="Y8" i="38"/>
  <c r="X6" i="38"/>
  <c r="R68" i="38"/>
  <c r="S68" i="38" s="1"/>
  <c r="R61" i="38"/>
  <c r="S6" i="38"/>
  <c r="R14" i="38"/>
  <c r="S14" i="38" s="1"/>
  <c r="R63" i="38" s="1"/>
  <c r="S63" i="38" s="1"/>
  <c r="R64" i="38"/>
  <c r="S64" i="38" s="1"/>
  <c r="J15" i="38"/>
  <c r="J70" i="38" s="1"/>
  <c r="K19" i="38"/>
  <c r="Z30" i="38"/>
  <c r="C30" i="38"/>
  <c r="R70" i="38"/>
  <c r="B15" i="38"/>
  <c r="B70" i="38" s="1"/>
  <c r="Z8" i="38"/>
  <c r="I8" i="38"/>
  <c r="H6" i="38"/>
  <c r="H70" i="38" s="1"/>
  <c r="T68" i="38"/>
  <c r="U68" i="38" s="1"/>
  <c r="Z58" i="38"/>
  <c r="Z41" i="38"/>
  <c r="N63" i="38"/>
  <c r="O63" i="38" s="1"/>
  <c r="N61" i="38"/>
  <c r="N64" i="38"/>
  <c r="O64" i="38" s="1"/>
  <c r="O15" i="38"/>
  <c r="AB19" i="38"/>
  <c r="AB15" i="38" s="1"/>
  <c r="L68" i="38"/>
  <c r="M68" i="38" s="1"/>
  <c r="M6" i="38"/>
  <c r="D64" i="38"/>
  <c r="E64" i="38" s="1"/>
  <c r="D61" i="38"/>
  <c r="E15" i="38"/>
  <c r="U15" i="38"/>
  <c r="T63" i="38"/>
  <c r="U63" i="38" s="1"/>
  <c r="L64" i="38"/>
  <c r="M64" i="38" s="1"/>
  <c r="Q15" i="38"/>
  <c r="L61" i="38"/>
  <c r="Y19" i="38"/>
  <c r="X15" i="38"/>
  <c r="X64" i="38" s="1"/>
  <c r="Z27" i="38"/>
  <c r="AB8" i="38"/>
  <c r="Z20" i="38"/>
  <c r="O70" i="38"/>
  <c r="D68" i="38"/>
  <c r="E68" i="38" s="1"/>
  <c r="AB54" i="38"/>
  <c r="F15" i="38"/>
  <c r="G19" i="38"/>
  <c r="Z19" i="38"/>
  <c r="Y54" i="38"/>
  <c r="W19" i="38"/>
  <c r="V15" i="38"/>
  <c r="P6" i="38"/>
  <c r="P68" i="38" s="1"/>
  <c r="Q8" i="38"/>
  <c r="Z65" i="38"/>
  <c r="Z25" i="38"/>
  <c r="Z16" i="38"/>
  <c r="Z60" i="38"/>
  <c r="Z48" i="38"/>
  <c r="Z40" i="38"/>
  <c r="Z5" i="38"/>
  <c r="Z43" i="38"/>
  <c r="Z57" i="38"/>
  <c r="Z3" i="38"/>
  <c r="Z28" i="38"/>
  <c r="Z26" i="38"/>
  <c r="Z4" i="38"/>
  <c r="Z13" i="38"/>
  <c r="Z29" i="38"/>
  <c r="Z47" i="38"/>
  <c r="Z55" i="38"/>
  <c r="Z31" i="38"/>
  <c r="Z44" i="38"/>
  <c r="Z23" i="38"/>
  <c r="Z7" i="38"/>
  <c r="Z33" i="38"/>
  <c r="Z42" i="38"/>
  <c r="Z17" i="38"/>
  <c r="Z50" i="38"/>
  <c r="Z45" i="38"/>
  <c r="Z24" i="38"/>
  <c r="Z35" i="38"/>
  <c r="Z53" i="38"/>
  <c r="Z49" i="38"/>
  <c r="Z32" i="38"/>
  <c r="Z18" i="38"/>
  <c r="L14" i="38"/>
  <c r="M14" i="38" s="1"/>
  <c r="L63" i="38" s="1"/>
  <c r="M63" i="38" s="1"/>
  <c r="T64" i="38"/>
  <c r="U64" i="38" s="1"/>
  <c r="J91" i="40"/>
  <c r="L89" i="40"/>
  <c r="Y6" i="40"/>
  <c r="AB84" i="40"/>
  <c r="D14" i="40"/>
  <c r="E14" i="40" s="1"/>
  <c r="D72" i="40" s="1"/>
  <c r="D91" i="40"/>
  <c r="D67" i="40"/>
  <c r="D73" i="40" s="1"/>
  <c r="D90" i="40" s="1"/>
  <c r="R89" i="40"/>
  <c r="N72" i="40"/>
  <c r="R72" i="40"/>
  <c r="H72" i="40"/>
  <c r="F72" i="40"/>
  <c r="H64" i="40"/>
  <c r="H65" i="40" s="1"/>
  <c r="I19" i="40"/>
  <c r="Z21" i="40"/>
  <c r="AB56" i="40"/>
  <c r="Z12" i="40"/>
  <c r="Z31" i="40"/>
  <c r="Z25" i="40"/>
  <c r="Z29" i="40"/>
  <c r="Z26" i="40"/>
  <c r="Z30" i="40"/>
  <c r="Z61" i="40"/>
  <c r="Z10" i="40"/>
  <c r="Z7" i="40"/>
  <c r="Z27" i="40"/>
  <c r="Z11" i="40"/>
  <c r="Z13" i="40"/>
  <c r="AB21" i="40"/>
  <c r="B15" i="40"/>
  <c r="B6" i="40"/>
  <c r="Z8" i="40"/>
  <c r="Z9" i="40"/>
  <c r="Z2" i="40"/>
  <c r="J67" i="40"/>
  <c r="J73" i="40" s="1"/>
  <c r="J90" i="40" s="1"/>
  <c r="G19" i="40"/>
  <c r="E15" i="40"/>
  <c r="K15" i="40"/>
  <c r="H67" i="40"/>
  <c r="H73" i="40" s="1"/>
  <c r="H90" i="40" s="1"/>
  <c r="D64" i="40"/>
  <c r="D65" i="40" s="1"/>
  <c r="N64" i="40"/>
  <c r="P66" i="40"/>
  <c r="Q66" i="40" s="1"/>
  <c r="U24" i="40"/>
  <c r="E6" i="40"/>
  <c r="Q41" i="40"/>
  <c r="H66" i="40"/>
  <c r="I66" i="40" s="1"/>
  <c r="J64" i="40"/>
  <c r="J65" i="40" s="1"/>
  <c r="I15" i="40"/>
  <c r="X14" i="40"/>
  <c r="Y14" i="40" s="1"/>
  <c r="Q39" i="40"/>
  <c r="Z49" i="40"/>
  <c r="Z53" i="40"/>
  <c r="Z59" i="40"/>
  <c r="Z47" i="40"/>
  <c r="Z46" i="40"/>
  <c r="Z33" i="40"/>
  <c r="Z40" i="40"/>
  <c r="Z58" i="40"/>
  <c r="Z48" i="40"/>
  <c r="Z44" i="40"/>
  <c r="Z16" i="40"/>
  <c r="Z36" i="40"/>
  <c r="Z68" i="40"/>
  <c r="Z51" i="40"/>
  <c r="Z55" i="40"/>
  <c r="Z50" i="40"/>
  <c r="Z56" i="40"/>
  <c r="Z4" i="40"/>
  <c r="Z37" i="40"/>
  <c r="Z5" i="40"/>
  <c r="Z17" i="40"/>
  <c r="Z63" i="40"/>
  <c r="Z57" i="40"/>
  <c r="Z34" i="40"/>
  <c r="Z18" i="40"/>
  <c r="Z43" i="40"/>
  <c r="Z35" i="40"/>
  <c r="Z32" i="40"/>
  <c r="Z62" i="40"/>
  <c r="Z45" i="40"/>
  <c r="Z38" i="40"/>
  <c r="Z52" i="40"/>
  <c r="Z54" i="40"/>
  <c r="Z42" i="40"/>
  <c r="Z3" i="40"/>
  <c r="Z60" i="40"/>
  <c r="S19" i="40"/>
  <c r="V19" i="40"/>
  <c r="U20" i="40"/>
  <c r="K14" i="40"/>
  <c r="J66" i="40" s="1"/>
  <c r="AA11" i="38" l="1"/>
  <c r="AC55" i="37"/>
  <c r="Y64" i="38"/>
  <c r="N63" i="37"/>
  <c r="O63" i="37" s="1"/>
  <c r="W70" i="37"/>
  <c r="V64" i="37"/>
  <c r="W64" i="37" s="1"/>
  <c r="B68" i="37"/>
  <c r="B71" i="37"/>
  <c r="AB14" i="37"/>
  <c r="AB61" i="37" s="1"/>
  <c r="Q70" i="37"/>
  <c r="AA47" i="37"/>
  <c r="AA29" i="37"/>
  <c r="AA18" i="37"/>
  <c r="AA33" i="37"/>
  <c r="AA3" i="37"/>
  <c r="P63" i="37"/>
  <c r="Q63" i="37" s="1"/>
  <c r="E14" i="37"/>
  <c r="E70" i="37" s="1"/>
  <c r="D62" i="37"/>
  <c r="E62" i="37" s="1"/>
  <c r="D70" i="37"/>
  <c r="D66" i="37"/>
  <c r="E66" i="37" s="1"/>
  <c r="AA53" i="37"/>
  <c r="AA40" i="37"/>
  <c r="AA54" i="37"/>
  <c r="AA45" i="37"/>
  <c r="AA9" i="37"/>
  <c r="AA7" i="37"/>
  <c r="AA52" i="37"/>
  <c r="AA55" i="37"/>
  <c r="AA19" i="37"/>
  <c r="AA20" i="37"/>
  <c r="AA57" i="37"/>
  <c r="AA4" i="37"/>
  <c r="AA27" i="37"/>
  <c r="AA36" i="37"/>
  <c r="AA31" i="37"/>
  <c r="AA11" i="37"/>
  <c r="AA21" i="37"/>
  <c r="AA5" i="37"/>
  <c r="AA32" i="37"/>
  <c r="AA59" i="37"/>
  <c r="AA41" i="37"/>
  <c r="AA37" i="37"/>
  <c r="AA42" i="37"/>
  <c r="AA30" i="37"/>
  <c r="AA10" i="37"/>
  <c r="AA23" i="37"/>
  <c r="AA25" i="37"/>
  <c r="AA26" i="37"/>
  <c r="AA35" i="37"/>
  <c r="AC13" i="37"/>
  <c r="AA48" i="37"/>
  <c r="AA38" i="37"/>
  <c r="AA56" i="37"/>
  <c r="AA49" i="37"/>
  <c r="AA17" i="37"/>
  <c r="AA24" i="37"/>
  <c r="AA6" i="37"/>
  <c r="O70" i="37"/>
  <c r="AA43" i="37"/>
  <c r="D65" i="37"/>
  <c r="E65" i="37" s="1"/>
  <c r="AA58" i="37"/>
  <c r="AA16" i="37"/>
  <c r="AA12" i="37"/>
  <c r="AA60" i="37"/>
  <c r="AA34" i="37"/>
  <c r="AA51" i="37"/>
  <c r="AA15" i="37"/>
  <c r="AA46" i="37"/>
  <c r="AA39" i="37"/>
  <c r="AA28" i="37"/>
  <c r="AA50" i="37"/>
  <c r="AA22" i="37"/>
  <c r="D63" i="37"/>
  <c r="E63" i="37" s="1"/>
  <c r="K14" i="37"/>
  <c r="K70" i="37" s="1"/>
  <c r="J64" i="37"/>
  <c r="K64" i="37" s="1"/>
  <c r="J65" i="37"/>
  <c r="K65" i="37" s="1"/>
  <c r="J63" i="37"/>
  <c r="K63" i="37" s="1"/>
  <c r="J61" i="37"/>
  <c r="J66" i="37"/>
  <c r="K66" i="37" s="1"/>
  <c r="J62" i="37"/>
  <c r="K62" i="37" s="1"/>
  <c r="N68" i="37"/>
  <c r="O61" i="37"/>
  <c r="T62" i="37"/>
  <c r="U62" i="37" s="1"/>
  <c r="T65" i="37"/>
  <c r="U65" i="37" s="1"/>
  <c r="T63" i="37"/>
  <c r="U63" i="37" s="1"/>
  <c r="T64" i="37"/>
  <c r="U64" i="37" s="1"/>
  <c r="U14" i="37"/>
  <c r="U70" i="37" s="1"/>
  <c r="T66" i="37"/>
  <c r="U66" i="37" s="1"/>
  <c r="T61" i="37"/>
  <c r="AA71" i="37"/>
  <c r="Q61" i="37"/>
  <c r="P68" i="37"/>
  <c r="I61" i="37"/>
  <c r="H68" i="37"/>
  <c r="C65" i="37"/>
  <c r="F61" i="37"/>
  <c r="F64" i="37"/>
  <c r="G64" i="37" s="1"/>
  <c r="G14" i="37"/>
  <c r="G70" i="37" s="1"/>
  <c r="F63" i="37"/>
  <c r="G63" i="37" s="1"/>
  <c r="Z14" i="37"/>
  <c r="AA14" i="37" s="1"/>
  <c r="F62" i="37"/>
  <c r="F66" i="37"/>
  <c r="G66" i="37" s="1"/>
  <c r="F65" i="37"/>
  <c r="G65" i="37" s="1"/>
  <c r="L65" i="37"/>
  <c r="M65" i="37" s="1"/>
  <c r="L62" i="37"/>
  <c r="M62" i="37" s="1"/>
  <c r="L61" i="37"/>
  <c r="L63" i="37"/>
  <c r="M63" i="37" s="1"/>
  <c r="M14" i="37"/>
  <c r="M70" i="37" s="1"/>
  <c r="L64" i="37"/>
  <c r="M64" i="37" s="1"/>
  <c r="L66" i="37"/>
  <c r="M66" i="37" s="1"/>
  <c r="D68" i="37"/>
  <c r="E61" i="37"/>
  <c r="C13" i="37"/>
  <c r="Z13" i="37"/>
  <c r="AA13" i="37" s="1"/>
  <c r="C66" i="37"/>
  <c r="Y14" i="37"/>
  <c r="X66" i="37"/>
  <c r="Y66" i="37" s="1"/>
  <c r="X65" i="37"/>
  <c r="Y65" i="37" s="1"/>
  <c r="X61" i="37"/>
  <c r="X64" i="37"/>
  <c r="Y64" i="37" s="1"/>
  <c r="X63" i="37"/>
  <c r="Y63" i="37" s="1"/>
  <c r="X62" i="37"/>
  <c r="Y62" i="37" s="1"/>
  <c r="D66" i="40"/>
  <c r="E66" i="40" s="1"/>
  <c r="U70" i="38"/>
  <c r="B91" i="40"/>
  <c r="B88" i="40"/>
  <c r="B89" i="40" s="1"/>
  <c r="AA52" i="38"/>
  <c r="AA8" i="38"/>
  <c r="T66" i="38"/>
  <c r="T62" i="38"/>
  <c r="AA58" i="38"/>
  <c r="AA53" i="38"/>
  <c r="AA50" i="38"/>
  <c r="AA7" i="38"/>
  <c r="AA55" i="38"/>
  <c r="AA13" i="38"/>
  <c r="AA3" i="38"/>
  <c r="AA40" i="38"/>
  <c r="AA25" i="38"/>
  <c r="AA54" i="38"/>
  <c r="AA51" i="38"/>
  <c r="AA56" i="38"/>
  <c r="E70" i="38"/>
  <c r="AA18" i="38"/>
  <c r="AA35" i="38"/>
  <c r="AA17" i="38"/>
  <c r="AA23" i="38"/>
  <c r="AA36" i="38"/>
  <c r="AA4" i="38"/>
  <c r="AA57" i="38"/>
  <c r="AA48" i="38"/>
  <c r="AA39" i="38"/>
  <c r="AA27" i="38"/>
  <c r="M70" i="38"/>
  <c r="AA59" i="38"/>
  <c r="AA38" i="38"/>
  <c r="AA32" i="38"/>
  <c r="AA42" i="38"/>
  <c r="AA47" i="38"/>
  <c r="AA43" i="38"/>
  <c r="AA60" i="38"/>
  <c r="AA19" i="38"/>
  <c r="AA20" i="38"/>
  <c r="AA46" i="38"/>
  <c r="AA34" i="38"/>
  <c r="AA24" i="38"/>
  <c r="AA44" i="38"/>
  <c r="AA26" i="38"/>
  <c r="AA49" i="38"/>
  <c r="AA45" i="38"/>
  <c r="AA33" i="38"/>
  <c r="AA31" i="38"/>
  <c r="AA29" i="38"/>
  <c r="AA28" i="38"/>
  <c r="AA5" i="38"/>
  <c r="AA16" i="38"/>
  <c r="E2" i="33"/>
  <c r="B16" i="33" s="1"/>
  <c r="AA9" i="38"/>
  <c r="AA41" i="38"/>
  <c r="AA30" i="38"/>
  <c r="AA37" i="38"/>
  <c r="AA22" i="38"/>
  <c r="AA21" i="38"/>
  <c r="W6" i="38"/>
  <c r="V14" i="38"/>
  <c r="W14" i="38" s="1"/>
  <c r="V63" i="38" s="1"/>
  <c r="W63" i="38" s="1"/>
  <c r="G6" i="38"/>
  <c r="F14" i="38"/>
  <c r="G14" i="38" s="1"/>
  <c r="F63" i="38" s="1"/>
  <c r="G63" i="38" s="1"/>
  <c r="H68" i="38"/>
  <c r="I68" i="38" s="1"/>
  <c r="I6" i="38"/>
  <c r="Z6" i="38"/>
  <c r="H14" i="38"/>
  <c r="H61" i="38"/>
  <c r="H64" i="38"/>
  <c r="I64" i="38" s="1"/>
  <c r="Y68" i="38"/>
  <c r="Y6" i="38"/>
  <c r="X14" i="38"/>
  <c r="Y14" i="38" s="1"/>
  <c r="X63" i="38" s="1"/>
  <c r="Y63" i="38" s="1"/>
  <c r="X61" i="38"/>
  <c r="W15" i="38"/>
  <c r="V64" i="38"/>
  <c r="W64" i="38" s="1"/>
  <c r="V68" i="38"/>
  <c r="W68" i="38" s="1"/>
  <c r="V61" i="38"/>
  <c r="V70" i="38"/>
  <c r="L62" i="38"/>
  <c r="L66" i="38"/>
  <c r="M61" i="38"/>
  <c r="F64" i="38"/>
  <c r="G64" i="38" s="1"/>
  <c r="G15" i="38"/>
  <c r="F61" i="38"/>
  <c r="F68" i="38"/>
  <c r="G68" i="38" s="1"/>
  <c r="F70" i="38"/>
  <c r="AB70" i="38" s="1"/>
  <c r="Y15" i="38"/>
  <c r="D66" i="38"/>
  <c r="E61" i="38"/>
  <c r="D62" i="38"/>
  <c r="R69" i="38"/>
  <c r="S70" i="38"/>
  <c r="Q68" i="38"/>
  <c r="Q6" i="38"/>
  <c r="P14" i="38"/>
  <c r="Q14" i="38" s="1"/>
  <c r="P63" i="38" s="1"/>
  <c r="Q63" i="38" s="1"/>
  <c r="P61" i="38"/>
  <c r="P70" i="38"/>
  <c r="AB6" i="38"/>
  <c r="AB61" i="38" s="1"/>
  <c r="C16" i="33"/>
  <c r="P64" i="38"/>
  <c r="Q64" i="38" s="1"/>
  <c r="O61" i="38"/>
  <c r="N62" i="38"/>
  <c r="N66" i="38"/>
  <c r="B63" i="38"/>
  <c r="C15" i="38"/>
  <c r="Z15" i="38"/>
  <c r="B64" i="38"/>
  <c r="B61" i="38"/>
  <c r="B68" i="38"/>
  <c r="K15" i="38"/>
  <c r="J64" i="38"/>
  <c r="K64" i="38" s="1"/>
  <c r="J61" i="38"/>
  <c r="J63" i="38"/>
  <c r="K63" i="38" s="1"/>
  <c r="J68" i="38"/>
  <c r="K68" i="38" s="1"/>
  <c r="R62" i="38"/>
  <c r="S61" i="38"/>
  <c r="R66" i="38"/>
  <c r="Z6" i="40"/>
  <c r="Z84" i="40"/>
  <c r="J72" i="40"/>
  <c r="N65" i="40"/>
  <c r="N70" i="40"/>
  <c r="N71" i="40" s="1"/>
  <c r="E64" i="40"/>
  <c r="D70" i="40"/>
  <c r="D71" i="40" s="1"/>
  <c r="B64" i="40"/>
  <c r="I64" i="40"/>
  <c r="H70" i="40"/>
  <c r="H71" i="40" s="1"/>
  <c r="AA21" i="40"/>
  <c r="AA10" i="40"/>
  <c r="B67" i="40"/>
  <c r="B73" i="40" s="1"/>
  <c r="B90" i="40" s="1"/>
  <c r="AA11" i="40"/>
  <c r="AA61" i="40"/>
  <c r="C6" i="40"/>
  <c r="B14" i="40"/>
  <c r="C14" i="40" s="1"/>
  <c r="B66" i="40" s="1"/>
  <c r="AA31" i="40"/>
  <c r="C15" i="40"/>
  <c r="AA69" i="40"/>
  <c r="AA12" i="40"/>
  <c r="AC6" i="40"/>
  <c r="AA27" i="40"/>
  <c r="AB14" i="40"/>
  <c r="AC14" i="40" s="1"/>
  <c r="K67" i="40"/>
  <c r="P64" i="40"/>
  <c r="Q64" i="40" s="1"/>
  <c r="O15" i="40"/>
  <c r="M15" i="40"/>
  <c r="N66" i="40"/>
  <c r="O66" i="40" s="1"/>
  <c r="F64" i="40"/>
  <c r="F70" i="40" s="1"/>
  <c r="F71" i="40" s="1"/>
  <c r="F67" i="40"/>
  <c r="F73" i="40" s="1"/>
  <c r="F90" i="40" s="1"/>
  <c r="E67" i="40"/>
  <c r="P67" i="40"/>
  <c r="P73" i="40" s="1"/>
  <c r="P90" i="40" s="1"/>
  <c r="I67" i="40"/>
  <c r="N67" i="40"/>
  <c r="N73" i="40" s="1"/>
  <c r="N90" i="40" s="1"/>
  <c r="G15" i="40"/>
  <c r="F66" i="40"/>
  <c r="G66" i="40" s="1"/>
  <c r="L67" i="40"/>
  <c r="L73" i="40" s="1"/>
  <c r="L90" i="40" s="1"/>
  <c r="Q15" i="40"/>
  <c r="K64" i="40"/>
  <c r="J70" i="40"/>
  <c r="J71" i="40" s="1"/>
  <c r="W24" i="40"/>
  <c r="L66" i="40"/>
  <c r="M66" i="40" s="1"/>
  <c r="AA30" i="40"/>
  <c r="AA34" i="40"/>
  <c r="AA54" i="40"/>
  <c r="W41" i="40"/>
  <c r="Y41" i="40"/>
  <c r="S41" i="40"/>
  <c r="AA52" i="40"/>
  <c r="AA40" i="40"/>
  <c r="AA16" i="40"/>
  <c r="AA47" i="40"/>
  <c r="AA45" i="40"/>
  <c r="AA32" i="40"/>
  <c r="AA26" i="40"/>
  <c r="AA60" i="40"/>
  <c r="AA59" i="40"/>
  <c r="AA43" i="40"/>
  <c r="AA5" i="40"/>
  <c r="AA53" i="40"/>
  <c r="S39" i="40"/>
  <c r="AA50" i="40"/>
  <c r="AA9" i="40"/>
  <c r="AA29" i="40"/>
  <c r="AA33" i="40"/>
  <c r="AA6" i="40"/>
  <c r="AA46" i="40"/>
  <c r="AA38" i="40"/>
  <c r="AA62" i="40"/>
  <c r="AA13" i="40"/>
  <c r="AA57" i="40"/>
  <c r="AA37" i="40"/>
  <c r="AA51" i="40"/>
  <c r="AA8" i="40"/>
  <c r="AA42" i="40"/>
  <c r="AA63" i="40"/>
  <c r="AA44" i="40"/>
  <c r="AA7" i="40"/>
  <c r="AA4" i="40"/>
  <c r="AA55" i="40"/>
  <c r="AA36" i="40"/>
  <c r="AA3" i="40"/>
  <c r="AA35" i="40"/>
  <c r="AA49" i="40"/>
  <c r="AA25" i="40"/>
  <c r="AA18" i="40"/>
  <c r="AA17" i="40"/>
  <c r="AA56" i="40"/>
  <c r="AA48" i="40"/>
  <c r="AA58" i="40"/>
  <c r="R66" i="40"/>
  <c r="S66" i="40" s="1"/>
  <c r="S15" i="40"/>
  <c r="R64" i="40"/>
  <c r="R70" i="40" s="1"/>
  <c r="R67" i="40"/>
  <c r="R73" i="40" s="1"/>
  <c r="R90" i="40" s="1"/>
  <c r="U19" i="40"/>
  <c r="W20" i="40"/>
  <c r="K66" i="40"/>
  <c r="B30" i="41" l="1"/>
  <c r="AB69" i="38"/>
  <c r="AB64" i="37"/>
  <c r="AC64" i="37" s="1"/>
  <c r="AB62" i="37"/>
  <c r="AC62" i="37" s="1"/>
  <c r="AC14" i="37"/>
  <c r="AB63" i="37"/>
  <c r="AC63" i="37" s="1"/>
  <c r="AB71" i="37"/>
  <c r="B29" i="41"/>
  <c r="AA70" i="37"/>
  <c r="AB66" i="37"/>
  <c r="AC66" i="37" s="1"/>
  <c r="G62" i="37"/>
  <c r="Z62" i="37"/>
  <c r="AA62" i="37" s="1"/>
  <c r="AB65" i="37"/>
  <c r="AC65" i="37" s="1"/>
  <c r="Z66" i="37"/>
  <c r="AA66" i="37" s="1"/>
  <c r="AB68" i="37"/>
  <c r="AC61" i="37"/>
  <c r="G61" i="37"/>
  <c r="F68" i="37"/>
  <c r="J68" i="37"/>
  <c r="K61" i="37"/>
  <c r="T68" i="37"/>
  <c r="U61" i="37"/>
  <c r="X68" i="37"/>
  <c r="Y61" i="37"/>
  <c r="B63" i="37"/>
  <c r="B64" i="37"/>
  <c r="M61" i="37"/>
  <c r="L68" i="37"/>
  <c r="Z65" i="37"/>
  <c r="AA65" i="37" s="1"/>
  <c r="Z61" i="37"/>
  <c r="AA61" i="37" s="1"/>
  <c r="K61" i="38"/>
  <c r="J66" i="38"/>
  <c r="J62" i="38"/>
  <c r="C68" i="38"/>
  <c r="Z68" i="38"/>
  <c r="AA68" i="38" s="1"/>
  <c r="X66" i="38"/>
  <c r="Y61" i="38"/>
  <c r="X62" i="38"/>
  <c r="I14" i="38"/>
  <c r="H63" i="38" s="1"/>
  <c r="I63" i="38" s="1"/>
  <c r="Z14" i="38"/>
  <c r="AA14" i="38" s="1"/>
  <c r="B62" i="38"/>
  <c r="C61" i="38"/>
  <c r="B66" i="38"/>
  <c r="C63" i="38"/>
  <c r="P69" i="38"/>
  <c r="Q70" i="38"/>
  <c r="F69" i="38"/>
  <c r="G70" i="38"/>
  <c r="Y70" i="38"/>
  <c r="H69" i="38"/>
  <c r="I70" i="38"/>
  <c r="AA6" i="38"/>
  <c r="E3" i="33" s="1"/>
  <c r="C17" i="33" s="1"/>
  <c r="C18" i="33" s="1"/>
  <c r="E12" i="33" s="1"/>
  <c r="E11" i="33" s="1"/>
  <c r="Z61" i="38"/>
  <c r="Q61" i="38"/>
  <c r="P66" i="38"/>
  <c r="P62" i="38"/>
  <c r="V69" i="38"/>
  <c r="W70" i="38"/>
  <c r="J69" i="38"/>
  <c r="K70" i="38"/>
  <c r="Z64" i="38"/>
  <c r="AA64" i="38" s="1"/>
  <c r="C64" i="38"/>
  <c r="B69" i="38"/>
  <c r="C70" i="38"/>
  <c r="Z70" i="38"/>
  <c r="AA70" i="38" s="1"/>
  <c r="AA15" i="38"/>
  <c r="E4" i="33"/>
  <c r="B19" i="33" s="1"/>
  <c r="AC6" i="38"/>
  <c r="AB14" i="38"/>
  <c r="AC14" i="38" s="1"/>
  <c r="AB63" i="38" s="1"/>
  <c r="F62" i="38"/>
  <c r="G61" i="38"/>
  <c r="F66" i="38"/>
  <c r="V62" i="38"/>
  <c r="V66" i="38"/>
  <c r="W61" i="38"/>
  <c r="H62" i="38"/>
  <c r="I61" i="38"/>
  <c r="H66" i="38"/>
  <c r="C64" i="40"/>
  <c r="B70" i="40"/>
  <c r="B72" i="40"/>
  <c r="R71" i="40"/>
  <c r="C67" i="40"/>
  <c r="B71" i="40"/>
  <c r="Z14" i="40"/>
  <c r="AA14" i="40" s="1"/>
  <c r="B65" i="40"/>
  <c r="M67" i="40"/>
  <c r="C66" i="40"/>
  <c r="O67" i="40"/>
  <c r="AB20" i="40"/>
  <c r="Z20" i="40"/>
  <c r="AA20" i="40" s="1"/>
  <c r="Z24" i="40"/>
  <c r="AA24" i="40" s="1"/>
  <c r="AB24" i="40"/>
  <c r="U41" i="40"/>
  <c r="AB41" i="40"/>
  <c r="V15" i="40"/>
  <c r="V88" i="40" s="1"/>
  <c r="V89" i="40" s="1"/>
  <c r="U39" i="40"/>
  <c r="T15" i="40"/>
  <c r="T88" i="40" s="1"/>
  <c r="F65" i="40"/>
  <c r="G64" i="40"/>
  <c r="L70" i="40"/>
  <c r="L71" i="40" s="1"/>
  <c r="L65" i="40"/>
  <c r="M64" i="40"/>
  <c r="P65" i="40"/>
  <c r="P70" i="40"/>
  <c r="P71" i="40" s="1"/>
  <c r="G67" i="40"/>
  <c r="O64" i="40"/>
  <c r="Q67" i="40"/>
  <c r="Y24" i="40"/>
  <c r="Z41" i="40"/>
  <c r="AA41" i="40" s="1"/>
  <c r="W39" i="40"/>
  <c r="Y39" i="40"/>
  <c r="Y20" i="40"/>
  <c r="S67" i="40"/>
  <c r="W23" i="40"/>
  <c r="R65" i="40"/>
  <c r="S64" i="40"/>
  <c r="Z63" i="38" l="1"/>
  <c r="AA63" i="38" s="1"/>
  <c r="Y69" i="38"/>
  <c r="Z69" i="38"/>
  <c r="AA69" i="38" s="1"/>
  <c r="Z68" i="37"/>
  <c r="Z64" i="37"/>
  <c r="AA64" i="37" s="1"/>
  <c r="C64" i="37"/>
  <c r="Z63" i="37"/>
  <c r="AA63" i="37" s="1"/>
  <c r="C63" i="37"/>
  <c r="AB66" i="38"/>
  <c r="C19" i="33"/>
  <c r="D19" i="33"/>
  <c r="E19" i="33" s="1"/>
  <c r="Z62" i="38"/>
  <c r="AA62" i="38" s="1"/>
  <c r="AA61" i="38"/>
  <c r="Z66" i="38"/>
  <c r="E17" i="33"/>
  <c r="E18" i="33" s="1"/>
  <c r="B17" i="33"/>
  <c r="B18" i="33" s="1"/>
  <c r="B20" i="33" s="1"/>
  <c r="C20" i="33" s="1"/>
  <c r="V72" i="40"/>
  <c r="V67" i="40"/>
  <c r="V91" i="40"/>
  <c r="T72" i="40"/>
  <c r="T91" i="40"/>
  <c r="T89" i="40"/>
  <c r="Y23" i="40"/>
  <c r="AB23" i="40"/>
  <c r="Z23" i="40"/>
  <c r="AA23" i="40" s="1"/>
  <c r="Z22" i="40"/>
  <c r="AA22" i="40" s="1"/>
  <c r="AB22" i="40"/>
  <c r="Z39" i="40"/>
  <c r="AA39" i="40" s="1"/>
  <c r="T71" i="40"/>
  <c r="T67" i="40"/>
  <c r="T73" i="40" s="1"/>
  <c r="T90" i="40" s="1"/>
  <c r="U15" i="40"/>
  <c r="T66" i="40"/>
  <c r="X19" i="40"/>
  <c r="AB39" i="40"/>
  <c r="W19" i="40"/>
  <c r="Y22" i="40"/>
  <c r="D17" i="33" l="1"/>
  <c r="D18" i="33" s="1"/>
  <c r="D20" i="33" s="1"/>
  <c r="T65" i="40"/>
  <c r="U66" i="40"/>
  <c r="Z28" i="40"/>
  <c r="AA28" i="40" s="1"/>
  <c r="AB28" i="40"/>
  <c r="AB19" i="40" s="1"/>
  <c r="AB15" i="40" s="1"/>
  <c r="U64" i="40"/>
  <c r="U67" i="40"/>
  <c r="V66" i="40"/>
  <c r="V73" i="40"/>
  <c r="V90" i="40" s="1"/>
  <c r="V71" i="40"/>
  <c r="W15" i="40"/>
  <c r="Y28" i="40"/>
  <c r="AB88" i="40" l="1"/>
  <c r="AB89" i="40" s="1"/>
  <c r="E20" i="33"/>
  <c r="E10" i="33"/>
  <c r="B10" i="33" s="1"/>
  <c r="E9" i="33"/>
  <c r="AB72" i="40"/>
  <c r="X15" i="40"/>
  <c r="X88" i="40" s="1"/>
  <c r="Z19" i="40"/>
  <c r="AA19" i="40" s="1"/>
  <c r="Y19" i="40"/>
  <c r="W67" i="40"/>
  <c r="W64" i="40"/>
  <c r="V65" i="40"/>
  <c r="W66" i="40"/>
  <c r="X89" i="40" l="1"/>
  <c r="X91" i="40"/>
  <c r="AB91" i="40" s="1"/>
  <c r="X66" i="40"/>
  <c r="Z66" i="40" s="1"/>
  <c r="Y15" i="40"/>
  <c r="Z15" i="40"/>
  <c r="X90" i="40" l="1"/>
  <c r="AB90" i="40" s="1"/>
  <c r="AB66" i="40"/>
  <c r="Y64" i="40"/>
  <c r="X65" i="40"/>
  <c r="Y67" i="40"/>
  <c r="Z67" i="40"/>
  <c r="AA15" i="40"/>
  <c r="Z64" i="40"/>
  <c r="Y66" i="40"/>
  <c r="AA66" i="40"/>
  <c r="AA67" i="40" l="1"/>
  <c r="Z73" i="40"/>
  <c r="Z70" i="40"/>
  <c r="Z71" i="40" s="1"/>
  <c r="X71" i="40"/>
  <c r="Z65" i="40"/>
  <c r="AA65" i="40" s="1"/>
  <c r="AA64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TEC2955</author>
    <author>Nelise Alovisi</author>
  </authors>
  <commentList>
    <comment ref="V4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Resgate investimento
</t>
        </r>
      </text>
    </comment>
    <comment ref="F42" authorId="1" shapeId="0" xr:uid="{00000000-0006-0000-0100-000002000000}">
      <text>
        <r>
          <rPr>
            <b/>
            <sz val="9"/>
            <color indexed="81"/>
            <rFont val="Segoe UI"/>
            <family val="2"/>
          </rPr>
          <t>Nelise Alovisi:</t>
        </r>
        <r>
          <rPr>
            <sz val="9"/>
            <color indexed="81"/>
            <rFont val="Segoe UI"/>
            <family val="2"/>
          </rPr>
          <t xml:space="preserve">
despesas alteração contrato social
</t>
        </r>
      </text>
    </comment>
    <comment ref="B44" authorId="1" shapeId="0" xr:uid="{00000000-0006-0000-0100-000003000000}">
      <text>
        <r>
          <rPr>
            <b/>
            <sz val="9"/>
            <color indexed="81"/>
            <rFont val="Segoe UI"/>
            <family val="2"/>
          </rPr>
          <t>Nelise Alovisi:</t>
        </r>
        <r>
          <rPr>
            <sz val="9"/>
            <color indexed="81"/>
            <rFont val="Segoe UI"/>
            <family val="2"/>
          </rPr>
          <t xml:space="preserve">
juros ref. fatura formentin que sas não isentou</t>
        </r>
      </text>
    </comment>
    <comment ref="B46" authorId="1" shapeId="0" xr:uid="{00000000-0006-0000-0100-000004000000}">
      <text>
        <r>
          <rPr>
            <b/>
            <sz val="9"/>
            <color indexed="81"/>
            <rFont val="Segoe UI"/>
            <family val="2"/>
          </rPr>
          <t>Nelise Alovisi:</t>
        </r>
        <r>
          <rPr>
            <sz val="9"/>
            <color indexed="81"/>
            <rFont val="Segoe UI"/>
            <family val="2"/>
          </rPr>
          <t xml:space="preserve">
desp. Advogado processo Claro
</t>
        </r>
      </text>
    </comment>
    <comment ref="H46" authorId="1" shapeId="0" xr:uid="{00000000-0006-0000-0100-000005000000}">
      <text>
        <r>
          <rPr>
            <b/>
            <sz val="9"/>
            <color indexed="81"/>
            <rFont val="Segoe UI"/>
            <family val="2"/>
          </rPr>
          <t>Nelise Alovisi:</t>
        </r>
        <r>
          <rPr>
            <sz val="9"/>
            <color indexed="81"/>
            <rFont val="Segoe UI"/>
            <family val="2"/>
          </rPr>
          <t xml:space="preserve">
curso vendas giovanni e fernando</t>
        </r>
      </text>
    </comment>
    <comment ref="J47" authorId="1" shapeId="0" xr:uid="{00000000-0006-0000-0100-000006000000}">
      <text>
        <r>
          <rPr>
            <b/>
            <sz val="9"/>
            <color indexed="81"/>
            <rFont val="Segoe UI"/>
            <family val="2"/>
          </rPr>
          <t>Nelise Alovisi:</t>
        </r>
        <r>
          <rPr>
            <sz val="9"/>
            <color indexed="81"/>
            <rFont val="Segoe UI"/>
            <family val="2"/>
          </rPr>
          <t xml:space="preserve">
alteração assintura email com selo 10 anos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TEC2955</author>
  </authors>
  <commentList>
    <comment ref="B4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Estorno tarifa sicredi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Segoe UI"/>
            <family val="2"/>
          </rPr>
          <t>ISS devolvido da Tokio</t>
        </r>
      </text>
    </comment>
    <comment ref="F4" authorId="0" shapeId="0" xr:uid="{00000000-0006-0000-0200-000003000000}">
      <text>
        <r>
          <rPr>
            <sz val="9"/>
            <color indexed="81"/>
            <rFont val="Segoe UI"/>
            <family val="2"/>
          </rPr>
          <t xml:space="preserve">Reembolso do Rafael Morsch ref. Seguro em atraso
</t>
        </r>
      </text>
    </comment>
    <comment ref="H4" authorId="0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Distribuição de sobras - Sicredi
</t>
        </r>
      </text>
    </comment>
    <comment ref="X4" authorId="0" shapeId="0" xr:uid="{00000000-0006-0000-0200-000005000000}">
      <text>
        <r>
          <rPr>
            <sz val="9"/>
            <color indexed="81"/>
            <rFont val="Segoe UI"/>
            <family val="2"/>
          </rPr>
          <t>Ted Jackson p/ pgto do seguro na HDI</t>
        </r>
      </text>
    </comment>
    <comment ref="P17" authorId="0" shapeId="0" xr:uid="{00000000-0006-0000-0200-000006000000}">
      <text>
        <r>
          <rPr>
            <b/>
            <sz val="9"/>
            <color indexed="81"/>
            <rFont val="Segoe UI"/>
            <family val="2"/>
          </rPr>
          <t>Aniversario Ellen e Bruna</t>
        </r>
      </text>
    </comment>
    <comment ref="V17" authorId="0" shapeId="0" xr:uid="{00000000-0006-0000-0200-000007000000}">
      <text>
        <r>
          <rPr>
            <sz val="9"/>
            <color indexed="81"/>
            <rFont val="Segoe UI"/>
            <family val="2"/>
          </rPr>
          <t>presente funcionários</t>
        </r>
      </text>
    </comment>
    <comment ref="F20" authorId="0" shapeId="0" xr:uid="{00000000-0006-0000-0200-000008000000}">
      <text>
        <r>
          <rPr>
            <sz val="9"/>
            <color indexed="81"/>
            <rFont val="Segoe UI"/>
            <family val="2"/>
          </rPr>
          <t>1374,30 - férias marcelo</t>
        </r>
      </text>
    </comment>
    <comment ref="J20" authorId="0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Salários + 872 aumento referente janeiro a março + salário artur
</t>
        </r>
      </text>
    </comment>
    <comment ref="N20" authorId="0" shapeId="0" xr:uid="{00000000-0006-0000-0200-00000A000000}">
      <text>
        <r>
          <rPr>
            <b/>
            <sz val="9"/>
            <color indexed="81"/>
            <rFont val="Segoe UI"/>
            <family val="2"/>
          </rPr>
          <t>RCT Artur - 4999,19</t>
        </r>
      </text>
    </comment>
    <comment ref="V20" authorId="0" shapeId="0" xr:uid="{00000000-0006-0000-0200-00000B000000}">
      <text>
        <r>
          <rPr>
            <sz val="9"/>
            <color indexed="81"/>
            <rFont val="Segoe UI"/>
            <family val="2"/>
          </rPr>
          <t>1 parcela 13:
Carla: 318,75
Ludi: 250,00
Tamara: 550,00
Ellen: 1562,50
Bruna: 910,50
Amanda: 1189,50
e rct marcelo: 9
500,00</t>
        </r>
      </text>
    </comment>
    <comment ref="X20" authorId="0" shapeId="0" xr:uid="{00000000-0006-0000-0200-00000C000000}">
      <text>
        <r>
          <rPr>
            <sz val="9"/>
            <color indexed="81"/>
            <rFont val="Segoe UI"/>
            <family val="2"/>
          </rPr>
          <t>RCT Marcelo - 8004,13</t>
        </r>
      </text>
    </comment>
    <comment ref="F23" authorId="0" shapeId="0" xr:uid="{00000000-0006-0000-0200-00000D000000}">
      <text>
        <r>
          <rPr>
            <b/>
            <sz val="9"/>
            <color indexed="81"/>
            <rFont val="Segoe UI"/>
            <family val="2"/>
          </rPr>
          <t>390 ref. 15 dias Artur
2730 ref. 5 funcionários p/ abril</t>
        </r>
      </text>
    </comment>
    <comment ref="H23" authorId="0" shapeId="0" xr:uid="{00000000-0006-0000-0200-00000E000000}">
      <text>
        <r>
          <rPr>
            <sz val="9"/>
            <color indexed="81"/>
            <rFont val="Segoe UI"/>
            <family val="2"/>
          </rPr>
          <t>Vale alimentação comdiferença de janeiro a maio</t>
        </r>
      </text>
    </comment>
    <comment ref="L23" authorId="0" shapeId="0" xr:uid="{00000000-0006-0000-0200-00000F000000}">
      <text>
        <r>
          <rPr>
            <sz val="9"/>
            <color indexed="81"/>
            <rFont val="Segoe UI"/>
            <family val="2"/>
          </rPr>
          <t xml:space="preserve">vale ref. Mês 07 de 5 func + mês 06 p/ nova func + mês 07 da nova func.
</t>
        </r>
      </text>
    </comment>
    <comment ref="N23" authorId="0" shapeId="0" xr:uid="{00000000-0006-0000-0200-000010000000}">
      <text>
        <r>
          <rPr>
            <b/>
            <sz val="9"/>
            <color indexed="81"/>
            <rFont val="Segoe UI"/>
            <family val="2"/>
          </rPr>
          <t>Va Ludiane= 322,20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27" authorId="0" shapeId="0" xr:uid="{00000000-0006-0000-0200-000011000000}">
      <text>
        <r>
          <rPr>
            <b/>
            <sz val="9"/>
            <color indexed="81"/>
            <rFont val="Segoe UI"/>
            <family val="2"/>
          </rPr>
          <t>Fgts Rct - 793,72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27" authorId="0" shapeId="0" xr:uid="{00000000-0006-0000-0200-000012000000}">
      <text>
        <r>
          <rPr>
            <sz val="9"/>
            <color indexed="81"/>
            <rFont val="Segoe UI"/>
            <family val="2"/>
          </rPr>
          <t>Fgts rescisório</t>
        </r>
      </text>
    </comment>
    <comment ref="D39" authorId="0" shapeId="0" xr:uid="{00000000-0006-0000-0200-000013000000}">
      <text>
        <r>
          <rPr>
            <b/>
            <sz val="9"/>
            <color indexed="81"/>
            <rFont val="Segoe UI"/>
            <family val="2"/>
          </rPr>
          <t>Parcela 3/3 Web Ferrão + mensalidade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39" authorId="0" shapeId="0" xr:uid="{00000000-0006-0000-0200-000014000000}">
      <text>
        <r>
          <rPr>
            <sz val="9"/>
            <color indexed="81"/>
            <rFont val="Segoe UI"/>
            <family val="2"/>
          </rPr>
          <t>Mensalidade Web Ferrão + Anti Virus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39" authorId="0" shapeId="0" xr:uid="{00000000-0006-0000-0200-000015000000}">
      <text>
        <r>
          <rPr>
            <b/>
            <sz val="9"/>
            <color indexed="81"/>
            <rFont val="Segoe UI"/>
            <family val="2"/>
          </rPr>
          <t>mensalidade + serv. Prestados web ferrao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P39" authorId="0" shapeId="0" xr:uid="{00000000-0006-0000-0200-000016000000}">
      <text>
        <r>
          <rPr>
            <b/>
            <sz val="9"/>
            <color indexed="81"/>
            <rFont val="Segoe UI"/>
            <family val="2"/>
          </rPr>
          <t>Mensalidade web ferrão + anti virus</t>
        </r>
      </text>
    </comment>
    <comment ref="R39" authorId="0" shapeId="0" xr:uid="{00000000-0006-0000-0200-000017000000}">
      <text>
        <r>
          <rPr>
            <b/>
            <sz val="9"/>
            <color indexed="81"/>
            <rFont val="Segoe UI"/>
            <family val="2"/>
          </rPr>
          <t>299 - microsoft
300 - web ferrao
125 - fonte web ferrao</t>
        </r>
      </text>
    </comment>
    <comment ref="T39" authorId="0" shapeId="0" xr:uid="{00000000-0006-0000-0200-000018000000}">
      <text>
        <r>
          <rPr>
            <sz val="9"/>
            <color indexed="81"/>
            <rFont val="Segoe UI"/>
            <family val="2"/>
          </rPr>
          <t>Web ferrao - 300,00
Microsoft - 299,00</t>
        </r>
      </text>
    </comment>
    <comment ref="B40" authorId="0" shapeId="0" xr:uid="{00000000-0006-0000-0200-000019000000}">
      <text>
        <r>
          <rPr>
            <b/>
            <sz val="9"/>
            <color indexed="81"/>
            <rFont val="Segoe UI"/>
            <family val="2"/>
          </rPr>
          <t>Google e Infocap</t>
        </r>
      </text>
    </comment>
    <comment ref="D40" authorId="0" shapeId="0" xr:uid="{00000000-0006-0000-0200-00001A000000}">
      <text>
        <r>
          <rPr>
            <sz val="9"/>
            <color indexed="81"/>
            <rFont val="Segoe UI"/>
            <family val="2"/>
          </rPr>
          <t>Pgto ref. Domínio Marine
+ goole + Infocap</t>
        </r>
      </text>
    </comment>
    <comment ref="H40" authorId="0" shapeId="0" xr:uid="{00000000-0006-0000-0200-00001B000000}">
      <text>
        <r>
          <rPr>
            <sz val="9"/>
            <color indexed="81"/>
            <rFont val="Segoe UI"/>
            <family val="2"/>
          </rPr>
          <t xml:space="preserve">Infocap e Google
</t>
        </r>
      </text>
    </comment>
    <comment ref="N40" authorId="0" shapeId="0" xr:uid="{00000000-0006-0000-0200-00001C000000}">
      <text>
        <r>
          <rPr>
            <b/>
            <sz val="9"/>
            <color indexed="81"/>
            <rFont val="Segoe UI"/>
            <family val="2"/>
          </rPr>
          <t>Infocap e google</t>
        </r>
      </text>
    </comment>
    <comment ref="P40" authorId="0" shapeId="0" xr:uid="{00000000-0006-0000-0200-00001D000000}">
      <text>
        <r>
          <rPr>
            <b/>
            <sz val="9"/>
            <color indexed="81"/>
            <rFont val="Segoe UI"/>
            <family val="2"/>
          </rPr>
          <t>Infocap e google</t>
        </r>
      </text>
    </comment>
    <comment ref="R40" authorId="0" shapeId="0" xr:uid="{00000000-0006-0000-0200-00001E000000}">
      <text>
        <r>
          <rPr>
            <b/>
            <sz val="9"/>
            <color indexed="81"/>
            <rFont val="Segoe UI"/>
            <family val="2"/>
          </rPr>
          <t>Infocap/ google</t>
        </r>
      </text>
    </comment>
    <comment ref="T40" authorId="0" shapeId="0" xr:uid="{00000000-0006-0000-0200-00001F000000}">
      <text>
        <r>
          <rPr>
            <sz val="9"/>
            <color indexed="81"/>
            <rFont val="Segoe UI"/>
            <family val="2"/>
          </rPr>
          <t>178,02 - google
69,80 - agger cotador
343,35 - corp</t>
        </r>
      </text>
    </comment>
    <comment ref="V40" authorId="0" shapeId="0" xr:uid="{00000000-0006-0000-0200-000020000000}">
      <text>
        <r>
          <rPr>
            <sz val="9"/>
            <color indexed="81"/>
            <rFont val="Segoe UI"/>
            <family val="2"/>
          </rPr>
          <t xml:space="preserve">Agger - 69,80
Google - 189,34
Corp - 343,35
</t>
        </r>
      </text>
    </comment>
    <comment ref="T41" authorId="0" shapeId="0" xr:uid="{00000000-0006-0000-0200-000021000000}">
      <text>
        <r>
          <rPr>
            <sz val="9"/>
            <color indexed="81"/>
            <rFont val="Segoe UI"/>
            <family val="2"/>
          </rPr>
          <t>Tim - 185,28
Vivo - 115,23</t>
        </r>
      </text>
    </comment>
    <comment ref="B43" authorId="0" shapeId="0" xr:uid="{00000000-0006-0000-0200-000022000000}">
      <text>
        <r>
          <rPr>
            <sz val="9"/>
            <color indexed="81"/>
            <rFont val="Segoe UI"/>
            <family val="2"/>
          </rPr>
          <t>Compra de café e filtro
Garrafa de agua
Papel toalha p/ banheiro</t>
        </r>
      </text>
    </comment>
    <comment ref="F43" authorId="0" shapeId="0" xr:uid="{00000000-0006-0000-0200-000023000000}">
      <text>
        <r>
          <rPr>
            <sz val="9"/>
            <color indexed="81"/>
            <rFont val="Segoe UI"/>
            <family val="2"/>
          </rPr>
          <t xml:space="preserve">adoçante, café e açucar
</t>
        </r>
      </text>
    </comment>
    <comment ref="L43" authorId="0" shapeId="0" xr:uid="{00000000-0006-0000-0200-000024000000}">
      <text>
        <r>
          <rPr>
            <b/>
            <sz val="9"/>
            <color indexed="81"/>
            <rFont val="Segoe UI"/>
            <family val="2"/>
          </rPr>
          <t>Papel toalha/ material de limpeza/ café da tarde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T43" authorId="0" shapeId="0" xr:uid="{00000000-0006-0000-0200-000025000000}">
      <text>
        <r>
          <rPr>
            <sz val="9"/>
            <color indexed="81"/>
            <rFont val="Segoe UI"/>
            <family val="2"/>
          </rPr>
          <t>papel toalha/ mercado e farmacia</t>
        </r>
      </text>
    </comment>
    <comment ref="F44" authorId="0" shapeId="0" xr:uid="{00000000-0006-0000-0200-000026000000}">
      <text>
        <r>
          <rPr>
            <sz val="9"/>
            <color indexed="81"/>
            <rFont val="Segoe UI"/>
            <family val="2"/>
          </rPr>
          <t>material de limpeza e faxineira</t>
        </r>
      </text>
    </comment>
    <comment ref="J50" authorId="0" shapeId="0" xr:uid="{00000000-0006-0000-0200-000027000000}">
      <text>
        <r>
          <rPr>
            <sz val="9"/>
            <color indexed="81"/>
            <rFont val="Segoe UI"/>
            <family val="2"/>
          </rPr>
          <t xml:space="preserve">uber e motoboy
</t>
        </r>
      </text>
    </comment>
    <comment ref="B53" authorId="0" shapeId="0" xr:uid="{00000000-0006-0000-0200-000028000000}">
      <text>
        <r>
          <rPr>
            <b/>
            <sz val="9"/>
            <color indexed="81"/>
            <rFont val="Segoe UI"/>
            <family val="2"/>
          </rPr>
          <t>Parcela 1/2 de serviço de CEO
Compra de whisky p/ clientes</t>
        </r>
      </text>
    </comment>
    <comment ref="D53" authorId="0" shapeId="0" xr:uid="{00000000-0006-0000-0200-000029000000}">
      <text>
        <r>
          <rPr>
            <sz val="9"/>
            <color indexed="81"/>
            <rFont val="Segoe UI"/>
            <family val="2"/>
          </rPr>
          <t xml:space="preserve">Parcela 2/2 de serviço de SEO
</t>
        </r>
      </text>
    </comment>
    <comment ref="P53" authorId="0" shapeId="0" xr:uid="{00000000-0006-0000-0200-00002A000000}">
      <text>
        <r>
          <rPr>
            <b/>
            <sz val="9"/>
            <color indexed="81"/>
            <rFont val="Segoe UI"/>
            <family val="2"/>
          </rPr>
          <t>Brinde Mini caminhões</t>
        </r>
      </text>
    </comment>
    <comment ref="R53" authorId="0" shapeId="0" xr:uid="{00000000-0006-0000-0200-00002B000000}">
      <text>
        <r>
          <rPr>
            <b/>
            <sz val="9"/>
            <color indexed="81"/>
            <rFont val="Segoe UI"/>
            <family val="2"/>
          </rPr>
          <t>Linkedin / Inpi - registro da marca</t>
        </r>
      </text>
    </comment>
    <comment ref="V53" authorId="0" shapeId="0" xr:uid="{00000000-0006-0000-0200-00002C000000}">
      <text>
        <r>
          <rPr>
            <sz val="9"/>
            <color indexed="81"/>
            <rFont val="Segoe UI"/>
            <family val="2"/>
          </rPr>
          <t>linkedin - 58,73
novo site - 1567,50</t>
        </r>
      </text>
    </comment>
    <comment ref="F54" authorId="0" shapeId="0" xr:uid="{00000000-0006-0000-0200-00002D000000}">
      <text>
        <r>
          <rPr>
            <sz val="9"/>
            <color indexed="81"/>
            <rFont val="Segoe UI"/>
            <family val="2"/>
          </rPr>
          <t>Curso Gestão financeira Ellen
Curso Coaching Luiz 1/12</t>
        </r>
      </text>
    </comment>
    <comment ref="T54" authorId="0" shapeId="0" xr:uid="{00000000-0006-0000-0200-00002E000000}">
      <text>
        <r>
          <rPr>
            <sz val="9"/>
            <color indexed="81"/>
            <rFont val="Segoe UI"/>
            <family val="2"/>
          </rPr>
          <t>IEV - 1095,00
IBC - 555,66</t>
        </r>
      </text>
    </comment>
    <comment ref="F57" authorId="0" shapeId="0" xr:uid="{00000000-0006-0000-0200-00002F000000}">
      <text>
        <r>
          <rPr>
            <sz val="9"/>
            <color indexed="81"/>
            <rFont val="Segoe UI"/>
            <family val="2"/>
          </rPr>
          <t xml:space="preserve">75,93 - valor reembolso de juros para R&amp;D
</t>
        </r>
      </text>
    </comment>
    <comment ref="F58" authorId="0" shapeId="0" xr:uid="{00000000-0006-0000-0200-000030000000}">
      <text>
        <r>
          <rPr>
            <sz val="9"/>
            <color indexed="81"/>
            <rFont val="Segoe UI"/>
            <family val="2"/>
          </rPr>
          <t xml:space="preserve">suporte p/ pés, celular, vaso decorativo, teclado e telefone, notebook
</t>
        </r>
      </text>
    </comment>
    <comment ref="J58" authorId="0" shapeId="0" xr:uid="{00000000-0006-0000-0200-000031000000}">
      <text>
        <r>
          <rPr>
            <b/>
            <sz val="9"/>
            <color indexed="81"/>
            <rFont val="Segoe UI"/>
            <family val="2"/>
          </rPr>
          <t>Compra de tomadas, mesa nova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58" authorId="0" shapeId="0" xr:uid="{00000000-0006-0000-0200-000032000000}">
      <text>
        <r>
          <rPr>
            <b/>
            <sz val="9"/>
            <color indexed="81"/>
            <rFont val="Segoe UI"/>
            <family val="2"/>
          </rPr>
          <t>Notebook e celular</t>
        </r>
      </text>
    </comment>
    <comment ref="P58" authorId="0" shapeId="0" xr:uid="{00000000-0006-0000-0200-000033000000}">
      <text>
        <r>
          <rPr>
            <sz val="9"/>
            <color indexed="81"/>
            <rFont val="Segoe UI"/>
            <family val="2"/>
          </rPr>
          <t xml:space="preserve">Jogo de mesa
</t>
        </r>
      </text>
    </comment>
    <comment ref="V58" authorId="0" shapeId="0" xr:uid="{00000000-0006-0000-0200-000034000000}">
      <text>
        <r>
          <rPr>
            <sz val="9"/>
            <color indexed="81"/>
            <rFont val="Segoe UI"/>
            <family val="2"/>
          </rPr>
          <t xml:space="preserve">acrilico ar cond - 218,90
filtro agua - 215,90
</t>
        </r>
      </text>
    </comment>
    <comment ref="P59" authorId="0" shapeId="0" xr:uid="{00000000-0006-0000-0200-000035000000}">
      <text>
        <r>
          <rPr>
            <sz val="9"/>
            <color indexed="81"/>
            <rFont val="Segoe UI"/>
            <family val="2"/>
          </rPr>
          <t xml:space="preserve">Compra de mini caminhões
</t>
        </r>
      </text>
    </comment>
    <comment ref="T59" authorId="0" shapeId="0" xr:uid="{00000000-0006-0000-0200-000036000000}">
      <text>
        <r>
          <rPr>
            <b/>
            <sz val="9"/>
            <color indexed="81"/>
            <rFont val="Segoe UI"/>
            <family val="2"/>
          </rPr>
          <t>Brindes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60" authorId="0" shapeId="0" xr:uid="{00000000-0006-0000-0200-000037000000}">
      <text>
        <r>
          <rPr>
            <sz val="9"/>
            <color indexed="81"/>
            <rFont val="Segoe UI"/>
            <family val="2"/>
          </rPr>
          <t>Cartorio
Correios</t>
        </r>
      </text>
    </comment>
    <comment ref="D60" authorId="0" shapeId="0" xr:uid="{00000000-0006-0000-0200-000038000000}">
      <text>
        <r>
          <rPr>
            <sz val="9"/>
            <color indexed="81"/>
            <rFont val="Segoe UI"/>
            <family val="2"/>
          </rPr>
          <t xml:space="preserve">Certificados digital
</t>
        </r>
      </text>
    </comment>
    <comment ref="F60" authorId="0" shapeId="0" xr:uid="{00000000-0006-0000-0200-000039000000}">
      <text>
        <r>
          <rPr>
            <sz val="9"/>
            <color indexed="81"/>
            <rFont val="Segoe UI"/>
            <family val="2"/>
          </rPr>
          <t xml:space="preserve">motoboy, exame admissional
</t>
        </r>
      </text>
    </comment>
    <comment ref="H60" authorId="0" shapeId="0" xr:uid="{00000000-0006-0000-0200-00003A000000}">
      <text>
        <r>
          <rPr>
            <sz val="9"/>
            <color indexed="81"/>
            <rFont val="Segoe UI"/>
            <family val="2"/>
          </rPr>
          <t xml:space="preserve">Taxa renovação Alvará - PMF
</t>
        </r>
      </text>
    </comment>
    <comment ref="J60" authorId="0" shapeId="0" xr:uid="{00000000-0006-0000-0200-00003B000000}">
      <text>
        <r>
          <rPr>
            <b/>
            <sz val="9"/>
            <color indexed="81"/>
            <rFont val="Segoe UI"/>
            <family val="2"/>
          </rPr>
          <t>Confraternização 1 ano + taxa alteração contratual pmf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60" authorId="0" shapeId="0" xr:uid="{00000000-0006-0000-0200-00003C000000}">
      <text>
        <r>
          <rPr>
            <b/>
            <sz val="9"/>
            <color indexed="81"/>
            <rFont val="Segoe UI"/>
            <family val="2"/>
          </rPr>
          <t>Motoboy/ confraterniz. 1 ano/ exame admissional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60" authorId="0" shapeId="0" xr:uid="{00000000-0006-0000-0200-00003D000000}">
      <text>
        <r>
          <rPr>
            <b/>
            <sz val="9"/>
            <color indexed="81"/>
            <rFont val="Segoe UI"/>
            <family val="2"/>
          </rPr>
          <t>exame demissional e cartorio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P60" authorId="0" shapeId="0" xr:uid="{00000000-0006-0000-0200-00003E000000}">
      <text>
        <r>
          <rPr>
            <b/>
            <sz val="9"/>
            <color indexed="81"/>
            <rFont val="Segoe UI"/>
            <family val="2"/>
          </rPr>
          <t xml:space="preserve">Multa de transito/ motoboy/ exame admissional
</t>
        </r>
      </text>
    </comment>
    <comment ref="T60" authorId="0" shapeId="0" xr:uid="{00000000-0006-0000-0200-00003F000000}">
      <text>
        <r>
          <rPr>
            <sz val="9"/>
            <color indexed="81"/>
            <rFont val="Segoe UI"/>
            <family val="2"/>
          </rPr>
          <t xml:space="preserve">correios/ motoboy
</t>
        </r>
      </text>
    </comment>
    <comment ref="V60" authorId="0" shapeId="0" xr:uid="{00000000-0006-0000-0200-000040000000}">
      <text>
        <r>
          <rPr>
            <sz val="9"/>
            <color indexed="81"/>
            <rFont val="Segoe UI"/>
            <family val="2"/>
          </rPr>
          <t>lavagem carro Luiz - 70
Exame demissional - 35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TEC2955</author>
    <author>Financeiro</author>
    <author>Luiz</author>
  </authors>
  <commentList>
    <comment ref="N4" authorId="0" shapeId="0" xr:uid="{00000000-0006-0000-0300-000001000000}">
      <text>
        <r>
          <rPr>
            <sz val="9"/>
            <color indexed="81"/>
            <rFont val="Segoe UI"/>
            <family val="2"/>
          </rPr>
          <t>Reembolso dano elétrico - seguradora</t>
        </r>
      </text>
    </comment>
    <comment ref="H7" authorId="1" shapeId="0" xr:uid="{00000000-0006-0000-0300-000002000000}">
      <text>
        <r>
          <rPr>
            <sz val="9"/>
            <color indexed="81"/>
            <rFont val="Segoe UI"/>
            <family val="2"/>
          </rPr>
          <t>Vencimento prorrogado p/ outubro</t>
        </r>
      </text>
    </comment>
    <comment ref="J7" authorId="1" shapeId="0" xr:uid="{00000000-0006-0000-0300-000003000000}">
      <text>
        <r>
          <rPr>
            <sz val="9"/>
            <color indexed="81"/>
            <rFont val="Segoe UI"/>
            <family val="2"/>
          </rPr>
          <t xml:space="preserve">Vcto prorrogado p/ agosto
</t>
        </r>
      </text>
    </comment>
    <comment ref="V20" authorId="0" shapeId="0" xr:uid="{00000000-0006-0000-0300-000004000000}">
      <text>
        <r>
          <rPr>
            <sz val="9"/>
            <color indexed="81"/>
            <rFont val="Segoe UI"/>
            <family val="2"/>
          </rPr>
          <t xml:space="preserve">
 Rescisão Tamara R$ 5995,47
</t>
        </r>
      </text>
    </comment>
    <comment ref="X21" authorId="1" shapeId="0" xr:uid="{00000000-0006-0000-0300-000005000000}">
      <text>
        <r>
          <rPr>
            <b/>
            <sz val="9"/>
            <color indexed="81"/>
            <rFont val="Segoe UI"/>
            <family val="2"/>
          </rPr>
          <t>Financeiro:</t>
        </r>
        <r>
          <rPr>
            <sz val="9"/>
            <color indexed="81"/>
            <rFont val="Segoe UI"/>
            <family val="2"/>
          </rPr>
          <t xml:space="preserve">
Férias coletivas</t>
        </r>
      </text>
    </comment>
    <comment ref="N24" authorId="0" shapeId="0" xr:uid="{00000000-0006-0000-0300-000006000000}">
      <text>
        <r>
          <rPr>
            <sz val="9"/>
            <color indexed="81"/>
            <rFont val="Segoe UI"/>
            <family val="2"/>
          </rPr>
          <t>Reembolso transporte Carla</t>
        </r>
      </text>
    </comment>
    <comment ref="B27" authorId="0" shapeId="0" xr:uid="{00000000-0006-0000-0300-000007000000}">
      <text>
        <r>
          <rPr>
            <sz val="9"/>
            <color indexed="81"/>
            <rFont val="Segoe UI"/>
            <family val="2"/>
          </rPr>
          <t>FGTS ref. Janeiro e FGTS ref. fevereiro</t>
        </r>
      </text>
    </comment>
    <comment ref="R37" authorId="1" shapeId="0" xr:uid="{00000000-0006-0000-0300-000008000000}">
      <text>
        <r>
          <rPr>
            <b/>
            <sz val="9"/>
            <color indexed="81"/>
            <rFont val="Segoe UI"/>
            <family val="2"/>
          </rPr>
          <t>Renovação seguro RC Marine</t>
        </r>
      </text>
    </comment>
    <comment ref="D38" authorId="0" shapeId="0" xr:uid="{00000000-0006-0000-0300-000009000000}">
      <text>
        <r>
          <rPr>
            <sz val="9"/>
            <color indexed="81"/>
            <rFont val="Segoe UI"/>
            <family val="2"/>
          </rPr>
          <t>Mensalidade + Serviços prestados</t>
        </r>
      </text>
    </comment>
    <comment ref="J38" authorId="0" shapeId="0" xr:uid="{00000000-0006-0000-0300-00000A000000}">
      <text>
        <r>
          <rPr>
            <b/>
            <sz val="9"/>
            <color indexed="81"/>
            <rFont val="Segoe UI"/>
            <family val="2"/>
          </rPr>
          <t>Note Luiz</t>
        </r>
      </text>
    </comment>
    <comment ref="L38" authorId="0" shapeId="0" xr:uid="{00000000-0006-0000-0300-00000B000000}">
      <text>
        <r>
          <rPr>
            <sz val="9"/>
            <color indexed="81"/>
            <rFont val="Segoe UI"/>
            <family val="2"/>
          </rPr>
          <t>1° parcela Conserto tela note</t>
        </r>
      </text>
    </comment>
    <comment ref="N38" authorId="0" shapeId="0" xr:uid="{00000000-0006-0000-0300-00000C000000}">
      <text>
        <r>
          <rPr>
            <sz val="9"/>
            <color indexed="81"/>
            <rFont val="Segoe UI"/>
            <family val="2"/>
          </rPr>
          <t>2° parcela conserto Note</t>
        </r>
      </text>
    </comment>
    <comment ref="R38" authorId="1" shapeId="0" xr:uid="{00000000-0006-0000-0300-00000D000000}">
      <text>
        <r>
          <rPr>
            <b/>
            <sz val="9"/>
            <color indexed="81"/>
            <rFont val="Segoe UI"/>
            <family val="2"/>
          </rPr>
          <t>Web ferrao + anti virus + ssd</t>
        </r>
      </text>
    </comment>
    <comment ref="T38" authorId="0" shapeId="0" xr:uid="{00000000-0006-0000-0300-00000E000000}">
      <text>
        <r>
          <rPr>
            <b/>
            <sz val="9"/>
            <color indexed="81"/>
            <rFont val="Segoe UI"/>
            <family val="2"/>
          </rPr>
          <t>Web ferrão + anti virus+ ssd</t>
        </r>
      </text>
    </comment>
    <comment ref="B39" authorId="0" shapeId="0" xr:uid="{00000000-0006-0000-0300-00000F000000}">
      <text>
        <r>
          <rPr>
            <sz val="9"/>
            <color indexed="81"/>
            <rFont val="Segoe UI"/>
            <family val="2"/>
          </rPr>
          <t>Google/ infocap/ Agger/RD Marketing/ RD CRM</t>
        </r>
      </text>
    </comment>
    <comment ref="D39" authorId="0" shapeId="0" xr:uid="{00000000-0006-0000-0300-000010000000}">
      <text>
        <r>
          <rPr>
            <sz val="9"/>
            <color indexed="81"/>
            <rFont val="Segoe UI"/>
            <family val="2"/>
          </rPr>
          <t>Agger, google, Infocap, RD Sistemas</t>
        </r>
      </text>
    </comment>
    <comment ref="F39" authorId="1" shapeId="0" xr:uid="{00000000-0006-0000-0300-000011000000}">
      <text>
        <r>
          <rPr>
            <b/>
            <sz val="9"/>
            <color indexed="81"/>
            <rFont val="Segoe UI"/>
            <family val="2"/>
          </rPr>
          <t>google, agger, infocap, rd, crm</t>
        </r>
      </text>
    </comment>
    <comment ref="H39" authorId="0" shapeId="0" xr:uid="{00000000-0006-0000-0300-000012000000}">
      <text>
        <r>
          <rPr>
            <b/>
            <sz val="9"/>
            <color indexed="81"/>
            <rFont val="Segoe UI"/>
            <family val="2"/>
          </rPr>
          <t>Google, infocap, RD CRM, RD Marketing</t>
        </r>
      </text>
    </comment>
    <comment ref="L39" authorId="0" shapeId="0" xr:uid="{00000000-0006-0000-0300-000013000000}">
      <text>
        <r>
          <rPr>
            <b/>
            <sz val="9"/>
            <color indexed="81"/>
            <rFont val="Segoe UI"/>
            <family val="2"/>
          </rPr>
          <t>Google/ Infocap/ RD</t>
        </r>
      </text>
    </comment>
    <comment ref="N39" authorId="0" shapeId="0" xr:uid="{00000000-0006-0000-0300-000014000000}">
      <text>
        <r>
          <rPr>
            <sz val="9"/>
            <color indexed="81"/>
            <rFont val="Segoe UI"/>
            <family val="2"/>
          </rPr>
          <t>RD CRM/ Corp/ G Suite/ RD Marketing</t>
        </r>
      </text>
    </comment>
    <comment ref="P39" authorId="0" shapeId="0" xr:uid="{00000000-0006-0000-0300-000015000000}">
      <text>
        <r>
          <rPr>
            <sz val="9"/>
            <color indexed="81"/>
            <rFont val="Segoe UI"/>
            <family val="2"/>
          </rPr>
          <t>RD CRM - 159,60
RD Mkt - 59,00
Infocap - 236,87
Gsuite - 194,40</t>
        </r>
      </text>
    </comment>
    <comment ref="R39" authorId="0" shapeId="0" xr:uid="{00000000-0006-0000-0300-000016000000}">
      <text>
        <r>
          <rPr>
            <sz val="9"/>
            <color indexed="81"/>
            <rFont val="Segoe UI"/>
            <family val="2"/>
          </rPr>
          <t>309,52 - Infocap
194,40 - Gsuite
159,60 - RD CRM
59,00 - RD Marketing</t>
        </r>
      </text>
    </comment>
    <comment ref="T39" authorId="0" shapeId="0" xr:uid="{00000000-0006-0000-0300-000017000000}">
      <text>
        <r>
          <rPr>
            <b/>
            <sz val="9"/>
            <color indexed="81"/>
            <rFont val="Segoe UI"/>
            <family val="2"/>
          </rPr>
          <t>Gsuite/ RD CRM/ Infocap / RD Sistemas/ Office</t>
        </r>
      </text>
    </comment>
    <comment ref="V39" authorId="0" shapeId="0" xr:uid="{00000000-0006-0000-0300-000018000000}">
      <text>
        <r>
          <rPr>
            <b/>
            <sz val="9"/>
            <color indexed="81"/>
            <rFont val="Segoe UI"/>
            <family val="2"/>
          </rPr>
          <t>Gsuite/ Infocap/ RD Sistemas/ RD CRM</t>
        </r>
      </text>
    </comment>
    <comment ref="X39" authorId="1" shapeId="0" xr:uid="{00000000-0006-0000-0300-000019000000}">
      <text>
        <r>
          <rPr>
            <b/>
            <sz val="9"/>
            <color indexed="81"/>
            <rFont val="Segoe UI"/>
            <family val="2"/>
          </rPr>
          <t xml:space="preserve">RD CRM e Mkt/ Infocap/ Gsuite
</t>
        </r>
      </text>
    </comment>
    <comment ref="R40" authorId="0" shapeId="0" xr:uid="{00000000-0006-0000-0300-00001A000000}">
      <text>
        <r>
          <rPr>
            <sz val="9"/>
            <color indexed="81"/>
            <rFont val="Segoe UI"/>
            <family val="2"/>
          </rPr>
          <t>30,00 - crédito celular
102,15 -fatura tim
115,50 - vivo celular</t>
        </r>
      </text>
    </comment>
    <comment ref="T42" authorId="0" shapeId="0" xr:uid="{00000000-0006-0000-0300-00001B000000}">
      <text>
        <r>
          <rPr>
            <b/>
            <sz val="9"/>
            <color indexed="81"/>
            <rFont val="Segoe UI"/>
            <family val="2"/>
          </rPr>
          <t>Papel toalha</t>
        </r>
      </text>
    </comment>
    <comment ref="B51" authorId="0" shapeId="0" xr:uid="{00000000-0006-0000-0300-00001C000000}">
      <text>
        <r>
          <rPr>
            <sz val="9"/>
            <color indexed="81"/>
            <rFont val="Segoe UI"/>
            <family val="2"/>
          </rPr>
          <t>Hostinger/ Consultoria Marcelo</t>
        </r>
      </text>
    </comment>
    <comment ref="B52" authorId="0" shapeId="0" xr:uid="{00000000-0006-0000-0300-00001D000000}">
      <text>
        <r>
          <rPr>
            <sz val="9"/>
            <color indexed="81"/>
            <rFont val="Segoe UI"/>
            <family val="2"/>
          </rPr>
          <t>Campanha final de ano facebook</t>
        </r>
      </text>
    </comment>
    <comment ref="J52" authorId="0" shapeId="0" xr:uid="{00000000-0006-0000-0300-00001E000000}">
      <text>
        <r>
          <rPr>
            <sz val="9"/>
            <color indexed="81"/>
            <rFont val="Segoe UI"/>
            <family val="2"/>
          </rPr>
          <t>Google Ads / Linkedin</t>
        </r>
      </text>
    </comment>
    <comment ref="L52" authorId="0" shapeId="0" xr:uid="{00000000-0006-0000-0300-00001F000000}">
      <text>
        <r>
          <rPr>
            <sz val="9"/>
            <color indexed="81"/>
            <rFont val="Segoe UI"/>
            <family val="2"/>
          </rPr>
          <t>Google Ads</t>
        </r>
      </text>
    </comment>
    <comment ref="P52" authorId="0" shapeId="0" xr:uid="{00000000-0006-0000-0300-000020000000}">
      <text>
        <r>
          <rPr>
            <sz val="9"/>
            <color indexed="81"/>
            <rFont val="Segoe UI"/>
            <family val="2"/>
          </rPr>
          <t>401,96 - Google Ads
481,91 - Facebook</t>
        </r>
      </text>
    </comment>
    <comment ref="R52" authorId="0" shapeId="0" xr:uid="{00000000-0006-0000-0300-000021000000}">
      <text>
        <r>
          <rPr>
            <sz val="9"/>
            <color indexed="81"/>
            <rFont val="Segoe UI"/>
            <family val="2"/>
          </rPr>
          <t>318,09 - Facebook
177,25 - Google Ads
300,00 - Site</t>
        </r>
      </text>
    </comment>
    <comment ref="D53" authorId="0" shapeId="0" xr:uid="{00000000-0006-0000-0300-000022000000}">
      <text>
        <r>
          <rPr>
            <sz val="9"/>
            <color indexed="81"/>
            <rFont val="Segoe UI"/>
            <family val="2"/>
          </rPr>
          <t>IEV, CDL e Instituto Coach</t>
        </r>
      </text>
    </comment>
    <comment ref="T56" authorId="0" shapeId="0" xr:uid="{00000000-0006-0000-0300-000023000000}">
      <text>
        <r>
          <rPr>
            <sz val="9"/>
            <color indexed="81"/>
            <rFont val="Segoe UI"/>
            <family val="2"/>
          </rPr>
          <t>Taxa emissão cartões Social Bank</t>
        </r>
      </text>
    </comment>
    <comment ref="N57" authorId="0" shapeId="0" xr:uid="{00000000-0006-0000-0300-000024000000}">
      <text>
        <r>
          <rPr>
            <b/>
            <sz val="9"/>
            <color indexed="81"/>
            <rFont val="Segoe UI"/>
            <family val="2"/>
          </rPr>
          <t>Conserto central telefonica e compra de luminária</t>
        </r>
      </text>
    </comment>
    <comment ref="R57" authorId="0" shapeId="0" xr:uid="{00000000-0006-0000-0300-000025000000}">
      <text>
        <r>
          <rPr>
            <sz val="9"/>
            <color indexed="81"/>
            <rFont val="Segoe UI"/>
            <family val="2"/>
          </rPr>
          <t>725,43 -Celular Samsung A01
82,50 - Carregador e fone
60,00 - Película</t>
        </r>
      </text>
    </comment>
    <comment ref="B58" authorId="0" shapeId="0" xr:uid="{00000000-0006-0000-0300-000026000000}">
      <text>
        <r>
          <rPr>
            <sz val="9"/>
            <color indexed="81"/>
            <rFont val="Segoe UI"/>
            <family val="2"/>
          </rPr>
          <t>Whisky/ espumantes/ panetone</t>
        </r>
      </text>
    </comment>
    <comment ref="H58" authorId="0" shapeId="0" xr:uid="{00000000-0006-0000-0300-000027000000}">
      <text>
        <r>
          <rPr>
            <b/>
            <sz val="9"/>
            <color indexed="81"/>
            <rFont val="Segoe UI"/>
            <family val="2"/>
          </rPr>
          <t>Sorteio livro - Marketing</t>
        </r>
      </text>
    </comment>
    <comment ref="P58" authorId="0" shapeId="0" xr:uid="{00000000-0006-0000-0300-000028000000}">
      <text>
        <r>
          <rPr>
            <b/>
            <sz val="9"/>
            <color indexed="81"/>
            <rFont val="Segoe UI"/>
            <family val="2"/>
          </rPr>
          <t>Aniversario Ellen e Bruna</t>
        </r>
      </text>
    </comment>
    <comment ref="T58" authorId="0" shapeId="0" xr:uid="{00000000-0006-0000-0300-000029000000}">
      <text>
        <r>
          <rPr>
            <sz val="9"/>
            <color indexed="81"/>
            <rFont val="Segoe UI"/>
            <family val="2"/>
          </rPr>
          <t>Aniversario Amanda
Aniversario Ludiane
1 parcela canecas personalizadas</t>
        </r>
      </text>
    </comment>
    <comment ref="V58" authorId="1" shapeId="0" xr:uid="{00000000-0006-0000-0300-00002A000000}">
      <text>
        <r>
          <rPr>
            <b/>
            <sz val="9"/>
            <color indexed="81"/>
            <rFont val="Segoe UI"/>
            <family val="2"/>
          </rPr>
          <t xml:space="preserve">Brindes
15 facas Pazpazini - 1060 (1 parcela)
5 facas SG - 2000
Canecas 2 parcela - 565
</t>
        </r>
      </text>
    </comment>
    <comment ref="D59" authorId="0" shapeId="0" xr:uid="{00000000-0006-0000-0300-00002B000000}">
      <text>
        <r>
          <rPr>
            <sz val="9"/>
            <color indexed="81"/>
            <rFont val="Segoe UI"/>
            <family val="2"/>
          </rPr>
          <t>Cartões de visita</t>
        </r>
      </text>
    </comment>
    <comment ref="T59" authorId="0" shapeId="0" xr:uid="{00000000-0006-0000-0300-00002C000000}">
      <text>
        <r>
          <rPr>
            <sz val="9"/>
            <color indexed="81"/>
            <rFont val="Segoe UI"/>
            <family val="2"/>
          </rPr>
          <t>Cartões visita Breno</t>
        </r>
      </text>
    </comment>
    <comment ref="X59" authorId="2" shapeId="0" xr:uid="{00000000-0006-0000-0300-00002D000000}">
      <text>
        <r>
          <rPr>
            <b/>
            <sz val="9"/>
            <color indexed="81"/>
            <rFont val="Segoe UI"/>
            <family val="2"/>
          </rPr>
          <t>Luiz:</t>
        </r>
        <r>
          <rPr>
            <sz val="9"/>
            <color indexed="81"/>
            <rFont val="Segoe UI"/>
            <family val="2"/>
          </rPr>
          <t xml:space="preserve">
Blocos anotação</t>
        </r>
      </text>
    </comment>
    <comment ref="B60" authorId="0" shapeId="0" xr:uid="{00000000-0006-0000-0300-00002E000000}">
      <text>
        <r>
          <rPr>
            <sz val="9"/>
            <color indexed="81"/>
            <rFont val="Segoe UI"/>
            <family val="2"/>
          </rPr>
          <t>Correios/
Lampadas Led sala Luiz
Iptu/ pagto seguro Jackson</t>
        </r>
      </text>
    </comment>
    <comment ref="D60" authorId="0" shapeId="0" xr:uid="{00000000-0006-0000-0300-00002F000000}">
      <text>
        <r>
          <rPr>
            <sz val="9"/>
            <color indexed="81"/>
            <rFont val="Segoe UI"/>
            <family val="2"/>
          </rPr>
          <t xml:space="preserve">Certificado digital
</t>
        </r>
      </text>
    </comment>
    <comment ref="F60" authorId="1" shapeId="0" xr:uid="{00000000-0006-0000-0300-000030000000}">
      <text>
        <r>
          <rPr>
            <sz val="9"/>
            <color indexed="81"/>
            <rFont val="Segoe UI"/>
            <family val="2"/>
          </rPr>
          <t xml:space="preserve">Premiação a funcionários
</t>
        </r>
      </text>
    </comment>
    <comment ref="H60" authorId="0" shapeId="0" xr:uid="{00000000-0006-0000-0300-000031000000}">
      <text>
        <r>
          <rPr>
            <sz val="9"/>
            <color indexed="81"/>
            <rFont val="Segoe UI"/>
            <family val="2"/>
          </rPr>
          <t>Patrocinio Rubens</t>
        </r>
      </text>
    </comment>
    <comment ref="L60" authorId="0" shapeId="0" xr:uid="{00000000-0006-0000-0300-000032000000}">
      <text>
        <r>
          <rPr>
            <b/>
            <sz val="9"/>
            <color indexed="81"/>
            <rFont val="Segoe UI"/>
            <family val="2"/>
          </rPr>
          <t>Patrocinio Icaro</t>
        </r>
      </text>
    </comment>
    <comment ref="N60" authorId="0" shapeId="0" xr:uid="{00000000-0006-0000-0300-000033000000}">
      <text>
        <r>
          <rPr>
            <sz val="9"/>
            <color indexed="81"/>
            <rFont val="Segoe UI"/>
            <family val="2"/>
          </rPr>
          <t>1 parcela recurso de marca</t>
        </r>
      </text>
    </comment>
    <comment ref="P60" authorId="0" shapeId="0" xr:uid="{00000000-0006-0000-0300-000034000000}">
      <text>
        <r>
          <rPr>
            <b/>
            <sz val="9"/>
            <color indexed="81"/>
            <rFont val="Segoe UI"/>
            <family val="2"/>
          </rPr>
          <t>Adv Marca + exame admissional</t>
        </r>
      </text>
    </comment>
    <comment ref="T60" authorId="0" shapeId="0" xr:uid="{00000000-0006-0000-0300-000035000000}">
      <text>
        <r>
          <rPr>
            <sz val="9"/>
            <color indexed="81"/>
            <rFont val="Segoe UI"/>
            <family val="2"/>
          </rPr>
          <t>1 parcela canecas personalizadas</t>
        </r>
      </text>
    </comment>
    <comment ref="V60" authorId="0" shapeId="0" xr:uid="{00000000-0006-0000-0300-000036000000}">
      <text>
        <r>
          <rPr>
            <b/>
            <sz val="9"/>
            <color indexed="81"/>
            <rFont val="Segoe UI"/>
            <family val="2"/>
          </rPr>
          <t>Exame demissional Tamara</t>
        </r>
      </text>
    </comment>
    <comment ref="X60" authorId="1" shapeId="0" xr:uid="{00000000-0006-0000-0300-000037000000}">
      <text>
        <r>
          <rPr>
            <b/>
            <sz val="9"/>
            <color indexed="81"/>
            <rFont val="Segoe UI"/>
            <family val="2"/>
          </rPr>
          <t>Vale presente funcionários</t>
        </r>
      </text>
    </comment>
    <comment ref="H65" authorId="0" shapeId="0" xr:uid="{00000000-0006-0000-0300-000038000000}">
      <text>
        <r>
          <rPr>
            <b/>
            <sz val="9"/>
            <color indexed="81"/>
            <rFont val="Segoe UI"/>
            <family val="2"/>
          </rPr>
          <t>Distribuição de resultados - automático p/ poupança</t>
        </r>
      </text>
    </comment>
    <comment ref="A70" authorId="1" shapeId="0" xr:uid="{659D0353-0F09-4879-8B46-415A589998FD}">
      <text>
        <r>
          <rPr>
            <b/>
            <sz val="9"/>
            <color indexed="81"/>
            <rFont val="Segoe UI"/>
            <family val="2"/>
          </rPr>
          <t>Só teve retirada excedente em dezembro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Financeiro</author>
    <author>tc={B52C8F06-8CAE-46D3-9F9E-234AA9AE9BA6}</author>
    <author>tc={A1F6EEAD-1745-4F7F-9F8E-62A8B9C4E1F7}</author>
    <author>TEC2955</author>
    <author>WF Tec</author>
  </authors>
  <commentList>
    <comment ref="L4" authorId="0" shapeId="0" xr:uid="{EED4DB74-191D-409E-B738-562FBEE1159C}">
      <text>
        <r>
          <rPr>
            <sz val="9"/>
            <color indexed="81"/>
            <rFont val="Segoe UI"/>
            <family val="2"/>
          </rPr>
          <t>devolução valor eletricista</t>
        </r>
      </text>
    </comment>
    <comment ref="F20" authorId="0" shapeId="0" xr:uid="{316163B3-E28B-4F44-A88F-6BC5E020ECE8}">
      <text>
        <r>
          <rPr>
            <sz val="9"/>
            <color indexed="81"/>
            <rFont val="Segoe UI"/>
            <family val="2"/>
          </rPr>
          <t xml:space="preserve">Rescisao Breno: 5739,10
</t>
        </r>
      </text>
    </comment>
    <comment ref="N20" authorId="0" shapeId="0" xr:uid="{0919B9BC-621A-4AE4-8223-18503478AB4E}">
      <text>
        <r>
          <rPr>
            <b/>
            <sz val="9"/>
            <color indexed="81"/>
            <rFont val="Segoe UI"/>
            <family val="2"/>
          </rPr>
          <t>Funcionário RE - salario proporcional</t>
        </r>
      </text>
    </comment>
    <comment ref="R20" authorId="0" shapeId="0" xr:uid="{1710230A-7460-4F06-A494-B03757A4E375}">
      <text>
        <r>
          <rPr>
            <sz val="9"/>
            <color indexed="81"/>
            <rFont val="Segoe UI"/>
            <family val="2"/>
          </rPr>
          <t xml:space="preserve">rescisão Bruna
</t>
        </r>
      </text>
    </comment>
    <comment ref="D22" authorId="0" shapeId="0" xr:uid="{3F70767A-10F2-45E0-BF30-07FA01614AD5}">
      <text>
        <r>
          <rPr>
            <b/>
            <sz val="9"/>
            <color indexed="81"/>
            <rFont val="Segoe UI"/>
            <family val="2"/>
          </rPr>
          <t>Férias Bruna</t>
        </r>
      </text>
    </comment>
    <comment ref="V22" authorId="0" shapeId="0" xr:uid="{9C4E5ADE-E186-44B6-BD3D-1BC55B74E7B8}">
      <text>
        <r>
          <rPr>
            <b/>
            <sz val="9"/>
            <color indexed="81"/>
            <rFont val="Segoe UI"/>
            <family val="2"/>
          </rPr>
          <t>Férias 30 dias Amanda</t>
        </r>
      </text>
    </comment>
    <comment ref="X22" authorId="0" shapeId="0" xr:uid="{00000000-0006-0000-0400-000005000000}">
      <text>
        <r>
          <rPr>
            <b/>
            <sz val="9"/>
            <color indexed="81"/>
            <rFont val="Segoe UI"/>
            <family val="2"/>
          </rPr>
          <t>Financeiro:</t>
        </r>
        <r>
          <rPr>
            <sz val="9"/>
            <color indexed="81"/>
            <rFont val="Segoe UI"/>
            <family val="2"/>
          </rPr>
          <t xml:space="preserve">
Férias coletivas</t>
        </r>
      </text>
    </comment>
    <comment ref="D38" authorId="1" shapeId="0" xr:uid="{B52C8F06-8CAE-46D3-9F9E-234AA9AE9B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Reforço imóvel</t>
      </text>
    </comment>
    <comment ref="F38" authorId="2" shapeId="0" xr:uid="{A1F6EEAD-1745-4F7F-9F8E-62A8B9C4E1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Troca carro</t>
      </text>
    </comment>
    <comment ref="D40" authorId="3" shapeId="0" xr:uid="{00000000-0006-0000-0400-000008000000}">
      <text>
        <r>
          <rPr>
            <sz val="9"/>
            <color indexed="81"/>
            <rFont val="Segoe UI"/>
            <family val="2"/>
          </rPr>
          <t>Mensalidade + Serviços prestados</t>
        </r>
      </text>
    </comment>
    <comment ref="R40" authorId="0" shapeId="0" xr:uid="{809D59B6-E2EB-4ACA-BAB3-94A62FC85887}">
      <text>
        <r>
          <rPr>
            <b/>
            <sz val="9"/>
            <color indexed="81"/>
            <rFont val="Segoe UI"/>
            <family val="2"/>
          </rPr>
          <t>renovação office</t>
        </r>
      </text>
    </comment>
    <comment ref="B41" authorId="3" shapeId="0" xr:uid="{00000000-0006-0000-0400-000009000000}">
      <text>
        <r>
          <rPr>
            <sz val="9"/>
            <color indexed="81"/>
            <rFont val="Segoe UI"/>
            <family val="2"/>
          </rPr>
          <t>RD CRM / Google/ RD Marketing/ Infocap</t>
        </r>
      </text>
    </comment>
    <comment ref="D41" authorId="3" shapeId="0" xr:uid="{00000000-0006-0000-0400-00000A000000}">
      <text>
        <r>
          <rPr>
            <sz val="9"/>
            <color indexed="81"/>
            <rFont val="Segoe UI"/>
            <family val="2"/>
          </rPr>
          <t>google, Infocap, RD Sistemas, renovaçao dominio</t>
        </r>
      </text>
    </comment>
    <comment ref="F41" authorId="0" shapeId="0" xr:uid="{00000000-0006-0000-0400-00000B000000}">
      <text>
        <r>
          <rPr>
            <b/>
            <sz val="9"/>
            <color indexed="81"/>
            <rFont val="Segoe UI"/>
            <family val="2"/>
          </rPr>
          <t>google, infocap, rd, crm</t>
        </r>
      </text>
    </comment>
    <comment ref="H41" authorId="3" shapeId="0" xr:uid="{00000000-0006-0000-0400-00000C000000}">
      <text>
        <r>
          <rPr>
            <b/>
            <sz val="9"/>
            <color indexed="81"/>
            <rFont val="Segoe UI"/>
            <family val="2"/>
          </rPr>
          <t>Google, infocap, RD CRM, RD Marketing</t>
        </r>
      </text>
    </comment>
    <comment ref="J41" authorId="0" shapeId="0" xr:uid="{C9AEBFAB-0D28-4380-AC3A-F9330309A4C0}">
      <text>
        <r>
          <rPr>
            <b/>
            <sz val="9"/>
            <color indexed="81"/>
            <rFont val="Segoe UI"/>
            <family val="2"/>
          </rPr>
          <t>RD, CRm, Gsuite, Infocap</t>
        </r>
      </text>
    </comment>
    <comment ref="L41" authorId="3" shapeId="0" xr:uid="{00000000-0006-0000-0400-00000D000000}">
      <text>
        <r>
          <rPr>
            <b/>
            <sz val="9"/>
            <color indexed="81"/>
            <rFont val="Segoe UI"/>
            <family val="2"/>
          </rPr>
          <t>Google/ Infocap/ RD/ CRM</t>
        </r>
      </text>
    </comment>
    <comment ref="N41" authorId="3" shapeId="0" xr:uid="{00000000-0006-0000-0400-00000E000000}">
      <text>
        <r>
          <rPr>
            <sz val="9"/>
            <color indexed="81"/>
            <rFont val="Segoe UI"/>
            <family val="2"/>
          </rPr>
          <t>RD CRM/ Corp/ G Suite/ RD Marketing</t>
        </r>
      </text>
    </comment>
    <comment ref="P41" authorId="3" shapeId="0" xr:uid="{00000000-0006-0000-0400-00000F000000}">
      <text>
        <r>
          <rPr>
            <sz val="9"/>
            <color indexed="81"/>
            <rFont val="Segoe UI"/>
            <family val="2"/>
          </rPr>
          <t>RD CRM - 219,65
Infocap - 448,55
Gsuite - 335,7</t>
        </r>
      </text>
    </comment>
    <comment ref="R41" authorId="3" shapeId="0" xr:uid="{00000000-0006-0000-0400-000010000000}">
      <text>
        <r>
          <rPr>
            <sz val="9"/>
            <color indexed="81"/>
            <rFont val="Segoe UI"/>
            <family val="2"/>
          </rPr>
          <t xml:space="preserve">448,55 - Enfoca
351 - Gsuite
219,65 - RD CRM
449 - Microsoft
</t>
        </r>
      </text>
    </comment>
    <comment ref="T41" authorId="3" shapeId="0" xr:uid="{00000000-0006-0000-0400-000011000000}">
      <text>
        <r>
          <rPr>
            <b/>
            <sz val="9"/>
            <color indexed="81"/>
            <rFont val="Segoe UI"/>
            <family val="2"/>
          </rPr>
          <t>Gsuite/ RD CRM/ Infocap / RD Sistemas/ Office</t>
        </r>
      </text>
    </comment>
    <comment ref="R42" authorId="3" shapeId="0" xr:uid="{00000000-0006-0000-0400-000012000000}">
      <text>
        <r>
          <rPr>
            <sz val="9"/>
            <color indexed="81"/>
            <rFont val="Segoe UI"/>
            <family val="2"/>
          </rPr>
          <t>30,00 - crédito celular
102,15 -fatura tim
115,50 - vivo celular</t>
        </r>
      </text>
    </comment>
    <comment ref="T44" authorId="3" shapeId="0" xr:uid="{00000000-0006-0000-0400-000013000000}">
      <text>
        <r>
          <rPr>
            <b/>
            <sz val="9"/>
            <color indexed="81"/>
            <rFont val="Segoe UI"/>
            <family val="2"/>
          </rPr>
          <t>Papel toalha</t>
        </r>
      </text>
    </comment>
    <comment ref="B51" authorId="4" shapeId="0" xr:uid="{00000000-0006-0000-0400-000014000000}">
      <text>
        <r>
          <rPr>
            <b/>
            <sz val="9"/>
            <color indexed="81"/>
            <rFont val="Segoe UI"/>
            <family val="2"/>
          </rPr>
          <t>Uber e motoboy</t>
        </r>
      </text>
    </comment>
    <comment ref="D51" authorId="0" shapeId="0" xr:uid="{4000ED72-AF5D-45D9-AB30-FC569FC94AC2}">
      <text>
        <r>
          <rPr>
            <b/>
            <sz val="9"/>
            <color indexed="81"/>
            <rFont val="Segoe UI"/>
            <family val="2"/>
          </rPr>
          <t>Uber e motoboy</t>
        </r>
      </text>
    </comment>
    <comment ref="T51" authorId="0" shapeId="0" xr:uid="{46A0BB47-2508-48DF-938B-8E06C8186C56}">
      <text>
        <r>
          <rPr>
            <b/>
            <sz val="9"/>
            <color indexed="81"/>
            <rFont val="Segoe UI"/>
            <family val="2"/>
          </rPr>
          <t xml:space="preserve">Motoboy
</t>
        </r>
      </text>
    </comment>
    <comment ref="F53" authorId="0" shapeId="0" xr:uid="{A634EF2B-FFF1-4EA6-A53E-6F3FAD5DCDBB}">
      <text>
        <r>
          <rPr>
            <b/>
            <sz val="9"/>
            <color indexed="81"/>
            <rFont val="Segoe UI"/>
            <family val="2"/>
          </rPr>
          <t xml:space="preserve">102,32 ref. Comissão </t>
        </r>
      </text>
    </comment>
    <comment ref="B54" authorId="3" shapeId="0" xr:uid="{00000000-0006-0000-0400-000015000000}">
      <text>
        <r>
          <rPr>
            <sz val="9"/>
            <color indexed="81"/>
            <rFont val="Segoe UI"/>
            <family val="2"/>
          </rPr>
          <t>Facebook e google ads</t>
        </r>
      </text>
    </comment>
    <comment ref="D54" authorId="0" shapeId="0" xr:uid="{DFB88D01-43E3-4B84-9575-2326FC54C476}">
      <text>
        <r>
          <rPr>
            <b/>
            <sz val="9"/>
            <color indexed="81"/>
            <rFont val="Segoe UI"/>
            <family val="2"/>
          </rPr>
          <t>Facebook e google ads</t>
        </r>
      </text>
    </comment>
    <comment ref="J54" authorId="0" shapeId="0" xr:uid="{55885E08-2A63-4CFD-81A2-9AB63E00D135}">
      <text>
        <r>
          <rPr>
            <b/>
            <sz val="9"/>
            <color indexed="81"/>
            <rFont val="Segoe UI"/>
            <family val="2"/>
          </rPr>
          <t>Facebook, site, google ads</t>
        </r>
      </text>
    </comment>
    <comment ref="L54" authorId="0" shapeId="0" xr:uid="{09F19136-4599-491F-8188-18C0F844DD7C}">
      <text>
        <r>
          <rPr>
            <b/>
            <sz val="9"/>
            <color indexed="81"/>
            <rFont val="Segoe UI"/>
            <family val="2"/>
          </rPr>
          <t>Google Ads</t>
        </r>
      </text>
    </comment>
    <comment ref="N54" authorId="0" shapeId="0" xr:uid="{A6AAA08E-55EA-48A6-AE1A-ECDAD7529C40}">
      <text>
        <r>
          <rPr>
            <b/>
            <sz val="9"/>
            <color indexed="81"/>
            <rFont val="Segoe UI"/>
            <family val="2"/>
          </rPr>
          <t xml:space="preserve">google ads
</t>
        </r>
      </text>
    </comment>
    <comment ref="T54" authorId="0" shapeId="0" xr:uid="{8254A8A0-AA28-4B4C-A69E-C0FEF9A5788C}">
      <text>
        <r>
          <rPr>
            <sz val="9"/>
            <color indexed="81"/>
            <rFont val="Segoe UI"/>
            <family val="2"/>
          </rPr>
          <t>Facebook
Google Ads
Site</t>
        </r>
      </text>
    </comment>
    <comment ref="V54" authorId="0" shapeId="0" xr:uid="{8BE76C4E-0EF6-49A4-9A38-A435B2AF65BE}">
      <text>
        <r>
          <rPr>
            <b/>
            <sz val="9"/>
            <color indexed="81"/>
            <rFont val="Segoe UI"/>
            <family val="2"/>
          </rPr>
          <t>Google Ads</t>
        </r>
      </text>
    </comment>
    <comment ref="F55" authorId="0" shapeId="0" xr:uid="{C0B9B84F-C04A-448F-8316-8786E792AE4E}">
      <text>
        <r>
          <rPr>
            <b/>
            <sz val="9"/>
            <color indexed="81"/>
            <rFont val="Segoe UI"/>
            <family val="2"/>
          </rPr>
          <t>Curso Transporte Seg News</t>
        </r>
      </text>
    </comment>
    <comment ref="R55" authorId="0" shapeId="0" xr:uid="{28CFFBBF-B365-4C01-B19F-D07C18E60C67}">
      <text>
        <r>
          <rPr>
            <b/>
            <sz val="9"/>
            <color indexed="81"/>
            <rFont val="Segoe UI"/>
            <family val="2"/>
          </rPr>
          <t xml:space="preserve">compra de planilhas </t>
        </r>
      </text>
    </comment>
    <comment ref="V55" authorId="0" shapeId="0" xr:uid="{E59FC43C-6186-4B35-9496-7F6F99F4CF8D}">
      <text>
        <r>
          <rPr>
            <b/>
            <sz val="9"/>
            <color indexed="81"/>
            <rFont val="Segoe UI"/>
            <family val="2"/>
          </rPr>
          <t>IEV</t>
        </r>
      </text>
    </comment>
    <comment ref="B59" authorId="4" shapeId="0" xr:uid="{00000000-0006-0000-0400-000016000000}">
      <text>
        <r>
          <rPr>
            <b/>
            <sz val="9"/>
            <color indexed="81"/>
            <rFont val="Segoe UI"/>
            <family val="2"/>
          </rPr>
          <t>Lampada led</t>
        </r>
      </text>
    </comment>
    <comment ref="D59" authorId="0" shapeId="0" xr:uid="{28223F75-BF37-426C-B5C6-A52490BAE652}">
      <text>
        <r>
          <rPr>
            <b/>
            <sz val="9"/>
            <color indexed="81"/>
            <rFont val="Segoe UI"/>
            <family val="2"/>
          </rPr>
          <t>2 Webcam</t>
        </r>
      </text>
    </comment>
    <comment ref="F59" authorId="0" shapeId="0" xr:uid="{10ABF5FE-CDE8-485D-900F-6F47A5F9DF8B}">
      <text>
        <r>
          <rPr>
            <b/>
            <sz val="9"/>
            <color indexed="81"/>
            <rFont val="Segoe UI"/>
            <family val="2"/>
          </rPr>
          <t>kit teclado e mouse, fone de ouvido, suporte notebook, 3 aparelhos celular, capas celulares, mouse sem fio</t>
        </r>
      </text>
    </comment>
    <comment ref="H59" authorId="0" shapeId="0" xr:uid="{C33E5BEF-D20D-4CF0-8650-96FE12DCEE6D}">
      <text>
        <r>
          <rPr>
            <b/>
            <sz val="9"/>
            <color indexed="81"/>
            <rFont val="Segoe UI"/>
            <family val="2"/>
          </rPr>
          <t>2 notebooks / 6 mochilas / kit teclado e mouse Luiz/ suporte HD</t>
        </r>
      </text>
    </comment>
    <comment ref="B60" authorId="4" shapeId="0" xr:uid="{00000000-0006-0000-0400-000019000000}">
      <text>
        <r>
          <rPr>
            <b/>
            <sz val="9"/>
            <color indexed="81"/>
            <rFont val="Segoe UI"/>
            <family val="2"/>
          </rPr>
          <t>TV Tecadi
Faca Rodrigues</t>
        </r>
      </text>
    </comment>
    <comment ref="D60" authorId="3" shapeId="0" xr:uid="{00000000-0006-0000-0400-00001A000000}">
      <text>
        <r>
          <rPr>
            <b/>
            <sz val="9"/>
            <color indexed="81"/>
            <rFont val="Segoe UI"/>
            <family val="2"/>
          </rPr>
          <t>Aniver Carla</t>
        </r>
      </text>
    </comment>
    <comment ref="F60" authorId="3" shapeId="0" xr:uid="{00000000-0006-0000-0400-00001B000000}">
      <text>
        <r>
          <rPr>
            <b/>
            <sz val="9"/>
            <color indexed="81"/>
            <rFont val="Segoe UI"/>
            <family val="2"/>
          </rPr>
          <t>Aniver Caroline</t>
        </r>
      </text>
    </comment>
    <comment ref="J60" authorId="0" shapeId="0" xr:uid="{225FBDFB-FBAC-4702-9B15-BE16CA244594}">
      <text>
        <r>
          <rPr>
            <b/>
            <sz val="9"/>
            <color indexed="81"/>
            <rFont val="Segoe UI"/>
            <family val="2"/>
          </rPr>
          <t>Faca Luiz Balena e Menezes LPS</t>
        </r>
      </text>
    </comment>
    <comment ref="L60" authorId="3" shapeId="0" xr:uid="{00000000-0006-0000-0400-00001C000000}">
      <text>
        <r>
          <rPr>
            <b/>
            <sz val="9"/>
            <color indexed="81"/>
            <rFont val="Segoe UI"/>
            <family val="2"/>
          </rPr>
          <t>Aniver Jeferson
Aniver Marine
Entrada Lucas</t>
        </r>
      </text>
    </comment>
    <comment ref="N60" authorId="0" shapeId="0" xr:uid="{F5C6CE3C-ED58-4015-AADA-9A89F23B9FF9}">
      <text>
        <r>
          <rPr>
            <b/>
            <sz val="9"/>
            <color indexed="81"/>
            <rFont val="Segoe UI"/>
            <family val="2"/>
          </rPr>
          <t>Patrocinio LPS e Nelson Heusi</t>
        </r>
      </text>
    </comment>
    <comment ref="P60" authorId="3" shapeId="0" xr:uid="{00000000-0006-0000-0400-00001D000000}">
      <text>
        <r>
          <rPr>
            <b/>
            <sz val="9"/>
            <color indexed="81"/>
            <rFont val="Segoe UI"/>
            <family val="2"/>
          </rPr>
          <t xml:space="preserve">Aniversario Ellen e Bruna
</t>
        </r>
      </text>
    </comment>
    <comment ref="T60" authorId="3" shapeId="0" xr:uid="{00000000-0006-0000-0400-00001F000000}">
      <text>
        <r>
          <rPr>
            <sz val="9"/>
            <color indexed="81"/>
            <rFont val="Segoe UI"/>
            <family val="2"/>
          </rPr>
          <t>Aluguel casa final do ano
Confra fechamento semestre
Outubro rosa
Apresentação mkt
Aniver Ludiane</t>
        </r>
      </text>
    </comment>
    <comment ref="V60" authorId="0" shapeId="0" xr:uid="{00000000-0006-0000-0400-000020000000}">
      <text>
        <r>
          <rPr>
            <b/>
            <sz val="9"/>
            <color indexed="81"/>
            <rFont val="Segoe UI"/>
            <family val="2"/>
          </rPr>
          <t>copos personalizados, café da manhã, compras de bebidas p/ brindes e festa de final de ano</t>
        </r>
      </text>
    </comment>
    <comment ref="X60" authorId="0" shapeId="0" xr:uid="{6B12FC82-CB80-4A01-B756-364AA7B0DE85}">
      <text>
        <r>
          <rPr>
            <b/>
            <sz val="9"/>
            <color indexed="81"/>
            <rFont val="Segoe UI"/>
            <family val="2"/>
          </rPr>
          <t>Festa Marine mercado e bebidas/ facas</t>
        </r>
      </text>
    </comment>
    <comment ref="H61" authorId="0" shapeId="0" xr:uid="{4963F41B-8261-44A4-A303-2F8B3E2BE398}">
      <text>
        <r>
          <rPr>
            <b/>
            <sz val="9"/>
            <color indexed="81"/>
            <rFont val="Segoe UI"/>
            <family val="2"/>
          </rPr>
          <t>Central telefonica</t>
        </r>
      </text>
    </comment>
    <comment ref="R61" authorId="0" shapeId="0" xr:uid="{9077C700-B074-4808-AD6C-40317F590220}">
      <text>
        <r>
          <rPr>
            <b/>
            <sz val="9"/>
            <color indexed="81"/>
            <rFont val="Segoe UI"/>
            <family val="2"/>
          </rPr>
          <t>kit ferramentas Luiz</t>
        </r>
      </text>
    </comment>
    <comment ref="T61" authorId="0" shapeId="0" xr:uid="{091510EA-8BE1-43E1-B4D8-4776F1A25425}">
      <text>
        <r>
          <rPr>
            <b/>
            <sz val="9"/>
            <color indexed="81"/>
            <rFont val="Segoe UI"/>
            <family val="2"/>
          </rPr>
          <t>Assento sanitário
Luminária</t>
        </r>
      </text>
    </comment>
    <comment ref="B63" authorId="4" shapeId="0" xr:uid="{00000000-0006-0000-0400-000022000000}">
      <text>
        <r>
          <rPr>
            <b/>
            <sz val="9"/>
            <color indexed="81"/>
            <rFont val="Segoe UI"/>
            <family val="2"/>
          </rPr>
          <t xml:space="preserve">Correios
exame admissional
</t>
        </r>
      </text>
    </comment>
    <comment ref="D63" authorId="3" shapeId="0" xr:uid="{00000000-0006-0000-0400-000023000000}">
      <text>
        <r>
          <rPr>
            <sz val="9"/>
            <color indexed="81"/>
            <rFont val="Segoe UI"/>
            <family val="2"/>
          </rPr>
          <t xml:space="preserve">Certificado digital/ correios
</t>
        </r>
      </text>
    </comment>
    <comment ref="F63" authorId="0" shapeId="0" xr:uid="{1F62D256-105D-4362-9240-E9FDB966BC91}">
      <text>
        <r>
          <rPr>
            <b/>
            <sz val="9"/>
            <color indexed="81"/>
            <rFont val="Segoe UI"/>
            <family val="2"/>
          </rPr>
          <t xml:space="preserve">Exame demissional/ correios / chaveiro
Consultoria Gestão estratégica Sebrae
</t>
        </r>
      </text>
    </comment>
    <comment ref="P63" authorId="0" shapeId="0" xr:uid="{603D56E9-0065-4566-8EDF-89D07942215C}">
      <text>
        <r>
          <rPr>
            <b/>
            <sz val="9"/>
            <color indexed="81"/>
            <rFont val="Segoe UI"/>
            <family val="2"/>
          </rPr>
          <t>Agencia empregos BDR</t>
        </r>
      </text>
    </comment>
    <comment ref="R63" authorId="0" shapeId="0" xr:uid="{928FC462-9423-46DD-B2C6-8AACB49E6AFA}">
      <text>
        <r>
          <rPr>
            <b/>
            <sz val="9"/>
            <color indexed="81"/>
            <rFont val="Segoe UI"/>
            <family val="2"/>
          </rPr>
          <t>Motoboy</t>
        </r>
      </text>
    </comment>
    <comment ref="T63" authorId="0" shapeId="0" xr:uid="{63765451-E0AF-450C-87E6-C9CF6AC34321}">
      <text>
        <r>
          <rPr>
            <b/>
            <sz val="9"/>
            <color indexed="81"/>
            <rFont val="Segoe UI"/>
            <family val="2"/>
          </rPr>
          <t>Agencia BDR</t>
        </r>
      </text>
    </comment>
    <comment ref="X63" authorId="0" shapeId="0" xr:uid="{18E2B33E-E8EE-4C7A-9B87-083B1A5F2574}">
      <text>
        <r>
          <rPr>
            <b/>
            <sz val="9"/>
            <color indexed="81"/>
            <rFont val="Segoe UI"/>
            <family val="2"/>
          </rPr>
          <t>correios</t>
        </r>
      </text>
    </comment>
    <comment ref="A65" authorId="0" shapeId="0" xr:uid="{00000000-0006-0000-0400-000024000000}">
      <text>
        <r>
          <rPr>
            <b/>
            <sz val="9"/>
            <color indexed="81"/>
            <rFont val="Segoe UI"/>
            <family val="2"/>
          </rPr>
          <t>Para cada 1,00 vendido a empresa possui cerca de xx  centavos de lucro</t>
        </r>
      </text>
    </comment>
    <comment ref="AB68" authorId="0" shapeId="0" xr:uid="{2F3CAB14-3CD4-4133-B124-6AB880D0B3C7}">
      <text>
        <r>
          <rPr>
            <b/>
            <sz val="9"/>
            <color indexed="81"/>
            <rFont val="Segoe UI"/>
            <family val="2"/>
          </rPr>
          <t>Saldo aplicação financeira em 30/09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</author>
    <author>Financeiro</author>
    <author>tc={134107DA-4785-4407-94A9-0981D79E0BEA}</author>
    <author>tc={7C5FD061-4487-4970-B9E4-E2861D01BE7A}</author>
  </authors>
  <commentList>
    <comment ref="L4" authorId="0" shapeId="0" xr:uid="{EE249EAF-DCE7-4F62-B1FD-CEFA3FCF0253}">
      <text>
        <r>
          <rPr>
            <b/>
            <sz val="9"/>
            <color indexed="81"/>
            <rFont val="Segoe UI"/>
            <family val="2"/>
          </rPr>
          <t>Reembolso RGO</t>
        </r>
      </text>
    </comment>
    <comment ref="V4" authorId="0" shapeId="0" xr:uid="{E3398851-B47F-403F-B7AA-6C35C1226671}">
      <text>
        <r>
          <rPr>
            <b/>
            <sz val="9"/>
            <color indexed="81"/>
            <rFont val="Segoe UI"/>
            <family val="2"/>
          </rPr>
          <t xml:space="preserve">Estorno valor seguro Nelson heusi
</t>
        </r>
      </text>
    </comment>
    <comment ref="X11" authorId="0" shapeId="0" xr:uid="{2042D5B4-9822-4A6A-A4AC-FF34C24A00B8}">
      <text>
        <r>
          <rPr>
            <b/>
            <sz val="9"/>
            <color indexed="81"/>
            <rFont val="Segoe UI"/>
            <family val="2"/>
          </rPr>
          <t>Repasse Breno - MR Car</t>
        </r>
      </text>
    </comment>
    <comment ref="D19" authorId="1" shapeId="0" xr:uid="{246EE9D9-7E00-401F-A537-EBBEE297C87C}">
      <text>
        <r>
          <rPr>
            <sz val="9"/>
            <color indexed="81"/>
            <rFont val="Segoe UI"/>
            <family val="2"/>
          </rPr>
          <t>certificado digital</t>
        </r>
      </text>
    </comment>
    <comment ref="D22" authorId="1" shapeId="0" xr:uid="{07ABF536-410D-444D-A85A-83B2EF27DA61}">
      <text>
        <r>
          <rPr>
            <sz val="9"/>
            <color indexed="81"/>
            <rFont val="Segoe UI"/>
            <family val="2"/>
          </rPr>
          <t>Adiantamento Daniel: 2700
Adiantamento Ludi: 500</t>
        </r>
      </text>
    </comment>
    <comment ref="F22" authorId="1" shapeId="0" xr:uid="{64BB63A9-6071-4D75-B53D-2EB738810E48}">
      <text>
        <r>
          <rPr>
            <b/>
            <sz val="9"/>
            <color indexed="81"/>
            <rFont val="Segoe UI"/>
            <family val="2"/>
          </rPr>
          <t>Funcionário comercial 2600
Funcionário suporte</t>
        </r>
      </text>
    </comment>
    <comment ref="H22" authorId="1" shapeId="0" xr:uid="{DCFEA570-42D6-4067-AB07-2A67D7394168}">
      <text>
        <r>
          <rPr>
            <b/>
            <sz val="9"/>
            <color indexed="81"/>
            <rFont val="Segoe UI"/>
            <family val="2"/>
          </rPr>
          <t>Rescisão Amanda + Rescisão Jeferson</t>
        </r>
      </text>
    </comment>
    <comment ref="L22" authorId="1" shapeId="0" xr:uid="{AAEA2E77-1278-4B5B-8AF6-B4CA4AE96103}">
      <text>
        <r>
          <rPr>
            <sz val="9"/>
            <color indexed="81"/>
            <rFont val="Segoe UI"/>
            <family val="2"/>
          </rPr>
          <t>Rescisão Gabriel - 1543,89</t>
        </r>
      </text>
    </comment>
    <comment ref="P22" authorId="2" shapeId="0" xr:uid="{134107DA-4785-4407-94A9-0981D79E0B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Gerente comercial
Responder:
    Suporte transportes</t>
      </text>
    </comment>
    <comment ref="R22" authorId="0" shapeId="0" xr:uid="{A3A8C71E-842A-4301-9A4E-2AD12418B858}">
      <text>
        <r>
          <rPr>
            <b/>
            <sz val="9"/>
            <color indexed="81"/>
            <rFont val="Segoe UI"/>
            <family val="2"/>
          </rPr>
          <t>Gerente comercial e Suporte TRN</t>
        </r>
      </text>
    </comment>
    <comment ref="T22" authorId="0" shapeId="0" xr:uid="{D1B758C8-7244-4053-8F50-7CC0365D4999}">
      <text>
        <r>
          <rPr>
            <b/>
            <sz val="9"/>
            <color indexed="81"/>
            <rFont val="Segoe UI"/>
            <family val="2"/>
          </rPr>
          <t>rescisão Carla</t>
        </r>
      </text>
    </comment>
    <comment ref="X22" authorId="0" shapeId="0" xr:uid="{BBB72E04-BAC0-45B5-8B30-1564795A46E3}">
      <text>
        <r>
          <rPr>
            <b/>
            <sz val="9"/>
            <color indexed="81"/>
            <rFont val="Segoe UI"/>
            <family val="2"/>
          </rPr>
          <t>Rescisão Billy</t>
        </r>
      </text>
    </comment>
    <comment ref="H23" authorId="0" shapeId="0" xr:uid="{097E1CDD-6EBD-4B36-90CD-1A08637BA17D}">
      <text>
        <r>
          <rPr>
            <b/>
            <sz val="9"/>
            <color indexed="81"/>
            <rFont val="Segoe UI"/>
            <family val="2"/>
          </rPr>
          <t>Rescisão Jeferson</t>
        </r>
      </text>
    </comment>
    <comment ref="X24" authorId="1" shapeId="0" xr:uid="{BCF414DF-E7A4-4701-8A79-E24B2EA43043}">
      <text>
        <r>
          <rPr>
            <b/>
            <sz val="9"/>
            <color indexed="81"/>
            <rFont val="Segoe UI"/>
            <family val="2"/>
          </rPr>
          <t>Financeiro:</t>
        </r>
        <r>
          <rPr>
            <sz val="9"/>
            <color indexed="81"/>
            <rFont val="Segoe UI"/>
            <family val="2"/>
          </rPr>
          <t xml:space="preserve">
Férias coletivas</t>
        </r>
      </text>
    </comment>
    <comment ref="H30" authorId="1" shapeId="0" xr:uid="{0E9AEBD7-B220-4A89-B346-60B0CA202B2B}">
      <text>
        <r>
          <rPr>
            <sz val="9"/>
            <color indexed="81"/>
            <rFont val="Segoe UI"/>
            <family val="2"/>
          </rPr>
          <t>FGTS rescisório Amanda</t>
        </r>
      </text>
    </comment>
    <comment ref="V42" authorId="0" shapeId="0" xr:uid="{3EE23831-BD10-4A6C-B739-7EE4E66A4C69}">
      <text>
        <r>
          <rPr>
            <b/>
            <sz val="9"/>
            <color indexed="81"/>
            <rFont val="Segoe UI"/>
            <family val="2"/>
          </rPr>
          <t>Conserto desktop</t>
        </r>
      </text>
    </comment>
    <comment ref="D57" authorId="1" shapeId="0" xr:uid="{B65CF00D-49F8-45BC-B13D-FFBB25DA260D}">
      <text>
        <r>
          <rPr>
            <b/>
            <sz val="9"/>
            <color indexed="81"/>
            <rFont val="Segoe UI"/>
            <family val="2"/>
          </rPr>
          <t>IEV
Action coach
Excel thayla</t>
        </r>
      </text>
    </comment>
    <comment ref="V57" authorId="0" shapeId="0" xr:uid="{B8AEBB69-93B1-401B-861F-A6534A78BCFF}">
      <text>
        <r>
          <rPr>
            <b/>
            <sz val="9"/>
            <color indexed="81"/>
            <rFont val="Segoe UI"/>
            <family val="2"/>
          </rPr>
          <t>Action Coach
IEV
Power BI</t>
        </r>
      </text>
    </comment>
    <comment ref="B59" authorId="1" shapeId="0" xr:uid="{6BC06063-7F36-47B8-910A-047C8199AC82}">
      <text>
        <r>
          <rPr>
            <b/>
            <sz val="9"/>
            <color indexed="81"/>
            <rFont val="Segoe UI"/>
            <family val="2"/>
          </rPr>
          <t>Patrocinio Tecadi</t>
        </r>
      </text>
    </comment>
    <comment ref="D61" authorId="1" shapeId="0" xr:uid="{05D3E162-769B-4548-99BE-E8EEABDAFAB0}">
      <text>
        <r>
          <rPr>
            <sz val="9"/>
            <color indexed="81"/>
            <rFont val="Segoe UI"/>
            <family val="2"/>
          </rPr>
          <t xml:space="preserve">Notebook + aparelho celular
</t>
        </r>
      </text>
    </comment>
    <comment ref="N61" authorId="0" shapeId="0" xr:uid="{DB2FE633-8FE2-4D6D-9E70-7243369B011D}">
      <text>
        <r>
          <rPr>
            <b/>
            <sz val="9"/>
            <color indexed="81"/>
            <rFont val="Segoe UI"/>
            <family val="2"/>
          </rPr>
          <t>Celular Gerente + notebook</t>
        </r>
      </text>
    </comment>
    <comment ref="P61" authorId="3" shapeId="0" xr:uid="{7C5FD061-4487-4970-B9E4-E2861D01BE7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5 monitores - equipe operacional</t>
      </text>
    </comment>
    <comment ref="B62" authorId="1" shapeId="0" xr:uid="{CFB2946E-0051-4B9E-8DE8-FA6159A2087C}">
      <text>
        <r>
          <rPr>
            <sz val="9"/>
            <color indexed="81"/>
            <rFont val="Segoe UI"/>
            <family val="2"/>
          </rPr>
          <t>Açougue festa final de ano + aniver Thayla</t>
        </r>
      </text>
    </comment>
    <comment ref="L63" authorId="0" shapeId="0" xr:uid="{C85D2297-DBAE-4588-BECC-1D75A02EB9C7}">
      <text>
        <r>
          <rPr>
            <b/>
            <sz val="9"/>
            <color indexed="81"/>
            <rFont val="Segoe UI"/>
            <family val="2"/>
          </rPr>
          <t>Copo Stanley</t>
        </r>
      </text>
    </comment>
    <comment ref="T63" authorId="0" shapeId="0" xr:uid="{60E5C18D-1399-4B93-AA84-F47D325919DF}">
      <text>
        <r>
          <rPr>
            <sz val="9"/>
            <color indexed="81"/>
            <rFont val="Segoe UI"/>
            <family val="2"/>
          </rPr>
          <t>Canecas Ikeg
Copos Stanley
Camisetas Brasil</t>
        </r>
      </text>
    </comment>
    <comment ref="X63" authorId="0" shapeId="0" xr:uid="{0DB51B7E-524B-4D75-8B2D-69F46A4E21F6}">
      <text>
        <r>
          <rPr>
            <b/>
            <sz val="9"/>
            <color indexed="81"/>
            <rFont val="Segoe UI"/>
            <family val="2"/>
          </rPr>
          <t>Mini Caminhões
Panetone cacau show
Squeeze</t>
        </r>
      </text>
    </comment>
    <comment ref="R64" authorId="0" shapeId="0" xr:uid="{5721FEE4-D81A-4465-BE23-6C3313939F1B}">
      <text>
        <r>
          <rPr>
            <b/>
            <sz val="9"/>
            <color indexed="81"/>
            <rFont val="Segoe UI"/>
            <family val="2"/>
          </rPr>
          <t>conserto tv</t>
        </r>
      </text>
    </comment>
    <comment ref="D65" authorId="1" shapeId="0" xr:uid="{E639ECB9-70B5-4188-8C43-532CC77B94BF}">
      <text>
        <r>
          <rPr>
            <sz val="9"/>
            <color indexed="81"/>
            <rFont val="Segoe UI"/>
            <family val="2"/>
          </rPr>
          <t>Personalização cartões Instituto escola cidadã, livro spin selling</t>
        </r>
      </text>
    </comment>
    <comment ref="H65" authorId="1" shapeId="0" xr:uid="{FEA69C86-FFF5-4002-9DE1-1334D0CC4AB1}">
      <text>
        <r>
          <rPr>
            <b/>
            <sz val="9"/>
            <color indexed="81"/>
            <rFont val="Segoe UI"/>
            <family val="2"/>
          </rPr>
          <t>Bloco de anotações Marine
Caricaturas Marine</t>
        </r>
      </text>
    </comment>
    <comment ref="B66" authorId="1" shapeId="0" xr:uid="{DDAE3137-202F-46B3-95A8-1B35C9C51F19}">
      <text>
        <r>
          <rPr>
            <b/>
            <sz val="9"/>
            <color indexed="81"/>
            <rFont val="Segoe UI"/>
            <family val="2"/>
          </rPr>
          <t>certidão atualizada</t>
        </r>
      </text>
    </comment>
    <comment ref="D66" authorId="1" shapeId="0" xr:uid="{35BA1DFC-2145-4A7A-9D6F-FDBC233A5C25}">
      <text>
        <r>
          <rPr>
            <sz val="9"/>
            <color indexed="81"/>
            <rFont val="Segoe UI"/>
            <family val="2"/>
          </rPr>
          <t>Registro cartório + IOF</t>
        </r>
      </text>
    </comment>
    <comment ref="B68" authorId="1" shapeId="0" xr:uid="{55591AFE-C194-40B0-9EC1-BBED2419A064}">
      <text>
        <r>
          <rPr>
            <sz val="9"/>
            <color indexed="81"/>
            <rFont val="Segoe UI"/>
            <family val="2"/>
          </rPr>
          <t>Motoboy entrega brindes</t>
        </r>
      </text>
    </comment>
    <comment ref="J68" authorId="0" shapeId="0" xr:uid="{BE227A83-AD23-4323-BC89-AD6B6A329EEF}">
      <text>
        <r>
          <rPr>
            <b/>
            <sz val="9"/>
            <color indexed="81"/>
            <rFont val="Segoe UI"/>
            <family val="2"/>
          </rPr>
          <t>reembolso seguro RGO</t>
        </r>
      </text>
    </comment>
    <comment ref="L68" authorId="0" shapeId="0" xr:uid="{AEF6B715-76D3-4D5E-B2BF-736C66FEBACE}">
      <text>
        <r>
          <rPr>
            <b/>
            <sz val="9"/>
            <color indexed="81"/>
            <rFont val="Segoe UI"/>
            <family val="2"/>
          </rPr>
          <t>RGO boleto</t>
        </r>
      </text>
    </comment>
    <comment ref="T68" authorId="0" shapeId="0" xr:uid="{D38E81E1-37BB-4BFA-98BE-F3A0F6D8FF71}">
      <text>
        <r>
          <rPr>
            <b/>
            <sz val="9"/>
            <color indexed="81"/>
            <rFont val="Segoe UI"/>
            <family val="2"/>
          </rPr>
          <t>Pgto guincho Sinistro Tecadi
Pgto seguro Nelson Heusi - com posterior reembolso
Pgto valor de juros apolice Brasporto</t>
        </r>
      </text>
    </comment>
    <comment ref="A70" authorId="1" shapeId="0" xr:uid="{EDB60221-6F5B-4B70-9DAE-2DFBC3AAD6CA}">
      <text>
        <r>
          <rPr>
            <b/>
            <sz val="9"/>
            <color indexed="81"/>
            <rFont val="Segoe UI"/>
            <family val="2"/>
          </rPr>
          <t>Para cada 1,00 vendido a empresa possui cerca de xx  centavos de lucro</t>
        </r>
      </text>
    </comment>
    <comment ref="AB73" authorId="1" shapeId="0" xr:uid="{2578C0D1-52E6-42B0-A98E-4E1D44C4461F}">
      <text>
        <r>
          <rPr>
            <b/>
            <sz val="9"/>
            <color indexed="81"/>
            <rFont val="Segoe UI"/>
            <family val="2"/>
          </rPr>
          <t>Saldo aplicação financeira em 30/09</t>
        </r>
      </text>
    </comment>
    <comment ref="D95" authorId="1" shapeId="0" xr:uid="{1621ECAC-AB95-4CB9-A226-95EF08CC81B1}">
      <text>
        <r>
          <rPr>
            <sz val="9"/>
            <color indexed="81"/>
            <rFont val="Segoe UI"/>
            <family val="2"/>
          </rPr>
          <t>Recebimento empréstimo Badesc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</author>
    <author>tc={62FE1476-F63C-4796-BA93-BF189DC97CF9}</author>
    <author>tc={B10DDBD8-BDAB-4814-AD02-90063B6A5420}</author>
    <author>tc={D6785E38-13FE-4F56-BB4D-D89F706D9958}</author>
    <author>tc={7E34DD51-45E0-416B-8E92-AFB1659E4992}</author>
    <author>tc={451F987C-F473-41BB-BFD4-8EFFA5BE3928}</author>
    <author>Financeiro</author>
  </authors>
  <commentList>
    <comment ref="F3" authorId="0" shapeId="0" xr:uid="{BF2FDCB5-3471-4AED-B452-1C544F4AE2FF}">
      <text>
        <r>
          <rPr>
            <b/>
            <sz val="9"/>
            <color indexed="81"/>
            <rFont val="Segoe UI"/>
            <family val="2"/>
          </rPr>
          <t>Intelbras</t>
        </r>
      </text>
    </comment>
    <comment ref="R3" authorId="0" shapeId="0" xr:uid="{30891035-92B2-4680-B218-64C3203ACEBD}">
      <text>
        <r>
          <rPr>
            <b/>
            <sz val="9"/>
            <color indexed="81"/>
            <rFont val="Segoe UI"/>
            <family val="2"/>
          </rPr>
          <t>12700: recebimento Gente seguros e Starr</t>
        </r>
      </text>
    </comment>
    <comment ref="R4" authorId="1" shapeId="0" xr:uid="{62FE1476-F63C-4796-BA93-BF189DC97CF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PLR Tokio
</t>
      </text>
    </comment>
    <comment ref="P5" authorId="0" shapeId="0" xr:uid="{9D5D1595-67B9-4EA0-9EEF-F57E69D2A069}">
      <text>
        <r>
          <rPr>
            <b/>
            <sz val="9"/>
            <color indexed="81"/>
            <rFont val="Segoe UI"/>
            <family val="2"/>
          </rPr>
          <t>Reembolso guincho Tecadi</t>
        </r>
      </text>
    </comment>
    <comment ref="N15" authorId="2" shapeId="0" xr:uid="{B10DDBD8-BDAB-4814-AD02-90063B6A54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Ciasc</t>
      </text>
    </comment>
    <comment ref="D22" authorId="3" shapeId="0" xr:uid="{D6785E38-13FE-4F56-BB4D-D89F706D99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Estagiário</t>
      </text>
    </comment>
    <comment ref="F22" authorId="4" shapeId="0" xr:uid="{7E34DD51-45E0-416B-8E92-AFB1659E49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Sales 2500
Sinistro 3000</t>
      </text>
    </comment>
    <comment ref="J22" authorId="5" shapeId="0" xr:uid="{451F987C-F473-41BB-BFD4-8EFFA5BE392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Técnico RE 3k</t>
      </text>
    </comment>
    <comment ref="J23" authorId="0" shapeId="0" xr:uid="{7AA7B6BC-2BC0-47D2-A71D-E1F82A9E7564}">
      <text>
        <r>
          <rPr>
            <b/>
            <sz val="9"/>
            <color indexed="81"/>
            <rFont val="Segoe UI"/>
            <family val="2"/>
          </rPr>
          <t xml:space="preserve">RE - 3k
</t>
        </r>
      </text>
    </comment>
    <comment ref="L23" authorId="0" shapeId="0" xr:uid="{6B2D90B1-7504-4FBF-94F9-A3B652F62E94}">
      <text>
        <r>
          <rPr>
            <b/>
            <sz val="9"/>
            <color indexed="81"/>
            <rFont val="Segoe UI"/>
            <family val="2"/>
          </rPr>
          <t>Rescisão:
Franklin: 2509,25
Athaynan: 6676,49
André: 3384,59</t>
        </r>
      </text>
    </comment>
    <comment ref="P23" authorId="0" shapeId="0" xr:uid="{E2B6FA33-95A2-487D-821D-E3118FA5F0C0}">
      <text>
        <r>
          <rPr>
            <b/>
            <sz val="9"/>
            <color indexed="81"/>
            <rFont val="Segoe UI"/>
            <family val="2"/>
          </rPr>
          <t>Rescisão Daniel</t>
        </r>
      </text>
    </comment>
    <comment ref="T23" authorId="0" shapeId="0" xr:uid="{A241B442-D8FF-457A-ACD7-D77C8D827105}">
      <text>
        <r>
          <rPr>
            <b/>
            <sz val="9"/>
            <color indexed="81"/>
            <rFont val="Segoe UI"/>
            <family val="2"/>
          </rPr>
          <t>Rescisão Marili</t>
        </r>
      </text>
    </comment>
    <comment ref="V23" authorId="0" shapeId="0" xr:uid="{8C178330-3774-45FF-95C3-A52B1E2B3D6C}">
      <text>
        <r>
          <rPr>
            <b/>
            <sz val="9"/>
            <color indexed="81"/>
            <rFont val="Segoe UI"/>
            <family val="2"/>
          </rPr>
          <t xml:space="preserve">Rescisão Cris
Rescisão Willian
</t>
        </r>
      </text>
    </comment>
    <comment ref="X23" authorId="0" shapeId="0" xr:uid="{7B11A204-5D4C-442B-8BE5-5BF8220A89B2}">
      <text>
        <r>
          <rPr>
            <b/>
            <sz val="9"/>
            <color indexed="81"/>
            <rFont val="Segoe UI"/>
            <family val="2"/>
          </rPr>
          <t>Rescisão Sabrina</t>
        </r>
      </text>
    </comment>
    <comment ref="J26" authorId="0" shapeId="0" xr:uid="{A4CA3E7E-CFEB-4786-A7E7-379F811F3A1B}">
      <text>
        <r>
          <rPr>
            <b/>
            <sz val="9"/>
            <color indexed="81"/>
            <rFont val="Segoe UI"/>
            <family val="2"/>
          </rPr>
          <t>Férias e 1 parcela 13 Daniel</t>
        </r>
      </text>
    </comment>
    <comment ref="L26" authorId="0" shapeId="0" xr:uid="{49EEDF57-C9E2-447E-9E04-82C3A7A7AC33}">
      <text>
        <r>
          <rPr>
            <b/>
            <sz val="9"/>
            <color indexed="81"/>
            <rFont val="Segoe UI"/>
            <family val="2"/>
          </rPr>
          <t>Férias Ernane</t>
        </r>
      </text>
    </comment>
    <comment ref="N26" authorId="0" shapeId="0" xr:uid="{6392A0D9-E259-44EA-A45F-4C465BBA0DD5}">
      <text>
        <r>
          <rPr>
            <b/>
            <sz val="9"/>
            <color indexed="81"/>
            <rFont val="Segoe UI"/>
            <family val="2"/>
          </rPr>
          <t>Férias Isabella, Ellen e Karina</t>
        </r>
      </text>
    </comment>
    <comment ref="T26" authorId="0" shapeId="0" xr:uid="{B3C9C757-6C0A-4612-A85D-2C5D1830F605}">
      <text>
        <r>
          <rPr>
            <b/>
            <sz val="9"/>
            <color indexed="81"/>
            <rFont val="Segoe UI"/>
            <family val="2"/>
          </rPr>
          <t>Férias Mari - desconto na rescisão</t>
        </r>
      </text>
    </comment>
    <comment ref="P47" authorId="0" shapeId="0" xr:uid="{BB38B7CE-42C9-4146-895E-5BDA9153679A}">
      <text>
        <r>
          <rPr>
            <b/>
            <sz val="9"/>
            <color indexed="81"/>
            <rFont val="Segoe UI"/>
            <family val="2"/>
          </rPr>
          <t>Google G suite
Lumiun
RD Sistemas
Leads 2B
Infocap</t>
        </r>
      </text>
    </comment>
    <comment ref="R47" authorId="0" shapeId="0" xr:uid="{DD632569-EDBB-4785-8647-F893BCA4C796}">
      <text>
        <r>
          <rPr>
            <b/>
            <sz val="9"/>
            <color indexed="81"/>
            <rFont val="Segoe UI"/>
            <family val="2"/>
          </rPr>
          <t>G Suite
Leads 2B
Lumiun
RD
Infocap</t>
        </r>
      </text>
    </comment>
    <comment ref="V47" authorId="0" shapeId="0" xr:uid="{6A09130E-09C9-4065-99CC-EC46A3CCD732}">
      <text>
        <r>
          <rPr>
            <b/>
            <sz val="9"/>
            <color indexed="81"/>
            <rFont val="Segoe UI"/>
            <family val="2"/>
          </rPr>
          <t>Lumiun
RD CRM
Infocap
Google</t>
        </r>
      </text>
    </comment>
    <comment ref="N61" authorId="0" shapeId="0" xr:uid="{050FD2AD-B9F2-41F1-BD87-8D932B9C7323}">
      <text/>
    </comment>
    <comment ref="R61" authorId="0" shapeId="0" xr:uid="{A7037412-9356-430D-8538-286951299D02}">
      <text>
        <r>
          <rPr>
            <b/>
            <sz val="9"/>
            <color indexed="81"/>
            <rFont val="Segoe UI"/>
            <family val="2"/>
          </rPr>
          <t>1250 - site
568,07 - google ads
980,30 - facebook</t>
        </r>
      </text>
    </comment>
    <comment ref="T61" authorId="0" shapeId="0" xr:uid="{2E9DCFDB-3839-4FAF-8D00-FA5F3AFCDAF4}">
      <text>
        <r>
          <rPr>
            <b/>
            <sz val="9"/>
            <color indexed="81"/>
            <rFont val="Segoe UI"/>
            <family val="2"/>
          </rPr>
          <t>Google Ads
Facebook
Anuncio OLX</t>
        </r>
      </text>
    </comment>
    <comment ref="R62" authorId="0" shapeId="0" xr:uid="{C61C2E79-E05C-4D56-8AC4-26F971184E7C}">
      <text>
        <r>
          <rPr>
            <b/>
            <sz val="9"/>
            <color indexed="81"/>
            <rFont val="Segoe UI"/>
            <family val="2"/>
          </rPr>
          <t>Estorno G4</t>
        </r>
      </text>
    </comment>
    <comment ref="B66" authorId="0" shapeId="0" xr:uid="{2F778C2A-B3DA-4F18-98C4-F31AA137AA07}">
      <text>
        <r>
          <rPr>
            <b/>
            <sz val="9"/>
            <color indexed="81"/>
            <rFont val="Segoe UI"/>
            <family val="2"/>
          </rPr>
          <t>Celular Motorola Ellen</t>
        </r>
      </text>
    </comment>
    <comment ref="D66" authorId="0" shapeId="0" xr:uid="{7514DCA6-36D3-437C-A250-C3FB9B7D3F45}">
      <text>
        <r>
          <rPr>
            <b/>
            <sz val="9"/>
            <color indexed="81"/>
            <rFont val="Segoe UI"/>
            <family val="2"/>
          </rPr>
          <t>Carregador p/ celular/ fone de ouvido/ pasta fichario/ cabo vga</t>
        </r>
      </text>
    </comment>
    <comment ref="F66" authorId="0" shapeId="0" xr:uid="{D32DD03B-5440-43D1-A6BC-871EEADD9EE5}">
      <text>
        <r>
          <rPr>
            <b/>
            <sz val="9"/>
            <color indexed="81"/>
            <rFont val="Segoe UI"/>
            <family val="2"/>
          </rPr>
          <t>Notebook 1/3
Kit teclado e mouse</t>
        </r>
      </text>
    </comment>
    <comment ref="V66" authorId="0" shapeId="0" xr:uid="{4EF0DA6B-62FF-4123-BD58-E89C1DBF0B43}">
      <text>
        <r>
          <rPr>
            <b/>
            <sz val="9"/>
            <color indexed="81"/>
            <rFont val="Segoe UI"/>
            <family val="2"/>
          </rPr>
          <t>Estante para despensa
Refil filtro</t>
        </r>
      </text>
    </comment>
    <comment ref="B67" authorId="0" shapeId="0" xr:uid="{D9613F9E-4D0F-434C-9052-BEE9268B49EB}">
      <text>
        <r>
          <rPr>
            <b/>
            <sz val="9"/>
            <color indexed="81"/>
            <rFont val="Segoe UI"/>
            <family val="2"/>
          </rPr>
          <t>Airbnb festa</t>
        </r>
      </text>
    </comment>
    <comment ref="H67" authorId="0" shapeId="0" xr:uid="{477C9505-FF7D-490C-BD01-A0D7DCFB767F}">
      <text>
        <r>
          <rPr>
            <b/>
            <sz val="9"/>
            <color indexed="81"/>
            <rFont val="Segoe UI"/>
            <family val="2"/>
          </rPr>
          <t>Festa 5 anos</t>
        </r>
      </text>
    </comment>
    <comment ref="J67" authorId="0" shapeId="0" xr:uid="{B3FD38C2-3010-4124-B343-33481ACE90FA}">
      <text>
        <r>
          <rPr>
            <b/>
            <sz val="9"/>
            <color indexed="81"/>
            <rFont val="Segoe UI"/>
            <family val="2"/>
          </rPr>
          <t xml:space="preserve">Festa Marine: 3772,0
</t>
        </r>
      </text>
    </comment>
    <comment ref="P67" authorId="0" shapeId="0" xr:uid="{0743B8C8-822B-4F53-BEB7-CA5B24AB3308}">
      <text>
        <r>
          <rPr>
            <b/>
            <sz val="9"/>
            <color indexed="81"/>
            <rFont val="Segoe UI"/>
            <family val="2"/>
          </rPr>
          <t>Casa final de ano
Almoço Coco Bambu
Aniversários</t>
        </r>
      </text>
    </comment>
    <comment ref="B68" authorId="0" shapeId="0" xr:uid="{84B16DAC-C208-4822-BC0E-929933CED920}">
      <text>
        <r>
          <rPr>
            <b/>
            <sz val="9"/>
            <color indexed="81"/>
            <rFont val="Segoe UI"/>
            <family val="2"/>
          </rPr>
          <t>Correios Brindes
Cadernos personalizados
Gravação copos Stanley</t>
        </r>
      </text>
    </comment>
    <comment ref="R69" authorId="0" shapeId="0" xr:uid="{D5B9C923-87B8-4D6B-94FB-AF8F78B750F4}">
      <text>
        <r>
          <rPr>
            <b/>
            <sz val="9"/>
            <color indexed="81"/>
            <rFont val="Segoe UI"/>
            <family val="2"/>
          </rPr>
          <t>Retirada letreiros 406</t>
        </r>
      </text>
    </comment>
    <comment ref="H70" authorId="0" shapeId="0" xr:uid="{2702ECC3-58A5-4629-8061-0434158CF380}">
      <text>
        <r>
          <rPr>
            <b/>
            <sz val="9"/>
            <color indexed="81"/>
            <rFont val="Segoe UI"/>
            <family val="2"/>
          </rPr>
          <t>uniformes</t>
        </r>
      </text>
    </comment>
    <comment ref="D73" authorId="0" shapeId="0" xr:uid="{37E900EF-A7C1-4C64-8FEA-E711F11849C1}">
      <text>
        <r>
          <rPr>
            <b/>
            <sz val="9"/>
            <color indexed="81"/>
            <rFont val="Segoe UI"/>
            <family val="2"/>
          </rPr>
          <t>Certificado digital / Sincor</t>
        </r>
      </text>
    </comment>
    <comment ref="H73" authorId="0" shapeId="0" xr:uid="{7A04CCB9-1878-462C-8F42-F208794876BF}">
      <text>
        <r>
          <rPr>
            <b/>
            <sz val="9"/>
            <color indexed="81"/>
            <rFont val="Segoe UI"/>
            <family val="2"/>
          </rPr>
          <t>Sincor</t>
        </r>
      </text>
    </comment>
    <comment ref="L73" authorId="0" shapeId="0" xr:uid="{1A48D8E7-9649-4E3E-BDD9-ECDA7EC6E8C1}">
      <text>
        <r>
          <rPr>
            <b/>
            <sz val="9"/>
            <color indexed="81"/>
            <rFont val="Segoe UI"/>
            <family val="2"/>
          </rPr>
          <t>Correios/ motoboy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73" authorId="0" shapeId="0" xr:uid="{4B7EF7A2-1AEB-4FDC-A2D1-803005B0FD92}">
      <text>
        <r>
          <rPr>
            <b/>
            <sz val="9"/>
            <color indexed="81"/>
            <rFont val="Segoe UI"/>
            <family val="2"/>
          </rPr>
          <t>Southcorp</t>
        </r>
      </text>
    </comment>
    <comment ref="A75" authorId="6" shapeId="0" xr:uid="{395060D4-0937-4C44-AFA6-DBACC24BF3F9}">
      <text>
        <r>
          <rPr>
            <b/>
            <sz val="9"/>
            <color indexed="81"/>
            <rFont val="Segoe UI"/>
            <family val="2"/>
          </rPr>
          <t>Para cada 1,00 vendido a empresa possui cerca de xx  centavos de lucro</t>
        </r>
      </text>
    </comment>
    <comment ref="AB78" authorId="6" shapeId="0" xr:uid="{7D99CB19-F38B-49FB-B295-C9658B8F73EB}">
      <text>
        <r>
          <rPr>
            <b/>
            <sz val="9"/>
            <color indexed="81"/>
            <rFont val="Segoe UI"/>
            <family val="2"/>
          </rPr>
          <t>Saldo aplicação financeira em 30/09</t>
        </r>
      </text>
    </comment>
    <comment ref="L100" authorId="0" shapeId="0" xr:uid="{5D43E103-99F9-44A1-8AB8-BD77EACE4819}">
      <text>
        <r>
          <rPr>
            <b/>
            <sz val="9"/>
            <color indexed="81"/>
            <rFont val="Segoe UI"/>
            <family val="2"/>
          </rPr>
          <t>Premiações pagas em maio - ajuste de saldo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Financeiro</author>
  </authors>
  <commentList>
    <comment ref="D2" authorId="0" shapeId="0" xr:uid="{F20EA467-1793-4B2E-90C1-7ACE8A1BB574}">
      <text>
        <r>
          <rPr>
            <b/>
            <sz val="9"/>
            <color indexed="81"/>
            <rFont val="Segoe UI"/>
            <family val="2"/>
          </rPr>
          <t>projetado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SIZENANDO ALVES DE CARVALHO</author>
  </authors>
  <commentList>
    <comment ref="E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Valor Positivo:</t>
        </r>
        <r>
          <rPr>
            <sz val="9"/>
            <color indexed="81"/>
            <rFont val="Tahoma"/>
            <family val="2"/>
          </rPr>
          <t xml:space="preserve"> para Aumento de Preços. </t>
        </r>
        <r>
          <rPr>
            <b/>
            <sz val="9"/>
            <color indexed="81"/>
            <rFont val="Tahoma"/>
            <family val="2"/>
          </rPr>
          <t>Valor Negativo:</t>
        </r>
        <r>
          <rPr>
            <sz val="9"/>
            <color indexed="81"/>
            <rFont val="Tahoma"/>
            <family val="2"/>
          </rPr>
          <t xml:space="preserve"> para Descontos.</t>
        </r>
      </text>
    </comment>
    <comment ref="E6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Valor positivo.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 xml:space="preserve">SIZENANDO </t>
        </r>
        <r>
          <rPr>
            <sz val="9"/>
            <color indexed="81"/>
            <rFont val="Tahoma"/>
            <family val="2"/>
          </rPr>
          <t xml:space="preserve">
Exemplo: </t>
        </r>
        <r>
          <rPr>
            <b/>
            <sz val="9"/>
            <color indexed="81"/>
            <rFont val="Tahoma"/>
            <family val="2"/>
          </rPr>
          <t>Valor Positivo:</t>
        </r>
        <r>
          <rPr>
            <sz val="9"/>
            <color indexed="81"/>
            <rFont val="Tahoma"/>
            <family val="2"/>
          </rPr>
          <t xml:space="preserve"> para Aumento do Custo Fixo. </t>
        </r>
        <r>
          <rPr>
            <b/>
            <sz val="9"/>
            <color indexed="81"/>
            <rFont val="Tahoma"/>
            <family val="2"/>
          </rPr>
          <t>Valor Negativo:</t>
        </r>
        <r>
          <rPr>
            <sz val="9"/>
            <color indexed="81"/>
            <rFont val="Tahoma"/>
            <family val="2"/>
          </rPr>
          <t xml:space="preserve"> para Redução no Custo Fixo.</t>
        </r>
      </text>
    </comment>
  </commentList>
</comments>
</file>

<file path=xl/sharedStrings.xml><?xml version="1.0" encoding="utf-8"?>
<sst xmlns="http://schemas.openxmlformats.org/spreadsheetml/2006/main" count="870" uniqueCount="288">
  <si>
    <t>(Informe nas células brancas os aumentos que você deseja)</t>
  </si>
  <si>
    <t>PERCENTUAL NO LUCRO DE</t>
  </si>
  <si>
    <r>
      <t xml:space="preserve">% DE AUMENTO NAS VENDAS P/COBRIR </t>
    </r>
    <r>
      <rPr>
        <b/>
        <sz val="11"/>
        <color indexed="10"/>
        <rFont val="Calibri"/>
        <family val="2"/>
      </rPr>
      <t>Aumento no Custo Fixo</t>
    </r>
  </si>
  <si>
    <r>
      <t xml:space="preserve">AUMENTO NAS VENDAS P/COBRIR </t>
    </r>
    <r>
      <rPr>
        <b/>
        <sz val="11"/>
        <color indexed="10"/>
        <rFont val="Calibri"/>
        <family val="2"/>
      </rPr>
      <t>Aumento no Custo Fixo de</t>
    </r>
  </si>
  <si>
    <t>PROJEÇÃO</t>
  </si>
  <si>
    <t>ATUAL</t>
  </si>
  <si>
    <t>FATURAMENTO</t>
  </si>
  <si>
    <t>CMV</t>
  </si>
  <si>
    <t>MARGEM DE CONTRIBUIÇÃO</t>
  </si>
  <si>
    <t>MARGEM LÍQUIDA</t>
  </si>
  <si>
    <t xml:space="preserve"> + % Aumento de Faturamento</t>
  </si>
  <si>
    <t xml:space="preserve"> + % Aumento/ - % Desconto de Preço</t>
  </si>
  <si>
    <t>% Redução no CMV de (Melhor negociação das compras)</t>
  </si>
  <si>
    <t xml:space="preserve"> + Aumento ou Redução no Custo Fixo </t>
  </si>
  <si>
    <t>Energia Elétrica</t>
  </si>
  <si>
    <t>Despesas bancarias - Tarifas e Taxas</t>
  </si>
  <si>
    <t>Despesas financeiras - Juros bancários</t>
  </si>
  <si>
    <t>Combustível</t>
  </si>
  <si>
    <t>Materiais de Consumo</t>
  </si>
  <si>
    <t>Condomínios</t>
  </si>
  <si>
    <t>Informática</t>
  </si>
  <si>
    <t>Seguros</t>
  </si>
  <si>
    <t>Softwares</t>
  </si>
  <si>
    <t>Telefones Celulares</t>
  </si>
  <si>
    <t>Contadores</t>
  </si>
  <si>
    <t>Patrocínios</t>
  </si>
  <si>
    <t>Repasse Comissão</t>
  </si>
  <si>
    <t>Comissões</t>
  </si>
  <si>
    <t>Passagens</t>
  </si>
  <si>
    <t>Nov</t>
  </si>
  <si>
    <t>APURAÇÕES DOS RESULTADOS</t>
  </si>
  <si>
    <t>JAN</t>
  </si>
  <si>
    <t>%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</si>
  <si>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</si>
  <si>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</si>
  <si>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</si>
  <si>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</si>
  <si>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</si>
  <si>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</si>
  <si>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</si>
  <si>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</si>
  <si>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</si>
  <si>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Dez</t>
  </si>
  <si>
    <t>Média</t>
  </si>
  <si>
    <t>PROJEÇÃO ANUAL</t>
  </si>
  <si>
    <t>Meses</t>
  </si>
  <si>
    <t>1. Faturamento</t>
  </si>
  <si>
    <t>2. Custos Variáveis</t>
  </si>
  <si>
    <t>Impostos</t>
  </si>
  <si>
    <t>3. Margem de Contribuição</t>
  </si>
  <si>
    <t>alimentacao</t>
    <phoneticPr fontId="32" type="noConversion"/>
  </si>
  <si>
    <t>hotel</t>
    <phoneticPr fontId="32" type="noConversion"/>
  </si>
  <si>
    <t>4. Custos Fixos</t>
  </si>
  <si>
    <t>Outras receitas/creditos</t>
    <phoneticPr fontId="32" type="noConversion"/>
  </si>
  <si>
    <t>Férias</t>
  </si>
  <si>
    <t>Salários</t>
  </si>
  <si>
    <t>P.E. sem Investimentos</t>
  </si>
  <si>
    <t>P.E. com Investimentos</t>
  </si>
  <si>
    <t>Comissões a Vendedores</t>
  </si>
  <si>
    <t>Aluguel</t>
  </si>
  <si>
    <t>Vale Transpote Funcionários</t>
  </si>
  <si>
    <t>Devolução de Vendas</t>
  </si>
  <si>
    <t>13 Salário</t>
  </si>
  <si>
    <t>FGTS</t>
  </si>
  <si>
    <t>Indenizações pagas a empregados</t>
  </si>
  <si>
    <t>Programa de alimentação</t>
  </si>
  <si>
    <t>Despesas Tributárias</t>
  </si>
  <si>
    <t>Consumo de Energia</t>
  </si>
  <si>
    <t>Contribuições e Doações</t>
  </si>
  <si>
    <t>Despesas com Cartório</t>
  </si>
  <si>
    <t>Despesas com Correio</t>
  </si>
  <si>
    <t>Despesas com Telefone</t>
  </si>
  <si>
    <t>Despesas com Comunicação</t>
  </si>
  <si>
    <t>Despesas de Viagens</t>
  </si>
  <si>
    <t>Despesas Diversas</t>
  </si>
  <si>
    <t>Fretes</t>
  </si>
  <si>
    <t>Impressos e Material de Escritório</t>
  </si>
  <si>
    <t>Material de uso e consumo</t>
  </si>
  <si>
    <t>Multas Compensatórias</t>
  </si>
  <si>
    <t>Serviços Prestados Pessoa Jurídica</t>
  </si>
  <si>
    <t>IOF</t>
  </si>
  <si>
    <t>Despesas Financeiras - Juros e Comissões</t>
  </si>
  <si>
    <t>Pró-labore Sócios</t>
  </si>
  <si>
    <t>Manutenção Imobilizado</t>
  </si>
  <si>
    <t>Receitas Financeiras</t>
  </si>
  <si>
    <t>5. Custos Não Operacionais</t>
  </si>
  <si>
    <t>6. Resultado Líq. c/Custos Não Operacionais</t>
  </si>
  <si>
    <t>7. Resultado Líq. s/Custos Não Operacionais</t>
  </si>
  <si>
    <t xml:space="preserve">Custos da Mercadoria Vendida </t>
  </si>
  <si>
    <t>Despesas com Alvarás</t>
  </si>
  <si>
    <t>Despesas com Informática</t>
  </si>
  <si>
    <t>Ressarcimento Vale Refeição</t>
  </si>
  <si>
    <t>Ressarcimento Vale Transporte</t>
  </si>
  <si>
    <t>Taxas Municipais</t>
  </si>
  <si>
    <t>Fotocopias</t>
  </si>
  <si>
    <t>Material de Limpeza e Copa</t>
  </si>
  <si>
    <t>Outros Ressarcimentos</t>
  </si>
  <si>
    <t>Despesas com cursos e treinamentos</t>
  </si>
  <si>
    <t>Lanches e Refeições</t>
  </si>
  <si>
    <t>Água</t>
  </si>
  <si>
    <t>Despesas Bancárias - Tarifas e Taxas</t>
  </si>
  <si>
    <t>NOV</t>
  </si>
  <si>
    <t>DEZ</t>
  </si>
  <si>
    <t>ITENS</t>
  </si>
  <si>
    <t>RESULTADOS</t>
  </si>
  <si>
    <t>CUSTOS VARIÁVEIS</t>
  </si>
  <si>
    <t>CUSTOS FIXOS</t>
  </si>
  <si>
    <t>CUSTOS NÃO OPERACIONAIS</t>
  </si>
  <si>
    <t>RESULTADO S/Custos Não Op.</t>
  </si>
  <si>
    <t>RESULTADO C/Custos Não Op.</t>
  </si>
  <si>
    <t>SITUAÇÃO</t>
  </si>
  <si>
    <t>VALORES</t>
  </si>
  <si>
    <t xml:space="preserve">ATUAL </t>
  </si>
  <si>
    <t>Valor do seu faturamento médio</t>
  </si>
  <si>
    <t>(Informe nas células brancas os valores)</t>
  </si>
  <si>
    <t>% dos Custos Variáveis</t>
  </si>
  <si>
    <t>CUSTO FIXO</t>
  </si>
  <si>
    <t>DESEJADA</t>
  </si>
  <si>
    <t>Aluguel veículo/táxi</t>
  </si>
  <si>
    <t>Anúncio/publicidade</t>
  </si>
  <si>
    <t>Outras  despesas</t>
  </si>
  <si>
    <t>estacionamento/pedagio</t>
  </si>
  <si>
    <t>moveis/utensilios/equipamentos</t>
  </si>
  <si>
    <t>Funcionários</t>
  </si>
  <si>
    <t xml:space="preserve">Manutenção empresa </t>
  </si>
  <si>
    <t>Pro Labore</t>
  </si>
  <si>
    <t>Simples, IR e Inss</t>
  </si>
  <si>
    <t>Telefones Fixos/ Internet</t>
  </si>
  <si>
    <t>Plano de saúde</t>
  </si>
  <si>
    <t>Doações/presentes</t>
  </si>
  <si>
    <t>Compra Carro</t>
  </si>
  <si>
    <t>Mensalidade Google</t>
  </si>
  <si>
    <t>Anual</t>
  </si>
  <si>
    <t>Ponto Equilíbrio C/Custos Não Op.</t>
  </si>
  <si>
    <t>Ponto Equilibrio S/Custos Não Op.</t>
  </si>
  <si>
    <t>Lucro</t>
  </si>
  <si>
    <t>Emprestimo devolução</t>
  </si>
  <si>
    <t>Comissão Socio</t>
  </si>
  <si>
    <t>Total Despesas c/ custos ñ operacionais</t>
  </si>
  <si>
    <t>Total Despesas s/ custos ñ operacionais</t>
  </si>
  <si>
    <t>Informatica</t>
  </si>
  <si>
    <t xml:space="preserve"> - Marcelo</t>
  </si>
  <si>
    <t xml:space="preserve"> - Bruna</t>
  </si>
  <si>
    <t xml:space="preserve"> - IRRF</t>
  </si>
  <si>
    <t xml:space="preserve"> - INSS</t>
  </si>
  <si>
    <t xml:space="preserve"> - Salário</t>
  </si>
  <si>
    <t xml:space="preserve"> - Vale alimentação</t>
  </si>
  <si>
    <t xml:space="preserve"> - Vale transporte</t>
  </si>
  <si>
    <t xml:space="preserve"> - FGTS</t>
  </si>
  <si>
    <t>Mensalidade Carro</t>
  </si>
  <si>
    <t>Materiais gráficos</t>
  </si>
  <si>
    <t>Publicidade</t>
  </si>
  <si>
    <t>Alimentacao</t>
  </si>
  <si>
    <t>Estacionamento/pedagio</t>
  </si>
  <si>
    <t>Hotel</t>
  </si>
  <si>
    <t>Aluguel veículo/ taxi</t>
  </si>
  <si>
    <t>Material de consumo</t>
  </si>
  <si>
    <t>Material de limpeza</t>
  </si>
  <si>
    <t xml:space="preserve"> - INSS socio</t>
  </si>
  <si>
    <t xml:space="preserve"> - IRRF socio</t>
  </si>
  <si>
    <t>Escritório Contábil</t>
  </si>
  <si>
    <t xml:space="preserve"> - Julyana</t>
  </si>
  <si>
    <t>Simples nacional</t>
  </si>
  <si>
    <t>Material de expediente</t>
  </si>
  <si>
    <t>Resultado com investimentos</t>
  </si>
  <si>
    <t>Composição de Saldos</t>
  </si>
  <si>
    <t>Banco Sicredi</t>
  </si>
  <si>
    <t>Caixa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</si>
  <si>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</si>
  <si>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</si>
  <si>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</si>
  <si>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</si>
  <si>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</si>
  <si>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</si>
  <si>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</si>
  <si>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</si>
  <si>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</si>
  <si>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</si>
  <si>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</si>
  <si>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</si>
  <si>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Aplicações</t>
  </si>
  <si>
    <t>Cursos e Treinamentos</t>
  </si>
  <si>
    <t xml:space="preserve"> - Plano de saúde</t>
  </si>
  <si>
    <t xml:space="preserve"> - Férias</t>
  </si>
  <si>
    <t xml:space="preserve"> - Plano de saúde </t>
  </si>
  <si>
    <t xml:space="preserve"> - Plano odontológico</t>
  </si>
  <si>
    <t xml:space="preserve"> - Décimo Terceiro</t>
  </si>
  <si>
    <t xml:space="preserve"> - Carla</t>
  </si>
  <si>
    <t xml:space="preserve"> - 13 salário</t>
  </si>
  <si>
    <t xml:space="preserve">Ponto Equilíbrio </t>
  </si>
  <si>
    <t xml:space="preserve">Total Despesas </t>
  </si>
  <si>
    <t xml:space="preserve">RESULTADO </t>
  </si>
  <si>
    <t>Confraternização/presentes</t>
  </si>
  <si>
    <t>Consultoria / Marketing</t>
  </si>
  <si>
    <t xml:space="preserve"> - Tamara</t>
  </si>
  <si>
    <t>Consultoria</t>
  </si>
  <si>
    <t xml:space="preserve"> - Ludiane</t>
  </si>
  <si>
    <t xml:space="preserve"> - Breno</t>
  </si>
  <si>
    <t>Reforma Sala</t>
  </si>
  <si>
    <t xml:space="preserve"> - Premiações</t>
  </si>
  <si>
    <t>Margem de Lucro</t>
  </si>
  <si>
    <t>Marketing</t>
  </si>
  <si>
    <t>Manutenção de instalações</t>
  </si>
  <si>
    <t xml:space="preserve"> - Exames / consultas</t>
  </si>
  <si>
    <t xml:space="preserve"> - Thayla</t>
  </si>
  <si>
    <t xml:space="preserve"> - Marili</t>
  </si>
  <si>
    <t>Despesas totais - Retirada padrão</t>
  </si>
  <si>
    <t>Margem lucro - Retirada padrão</t>
  </si>
  <si>
    <t>RESULTADO C/ RETIRADA PADRÃO</t>
  </si>
  <si>
    <t xml:space="preserve"> - Karina</t>
  </si>
  <si>
    <t>RECEITA</t>
  </si>
  <si>
    <t>Retirada Excedente</t>
  </si>
  <si>
    <t>Ponto Equilíbrio - Líquido</t>
  </si>
  <si>
    <t>Margem de Lucro - Líquido</t>
  </si>
  <si>
    <t>Despesas - Total</t>
  </si>
  <si>
    <t>Aplicação automática</t>
  </si>
  <si>
    <t>Custo fixo + variavel</t>
  </si>
  <si>
    <t>Resultado - custos n operacionais - retirada excedente</t>
  </si>
  <si>
    <t>Margem de lucro - custos n operacionais - retirada excedente</t>
  </si>
  <si>
    <t>Resultado excluindo a reforma da sala</t>
  </si>
  <si>
    <t>Retirada excedente</t>
  </si>
  <si>
    <t>Total Despesas c/ custos ñ operacionais e retirtada padrao</t>
  </si>
  <si>
    <t>Resultado - Investimentos + Retirada</t>
  </si>
  <si>
    <t>Analise financeira 2021</t>
  </si>
  <si>
    <t>Receita</t>
  </si>
  <si>
    <t>Resultado c/ retirada padrão</t>
  </si>
  <si>
    <t>Despesas</t>
  </si>
  <si>
    <t>Margem de lucro</t>
  </si>
  <si>
    <t>Ano</t>
  </si>
  <si>
    <t>Análise Financeira 2022</t>
  </si>
  <si>
    <t>Outras receitas/creditos</t>
    <phoneticPr fontId="0" type="noConversion"/>
  </si>
  <si>
    <t xml:space="preserve"> - Maria do Seguro</t>
  </si>
  <si>
    <t xml:space="preserve"> - Willian</t>
  </si>
  <si>
    <t xml:space="preserve"> - Athaynan</t>
  </si>
  <si>
    <t>Patrocinio</t>
  </si>
  <si>
    <t>Eventos /Confraternização</t>
  </si>
  <si>
    <t>Presentes/ brindes</t>
  </si>
  <si>
    <t>Emprestimo Badesc</t>
  </si>
  <si>
    <t>Reforma nova sala 406</t>
  </si>
  <si>
    <t>Resultado - Investimentos - Retirada</t>
  </si>
  <si>
    <t>Caixa Social Control</t>
  </si>
  <si>
    <t>2021 - Previsto/simulado</t>
  </si>
  <si>
    <t>Saldo mês anterior</t>
  </si>
  <si>
    <t>Pro labore</t>
  </si>
  <si>
    <t>Retirada</t>
  </si>
  <si>
    <t>Investimento</t>
  </si>
  <si>
    <t>Saldo</t>
  </si>
  <si>
    <t>Resultado</t>
  </si>
  <si>
    <t>Análise Financeira 2023</t>
  </si>
  <si>
    <t xml:space="preserve"> - Daniel</t>
  </si>
  <si>
    <t>Advogados</t>
  </si>
  <si>
    <t xml:space="preserve"> - PPR</t>
  </si>
  <si>
    <t xml:space="preserve"> - Auxílio Combustível</t>
  </si>
  <si>
    <t xml:space="preserve"> - CIEE</t>
  </si>
  <si>
    <t>Limpeza</t>
  </si>
  <si>
    <t xml:space="preserve">2023 - </t>
  </si>
  <si>
    <t xml:space="preserve"> </t>
  </si>
  <si>
    <t>MARINE CORRETORA DE SEGUROS</t>
  </si>
  <si>
    <t>RESUMO ANUAL FINANCEIRO</t>
  </si>
  <si>
    <t>OBJETO</t>
  </si>
  <si>
    <t>2018</t>
  </si>
  <si>
    <t>2019</t>
  </si>
  <si>
    <t>∆%</t>
  </si>
  <si>
    <t>2020</t>
  </si>
  <si>
    <t>∆%2</t>
  </si>
  <si>
    <t>2021</t>
  </si>
  <si>
    <t>∆%3</t>
  </si>
  <si>
    <t>2022</t>
  </si>
  <si>
    <t>RESULTADO</t>
  </si>
  <si>
    <t>PONTO EQUILIBRIO</t>
  </si>
  <si>
    <t>DESPESAS</t>
  </si>
  <si>
    <t>MARGEM DE LUCRO</t>
  </si>
  <si>
    <t>∆%4</t>
  </si>
  <si>
    <t>∆%5</t>
  </si>
  <si>
    <t>2023</t>
  </si>
  <si>
    <t>2024</t>
  </si>
  <si>
    <t>Diversos</t>
  </si>
  <si>
    <t>Reforma/ Carro</t>
  </si>
  <si>
    <t>Retirada padrão</t>
  </si>
  <si>
    <t>Retirada Padrão</t>
  </si>
  <si>
    <t>∆%6</t>
  </si>
  <si>
    <t>1 semestre 2023</t>
  </si>
  <si>
    <t>2 semestre 2023</t>
  </si>
  <si>
    <t>2023 anual</t>
  </si>
  <si>
    <t>1 semestre 2024</t>
  </si>
  <si>
    <t>2 semestre 2024</t>
  </si>
  <si>
    <t>2024 anual</t>
  </si>
  <si>
    <t>RESUMO SEMESTRAL FINANCEIRO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</si>
</sst>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_(* #,##0.00_);_(* \(#,##0.00\);_(* &quot;-&quot;??_);_(@_)"/>
    <numFmt numFmtId="165" formatCode="_-&quot;$&quot;* #,##0.00_-;\-&quot;$&quot;* #,##0.00_-;_-&quot;$&quot;* &quot;-&quot;??_-;_-@_-"/>
    <numFmt numFmtId="166" formatCode="&quot;R$ &quot;#,##0.00"/>
    <numFmt numFmtId="167" formatCode="[$-416]mmm\-yy;@"/>
    <numFmt numFmtId="168" formatCode="0.000%"/>
    <numFmt numFmtId="169" formatCode="0.0%"/>
    <numFmt numFmtId="170" formatCode="#,##0.00_ ;[Red]\-#,##0.00\ "/>
  </numFmts>
  <fonts count="80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9242"/>
      <name val="Calibri"/>
      <family val="2"/>
      <scheme val="minor"/>
    </font>
    <font>
      <b/>
      <sz val="11"/>
      <color rgb="FF009242"/>
      <name val="Calibri"/>
      <family val="2"/>
      <scheme val="minor"/>
    </font>
    <font>
      <b/>
      <sz val="12"/>
      <color rgb="FF009242"/>
      <name val="Arial"/>
      <family val="2"/>
    </font>
    <font>
      <b/>
      <sz val="12"/>
      <color rgb="FF009242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Arial"/>
      <family val="2"/>
    </font>
    <font>
      <b/>
      <sz val="12"/>
      <color indexed="10"/>
      <name val="Arial"/>
      <family val="2"/>
    </font>
    <font>
      <b/>
      <sz val="12"/>
      <color rgb="FF002060"/>
      <name val="Calibri"/>
      <family val="2"/>
      <scheme val="minor"/>
    </font>
    <font>
      <b/>
      <sz val="14"/>
      <color rgb="FF002060"/>
      <name val="Arial"/>
      <family val="2"/>
    </font>
    <font>
      <b/>
      <sz val="11"/>
      <color indexed="10"/>
      <name val="Calibri"/>
      <family val="2"/>
    </font>
    <font>
      <b/>
      <sz val="16"/>
      <color rgb="FF007A37"/>
      <name val="Calibri"/>
      <family val="2"/>
      <scheme val="minor"/>
    </font>
    <font>
      <b/>
      <sz val="16"/>
      <color rgb="FF007A37"/>
      <name val="Arial"/>
      <family val="2"/>
    </font>
    <font>
      <b/>
      <sz val="16"/>
      <color rgb="FF002060"/>
      <name val="Arial"/>
      <family val="2"/>
    </font>
    <font>
      <b/>
      <sz val="12"/>
      <name val="Calibri"/>
      <family val="2"/>
      <scheme val="minor"/>
    </font>
    <font>
      <b/>
      <sz val="12"/>
      <color rgb="FF007A37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555555"/>
      <name val="Calibri"/>
      <family val="2"/>
      <scheme val="minor"/>
    </font>
    <font>
      <sz val="11"/>
      <color rgb="FF555555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b/>
      <sz val="9"/>
      <color rgb="FFFFFFFF"/>
      <name val="Calibri"/>
      <family val="2"/>
    </font>
    <font>
      <b/>
      <sz val="10"/>
      <color rgb="FFFFFFFF"/>
      <name val="Calibri"/>
      <family val="2"/>
    </font>
    <font>
      <b/>
      <sz val="9"/>
      <name val="Calibri"/>
      <family val="2"/>
    </font>
    <font>
      <sz val="11"/>
      <color rgb="FFFFFFFF"/>
      <name val="Calibri"/>
      <family val="2"/>
    </font>
    <font>
      <sz val="9"/>
      <name val="Calibri"/>
      <family val="2"/>
    </font>
    <font>
      <sz val="11"/>
      <color rgb="FFFF0000"/>
      <name val="Calibri"/>
      <family val="2"/>
    </font>
    <font>
      <b/>
      <sz val="11"/>
      <color rgb="FF555555"/>
      <name val="Calibri"/>
      <family val="2"/>
    </font>
    <font>
      <sz val="11"/>
      <color rgb="FF555555"/>
      <name val="Calibri"/>
      <family val="2"/>
    </font>
    <font>
      <sz val="9"/>
      <color rgb="FFFF0000"/>
      <name val="Calibri"/>
      <family val="2"/>
      <scheme val="minor"/>
    </font>
    <font>
      <b/>
      <sz val="11"/>
      <color theme="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5"/>
      <color theme="0"/>
      <name val="Cambria"/>
      <family val="2"/>
      <scheme val="major"/>
    </font>
    <font>
      <sz val="30"/>
      <color theme="0"/>
      <name val="Cambria"/>
      <family val="2"/>
      <scheme val="major"/>
    </font>
    <font>
      <sz val="12"/>
      <color theme="0"/>
      <name val="Calibri"/>
      <family val="2"/>
    </font>
    <font>
      <sz val="11"/>
      <color theme="2"/>
      <name val="Calibri"/>
      <family val="2"/>
      <scheme val="minor"/>
    </font>
    <font>
      <sz val="8"/>
      <name val="Arial"/>
      <family val="2"/>
    </font>
    <font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indexed="17"/>
        <bgColor indexed="58"/>
      </patternFill>
    </fill>
    <fill>
      <patternFill patternType="solid">
        <fgColor indexed="17"/>
        <bgColor indexed="49"/>
      </patternFill>
    </fill>
    <fill>
      <patternFill patternType="solid">
        <fgColor indexed="17"/>
        <bgColor indexed="57"/>
      </patternFill>
    </fill>
    <fill>
      <patternFill patternType="solid">
        <fgColor indexed="17"/>
        <bgColor indexed="22"/>
      </patternFill>
    </fill>
    <fill>
      <patternFill patternType="solid">
        <fgColor indexed="17"/>
        <bgColor indexed="42"/>
      </patternFill>
    </fill>
    <fill>
      <patternFill patternType="solid">
        <fgColor indexed="17"/>
        <bgColor indexed="64"/>
      </patternFill>
    </fill>
    <fill>
      <patternFill patternType="solid">
        <fgColor indexed="17"/>
        <bgColor indexed="9"/>
      </patternFill>
    </fill>
    <fill>
      <patternFill patternType="solid">
        <fgColor indexed="47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58"/>
      </patternFill>
    </fill>
    <fill>
      <patternFill patternType="solid">
        <fgColor theme="8" tint="-0.249977111117893"/>
        <bgColor indexed="4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58"/>
      </patternFill>
    </fill>
    <fill>
      <patternFill patternType="solid">
        <fgColor theme="3"/>
        <bgColor indexed="49"/>
      </patternFill>
    </fill>
    <fill>
      <patternFill patternType="solid">
        <fgColor rgb="FFFFFF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1B8144"/>
        <bgColor indexed="58"/>
      </patternFill>
    </fill>
    <fill>
      <patternFill patternType="solid">
        <fgColor rgb="FF1B8144"/>
        <bgColor indexed="49"/>
      </patternFill>
    </fill>
    <fill>
      <patternFill patternType="solid">
        <fgColor rgb="FF1B814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49"/>
      </patternFill>
    </fill>
    <fill>
      <patternFill patternType="solid">
        <fgColor theme="7" tint="0.39997558519241921"/>
        <bgColor indexed="5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D966"/>
        <bgColor rgb="FF003300"/>
      </patternFill>
    </fill>
    <fill>
      <patternFill patternType="solid">
        <fgColor rgb="FFFFD966"/>
        <bgColor rgb="FF33CCCC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1B8144"/>
      </patternFill>
    </fill>
    <fill>
      <patternFill patternType="solid">
        <fgColor rgb="FFFFF2CC"/>
        <bgColor rgb="FFCCFFCC"/>
      </patternFill>
    </fill>
    <fill>
      <patternFill patternType="solid">
        <fgColor theme="3" tint="0.39997558519241921"/>
        <bgColor indexed="58"/>
      </patternFill>
    </fill>
    <fill>
      <patternFill patternType="solid">
        <fgColor theme="3" tint="0.39997558519241921"/>
        <bgColor indexed="49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rgb="FF1B8144"/>
      </patternFill>
    </fill>
    <fill>
      <patternFill patternType="solid">
        <fgColor theme="3" tint="0.79998168889431442"/>
        <bgColor rgb="FFCCFFCC"/>
      </patternFill>
    </fill>
    <fill>
      <patternFill patternType="solid">
        <fgColor rgb="FFFFCC99"/>
      </patternFill>
    </fill>
    <fill>
      <patternFill patternType="solid">
        <fgColor rgb="FFEEEADE"/>
        <bgColor indexed="64"/>
      </patternFill>
    </fill>
    <fill>
      <patternFill patternType="solid">
        <fgColor rgb="FF5A5044"/>
        <bgColor indexed="64"/>
      </patternFill>
    </fill>
    <fill>
      <patternFill patternType="solid">
        <fgColor theme="0" tint="-0.14999847407452621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/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64"/>
      </left>
      <right style="hair">
        <color indexed="8"/>
      </right>
      <top style="medium">
        <color indexed="64"/>
      </top>
      <bottom style="medium">
        <color indexed="64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1" fillId="0" borderId="0"/>
    <xf numFmtId="0" fontId="1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68" applyNumberFormat="0" applyFill="0" applyAlignment="0" applyProtection="0"/>
    <xf numFmtId="0" fontId="72" fillId="53" borderId="69" applyNumberFormat="0" applyAlignment="0" applyProtection="0"/>
  </cellStyleXfs>
  <cellXfs count="631">
    <xf numFmtId="0" fontId="0" fillId="0" borderId="0" xfId="0"/>
    <xf numFmtId="0" fontId="5" fillId="2" borderId="1" xfId="0" applyFont="1" applyFill="1" applyBorder="1"/>
    <xf numFmtId="166" fontId="3" fillId="3" borderId="2" xfId="0" applyNumberFormat="1" applyFont="1" applyFill="1" applyBorder="1" applyAlignment="1">
      <alignment horizontal="center"/>
    </xf>
    <xf numFmtId="10" fontId="3" fillId="3" borderId="2" xfId="6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166" fontId="3" fillId="6" borderId="3" xfId="0" applyNumberFormat="1" applyFont="1" applyFill="1" applyBorder="1" applyAlignment="1">
      <alignment horizontal="center"/>
    </xf>
    <xf numFmtId="9" fontId="3" fillId="6" borderId="2" xfId="6" applyFont="1" applyFill="1" applyBorder="1" applyAlignment="1">
      <alignment horizontal="center"/>
    </xf>
    <xf numFmtId="0" fontId="6" fillId="7" borderId="2" xfId="0" applyFont="1" applyFill="1" applyBorder="1"/>
    <xf numFmtId="10" fontId="6" fillId="8" borderId="4" xfId="0" applyNumberFormat="1" applyFont="1" applyFill="1" applyBorder="1"/>
    <xf numFmtId="0" fontId="4" fillId="7" borderId="0" xfId="0" applyFont="1" applyFill="1"/>
    <xf numFmtId="0" fontId="3" fillId="9" borderId="1" xfId="0" applyFont="1" applyFill="1" applyBorder="1"/>
    <xf numFmtId="10" fontId="6" fillId="9" borderId="2" xfId="6" applyNumberFormat="1" applyFont="1" applyFill="1" applyBorder="1"/>
    <xf numFmtId="4" fontId="3" fillId="10" borderId="2" xfId="0" applyNumberFormat="1" applyFont="1" applyFill="1" applyBorder="1"/>
    <xf numFmtId="4" fontId="3" fillId="9" borderId="2" xfId="0" applyNumberFormat="1" applyFont="1" applyFill="1" applyBorder="1"/>
    <xf numFmtId="9" fontId="6" fillId="9" borderId="2" xfId="6" applyFont="1" applyFill="1" applyBorder="1"/>
    <xf numFmtId="10" fontId="6" fillId="9" borderId="4" xfId="0" applyNumberFormat="1" applyFont="1" applyFill="1" applyBorder="1"/>
    <xf numFmtId="164" fontId="7" fillId="9" borderId="2" xfId="8" applyFont="1" applyFill="1" applyBorder="1"/>
    <xf numFmtId="2" fontId="6" fillId="9" borderId="4" xfId="0" applyNumberFormat="1" applyFont="1" applyFill="1" applyBorder="1"/>
    <xf numFmtId="4" fontId="0" fillId="0" borderId="5" xfId="0" applyNumberFormat="1" applyBorder="1"/>
    <xf numFmtId="10" fontId="8" fillId="11" borderId="5" xfId="6" applyNumberFormat="1" applyFont="1" applyFill="1" applyBorder="1"/>
    <xf numFmtId="4" fontId="4" fillId="9" borderId="6" xfId="0" applyNumberFormat="1" applyFont="1" applyFill="1" applyBorder="1"/>
    <xf numFmtId="4" fontId="4" fillId="9" borderId="7" xfId="0" applyNumberFormat="1" applyFont="1" applyFill="1" applyBorder="1"/>
    <xf numFmtId="2" fontId="8" fillId="11" borderId="8" xfId="0" applyNumberFormat="1" applyFont="1" applyFill="1" applyBorder="1"/>
    <xf numFmtId="4" fontId="0" fillId="0" borderId="9" xfId="0" applyNumberFormat="1" applyBorder="1"/>
    <xf numFmtId="4" fontId="4" fillId="9" borderId="5" xfId="0" applyNumberFormat="1" applyFont="1" applyFill="1" applyBorder="1"/>
    <xf numFmtId="0" fontId="0" fillId="0" borderId="10" xfId="0" applyBorder="1"/>
    <xf numFmtId="0" fontId="4" fillId="0" borderId="10" xfId="0" applyFont="1" applyBorder="1"/>
    <xf numFmtId="4" fontId="3" fillId="9" borderId="3" xfId="0" applyNumberFormat="1" applyFont="1" applyFill="1" applyBorder="1"/>
    <xf numFmtId="2" fontId="6" fillId="9" borderId="2" xfId="0" applyNumberFormat="1" applyFont="1" applyFill="1" applyBorder="1"/>
    <xf numFmtId="0" fontId="0" fillId="12" borderId="10" xfId="0" applyFill="1" applyBorder="1"/>
    <xf numFmtId="0" fontId="0" fillId="12" borderId="0" xfId="0" applyFill="1"/>
    <xf numFmtId="0" fontId="3" fillId="13" borderId="1" xfId="0" applyFont="1" applyFill="1" applyBorder="1"/>
    <xf numFmtId="166" fontId="0" fillId="0" borderId="0" xfId="0" applyNumberFormat="1"/>
    <xf numFmtId="10" fontId="2" fillId="11" borderId="0" xfId="6" applyNumberFormat="1" applyFill="1"/>
    <xf numFmtId="0" fontId="0" fillId="11" borderId="0" xfId="0" applyFill="1"/>
    <xf numFmtId="2" fontId="0" fillId="11" borderId="0" xfId="0" applyNumberFormat="1" applyFill="1"/>
    <xf numFmtId="166" fontId="0" fillId="11" borderId="0" xfId="0" applyNumberFormat="1" applyFill="1"/>
    <xf numFmtId="0" fontId="3" fillId="9" borderId="11" xfId="0" applyFont="1" applyFill="1" applyBorder="1"/>
    <xf numFmtId="4" fontId="0" fillId="11" borderId="2" xfId="0" applyNumberFormat="1" applyFill="1" applyBorder="1"/>
    <xf numFmtId="10" fontId="2" fillId="11" borderId="2" xfId="6" applyNumberFormat="1" applyFill="1" applyBorder="1"/>
    <xf numFmtId="2" fontId="0" fillId="11" borderId="2" xfId="0" applyNumberFormat="1" applyFill="1" applyBorder="1"/>
    <xf numFmtId="0" fontId="0" fillId="11" borderId="4" xfId="0" applyFill="1" applyBorder="1"/>
    <xf numFmtId="4" fontId="10" fillId="0" borderId="9" xfId="0" applyNumberFormat="1" applyFont="1" applyBorder="1"/>
    <xf numFmtId="0" fontId="2" fillId="0" borderId="10" xfId="0" applyFont="1" applyBorder="1"/>
    <xf numFmtId="4" fontId="2" fillId="0" borderId="9" xfId="0" applyNumberFormat="1" applyFont="1" applyBorder="1"/>
    <xf numFmtId="4" fontId="0" fillId="0" borderId="0" xfId="0" applyNumberFormat="1"/>
    <xf numFmtId="0" fontId="0" fillId="0" borderId="12" xfId="0" applyBorder="1"/>
    <xf numFmtId="0" fontId="2" fillId="12" borderId="10" xfId="0" applyFont="1" applyFill="1" applyBorder="1"/>
    <xf numFmtId="4" fontId="0" fillId="14" borderId="9" xfId="0" applyNumberFormat="1" applyFill="1" applyBorder="1"/>
    <xf numFmtId="4" fontId="0" fillId="14" borderId="5" xfId="0" applyNumberFormat="1" applyFill="1" applyBorder="1"/>
    <xf numFmtId="4" fontId="10" fillId="14" borderId="9" xfId="0" applyNumberFormat="1" applyFont="1" applyFill="1" applyBorder="1"/>
    <xf numFmtId="0" fontId="0" fillId="14" borderId="10" xfId="0" applyFill="1" applyBorder="1"/>
    <xf numFmtId="164" fontId="3" fillId="10" borderId="2" xfId="8" applyFont="1" applyFill="1" applyBorder="1"/>
    <xf numFmtId="164" fontId="3" fillId="9" borderId="2" xfId="8" applyFont="1" applyFill="1" applyBorder="1"/>
    <xf numFmtId="167" fontId="3" fillId="3" borderId="2" xfId="0" applyNumberFormat="1" applyFont="1" applyFill="1" applyBorder="1" applyAlignment="1">
      <alignment horizontal="center"/>
    </xf>
    <xf numFmtId="0" fontId="2" fillId="14" borderId="13" xfId="0" applyFont="1" applyFill="1" applyBorder="1"/>
    <xf numFmtId="0" fontId="2" fillId="0" borderId="12" xfId="0" applyFont="1" applyBorder="1"/>
    <xf numFmtId="0" fontId="0" fillId="12" borderId="14" xfId="0" applyFill="1" applyBorder="1"/>
    <xf numFmtId="0" fontId="13" fillId="15" borderId="1" xfId="0" applyFont="1" applyFill="1" applyBorder="1" applyAlignment="1">
      <alignment horizontal="center" vertical="center"/>
    </xf>
    <xf numFmtId="0" fontId="13" fillId="15" borderId="2" xfId="0" applyFont="1" applyFill="1" applyBorder="1" applyAlignment="1">
      <alignment horizontal="center" vertical="center"/>
    </xf>
    <xf numFmtId="0" fontId="12" fillId="0" borderId="0" xfId="0" applyFont="1"/>
    <xf numFmtId="0" fontId="14" fillId="16" borderId="21" xfId="0" applyFont="1" applyFill="1" applyBorder="1" applyAlignment="1">
      <alignment horizontal="center" vertical="justify"/>
    </xf>
    <xf numFmtId="164" fontId="16" fillId="16" borderId="25" xfId="8" applyFont="1" applyFill="1" applyBorder="1" applyAlignment="1">
      <alignment wrapText="1"/>
    </xf>
    <xf numFmtId="10" fontId="16" fillId="16" borderId="26" xfId="0" applyNumberFormat="1" applyFont="1" applyFill="1" applyBorder="1" applyAlignment="1">
      <alignment wrapText="1"/>
    </xf>
    <xf numFmtId="164" fontId="16" fillId="16" borderId="27" xfId="8" applyFont="1" applyFill="1" applyBorder="1" applyAlignment="1">
      <alignment wrapText="1"/>
    </xf>
    <xf numFmtId="0" fontId="18" fillId="17" borderId="21" xfId="0" applyFont="1" applyFill="1" applyBorder="1" applyAlignment="1">
      <alignment horizontal="center" vertical="center"/>
    </xf>
    <xf numFmtId="10" fontId="20" fillId="0" borderId="25" xfId="0" applyNumberFormat="1" applyFont="1" applyBorder="1" applyAlignment="1">
      <alignment wrapText="1"/>
    </xf>
    <xf numFmtId="0" fontId="18" fillId="17" borderId="23" xfId="0" applyFont="1" applyFill="1" applyBorder="1" applyAlignment="1">
      <alignment horizontal="center" vertical="center"/>
    </xf>
    <xf numFmtId="10" fontId="20" fillId="0" borderId="28" xfId="0" applyNumberFormat="1" applyFont="1" applyBorder="1" applyAlignment="1">
      <alignment wrapText="1"/>
    </xf>
    <xf numFmtId="10" fontId="21" fillId="0" borderId="26" xfId="0" applyNumberFormat="1" applyFont="1" applyBorder="1" applyAlignment="1">
      <alignment wrapText="1"/>
    </xf>
    <xf numFmtId="164" fontId="21" fillId="0" borderId="29" xfId="8" applyFont="1" applyBorder="1" applyAlignment="1">
      <alignment wrapText="1"/>
    </xf>
    <xf numFmtId="10" fontId="23" fillId="18" borderId="4" xfId="0" applyNumberFormat="1" applyFont="1" applyFill="1" applyBorder="1" applyAlignment="1">
      <alignment vertical="center" wrapText="1"/>
    </xf>
    <xf numFmtId="164" fontId="23" fillId="18" borderId="2" xfId="0" applyNumberFormat="1" applyFont="1" applyFill="1" applyBorder="1" applyAlignment="1">
      <alignment vertical="center" wrapText="1"/>
    </xf>
    <xf numFmtId="10" fontId="23" fillId="18" borderId="2" xfId="6" applyNumberFormat="1" applyFont="1" applyFill="1" applyBorder="1" applyAlignment="1">
      <alignment vertical="center" wrapText="1"/>
    </xf>
    <xf numFmtId="10" fontId="0" fillId="0" borderId="0" xfId="6" applyNumberFormat="1" applyFont="1"/>
    <xf numFmtId="10" fontId="21" fillId="14" borderId="0" xfId="0" applyNumberFormat="1" applyFont="1" applyFill="1" applyAlignment="1">
      <alignment wrapText="1"/>
    </xf>
    <xf numFmtId="10" fontId="21" fillId="14" borderId="0" xfId="6" applyNumberFormat="1" applyFont="1" applyFill="1" applyAlignment="1">
      <alignment wrapText="1"/>
    </xf>
    <xf numFmtId="0" fontId="25" fillId="16" borderId="30" xfId="0" applyFont="1" applyFill="1" applyBorder="1" applyAlignment="1">
      <alignment horizontal="center" vertical="justify"/>
    </xf>
    <xf numFmtId="0" fontId="26" fillId="16" borderId="15" xfId="0" applyFont="1" applyFill="1" applyBorder="1" applyAlignment="1">
      <alignment horizontal="center" vertical="center" wrapText="1"/>
    </xf>
    <xf numFmtId="0" fontId="18" fillId="17" borderId="31" xfId="0" applyFont="1" applyFill="1" applyBorder="1" applyAlignment="1">
      <alignment horizontal="center" vertical="justify"/>
    </xf>
    <xf numFmtId="0" fontId="27" fillId="17" borderId="32" xfId="0" applyFont="1" applyFill="1" applyBorder="1" applyAlignment="1">
      <alignment horizontal="center" vertical="center" wrapText="1"/>
    </xf>
    <xf numFmtId="0" fontId="28" fillId="15" borderId="18" xfId="0" applyFont="1" applyFill="1" applyBorder="1" applyAlignment="1">
      <alignment horizontal="left" vertical="center"/>
    </xf>
    <xf numFmtId="164" fontId="29" fillId="16" borderId="33" xfId="8" applyFont="1" applyFill="1" applyBorder="1"/>
    <xf numFmtId="10" fontId="29" fillId="16" borderId="17" xfId="0" applyNumberFormat="1" applyFont="1" applyFill="1" applyBorder="1"/>
    <xf numFmtId="164" fontId="22" fillId="17" borderId="34" xfId="8" applyFont="1" applyFill="1" applyBorder="1"/>
    <xf numFmtId="10" fontId="22" fillId="17" borderId="17" xfId="0" applyNumberFormat="1" applyFont="1" applyFill="1" applyBorder="1"/>
    <xf numFmtId="0" fontId="28" fillId="15" borderId="20" xfId="0" applyFont="1" applyFill="1" applyBorder="1" applyAlignment="1">
      <alignment horizontal="left" vertical="center"/>
    </xf>
    <xf numFmtId="164" fontId="29" fillId="16" borderId="35" xfId="8" applyFont="1" applyFill="1" applyBorder="1"/>
    <xf numFmtId="10" fontId="29" fillId="16" borderId="19" xfId="0" applyNumberFormat="1" applyFont="1" applyFill="1" applyBorder="1"/>
    <xf numFmtId="164" fontId="22" fillId="17" borderId="36" xfId="8" applyFont="1" applyFill="1" applyBorder="1"/>
    <xf numFmtId="10" fontId="22" fillId="17" borderId="19" xfId="0" applyNumberFormat="1" applyFont="1" applyFill="1" applyBorder="1"/>
    <xf numFmtId="168" fontId="0" fillId="0" borderId="0" xfId="6" applyNumberFormat="1" applyFont="1"/>
    <xf numFmtId="0" fontId="28" fillId="15" borderId="37" xfId="0" applyFont="1" applyFill="1" applyBorder="1" applyAlignment="1">
      <alignment horizontal="left" vertical="center"/>
    </xf>
    <xf numFmtId="164" fontId="29" fillId="16" borderId="31" xfId="8" applyFont="1" applyFill="1" applyBorder="1"/>
    <xf numFmtId="10" fontId="29" fillId="16" borderId="32" xfId="0" applyNumberFormat="1" applyFont="1" applyFill="1" applyBorder="1"/>
    <xf numFmtId="164" fontId="22" fillId="17" borderId="38" xfId="8" applyFont="1" applyFill="1" applyBorder="1"/>
    <xf numFmtId="10" fontId="22" fillId="17" borderId="32" xfId="0" applyNumberFormat="1" applyFont="1" applyFill="1" applyBorder="1"/>
    <xf numFmtId="10" fontId="0" fillId="0" borderId="0" xfId="0" applyNumberFormat="1"/>
    <xf numFmtId="166" fontId="35" fillId="3" borderId="2" xfId="0" applyNumberFormat="1" applyFont="1" applyFill="1" applyBorder="1" applyAlignment="1">
      <alignment horizontal="center"/>
    </xf>
    <xf numFmtId="10" fontId="35" fillId="3" borderId="2" xfId="6" applyNumberFormat="1" applyFont="1" applyFill="1" applyBorder="1" applyAlignment="1">
      <alignment horizontal="center"/>
    </xf>
    <xf numFmtId="0" fontId="36" fillId="7" borderId="0" xfId="0" applyFont="1" applyFill="1"/>
    <xf numFmtId="0" fontId="37" fillId="0" borderId="0" xfId="0" applyFont="1"/>
    <xf numFmtId="4" fontId="37" fillId="0" borderId="5" xfId="0" applyNumberFormat="1" applyFont="1" applyBorder="1"/>
    <xf numFmtId="4" fontId="37" fillId="0" borderId="9" xfId="0" applyNumberFormat="1" applyFont="1" applyBorder="1"/>
    <xf numFmtId="4" fontId="37" fillId="14" borderId="9" xfId="0" applyNumberFormat="1" applyFont="1" applyFill="1" applyBorder="1"/>
    <xf numFmtId="4" fontId="37" fillId="0" borderId="23" xfId="0" applyNumberFormat="1" applyFont="1" applyBorder="1"/>
    <xf numFmtId="0" fontId="37" fillId="12" borderId="0" xfId="0" applyFont="1" applyFill="1"/>
    <xf numFmtId="4" fontId="37" fillId="0" borderId="0" xfId="0" applyNumberFormat="1" applyFont="1"/>
    <xf numFmtId="10" fontId="35" fillId="0" borderId="2" xfId="6" applyNumberFormat="1" applyFont="1" applyBorder="1" applyAlignment="1">
      <alignment horizontal="center"/>
    </xf>
    <xf numFmtId="164" fontId="40" fillId="0" borderId="0" xfId="8" applyFont="1"/>
    <xf numFmtId="0" fontId="35" fillId="19" borderId="4" xfId="0" applyFont="1" applyFill="1" applyBorder="1" applyAlignment="1">
      <alignment horizontal="left"/>
    </xf>
    <xf numFmtId="166" fontId="35" fillId="20" borderId="2" xfId="0" applyNumberFormat="1" applyFont="1" applyFill="1" applyBorder="1" applyAlignment="1">
      <alignment horizontal="center"/>
    </xf>
    <xf numFmtId="10" fontId="39" fillId="21" borderId="2" xfId="6" applyNumberFormat="1" applyFont="1" applyFill="1" applyBorder="1"/>
    <xf numFmtId="4" fontId="38" fillId="21" borderId="2" xfId="0" applyNumberFormat="1" applyFont="1" applyFill="1" applyBorder="1"/>
    <xf numFmtId="10" fontId="39" fillId="21" borderId="4" xfId="6" applyNumberFormat="1" applyFont="1" applyFill="1" applyBorder="1"/>
    <xf numFmtId="4" fontId="38" fillId="21" borderId="3" xfId="0" applyNumberFormat="1" applyFont="1" applyFill="1" applyBorder="1"/>
    <xf numFmtId="4" fontId="37" fillId="21" borderId="2" xfId="0" applyNumberFormat="1" applyFont="1" applyFill="1" applyBorder="1"/>
    <xf numFmtId="4" fontId="38" fillId="22" borderId="2" xfId="0" applyNumberFormat="1" applyFont="1" applyFill="1" applyBorder="1"/>
    <xf numFmtId="10" fontId="41" fillId="22" borderId="5" xfId="6" applyNumberFormat="1" applyFont="1" applyFill="1" applyBorder="1"/>
    <xf numFmtId="4" fontId="37" fillId="22" borderId="9" xfId="0" applyNumberFormat="1" applyFont="1" applyFill="1" applyBorder="1"/>
    <xf numFmtId="4" fontId="37" fillId="22" borderId="5" xfId="0" applyNumberFormat="1" applyFont="1" applyFill="1" applyBorder="1"/>
    <xf numFmtId="10" fontId="41" fillId="22" borderId="8" xfId="6" applyNumberFormat="1" applyFont="1" applyFill="1" applyBorder="1"/>
    <xf numFmtId="4" fontId="37" fillId="22" borderId="7" xfId="0" applyNumberFormat="1" applyFont="1" applyFill="1" applyBorder="1"/>
    <xf numFmtId="0" fontId="38" fillId="21" borderId="4" xfId="0" applyFont="1" applyFill="1" applyBorder="1" applyAlignment="1">
      <alignment horizontal="left"/>
    </xf>
    <xf numFmtId="9" fontId="39" fillId="21" borderId="2" xfId="6" applyFont="1" applyFill="1" applyBorder="1"/>
    <xf numFmtId="10" fontId="39" fillId="21" borderId="4" xfId="0" applyNumberFormat="1" applyFont="1" applyFill="1" applyBorder="1"/>
    <xf numFmtId="164" fontId="40" fillId="21" borderId="2" xfId="8" applyFont="1" applyFill="1" applyBorder="1"/>
    <xf numFmtId="4" fontId="2" fillId="14" borderId="9" xfId="0" applyNumberFormat="1" applyFont="1" applyFill="1" applyBorder="1"/>
    <xf numFmtId="166" fontId="3" fillId="0" borderId="3" xfId="0" applyNumberFormat="1" applyFont="1" applyBorder="1" applyAlignment="1">
      <alignment horizontal="center"/>
    </xf>
    <xf numFmtId="9" fontId="3" fillId="0" borderId="2" xfId="6" applyFont="1" applyBorder="1" applyAlignment="1">
      <alignment horizontal="center"/>
    </xf>
    <xf numFmtId="0" fontId="6" fillId="0" borderId="2" xfId="0" applyFont="1" applyBorder="1"/>
    <xf numFmtId="10" fontId="6" fillId="0" borderId="4" xfId="0" applyNumberFormat="1" applyFont="1" applyBorder="1"/>
    <xf numFmtId="4" fontId="38" fillId="21" borderId="4" xfId="0" applyNumberFormat="1" applyFont="1" applyFill="1" applyBorder="1"/>
    <xf numFmtId="4" fontId="37" fillId="22" borderId="8" xfId="0" applyNumberFormat="1" applyFont="1" applyFill="1" applyBorder="1"/>
    <xf numFmtId="0" fontId="6" fillId="0" borderId="2" xfId="0" applyFont="1" applyBorder="1" applyAlignment="1">
      <alignment horizontal="center"/>
    </xf>
    <xf numFmtId="0" fontId="3" fillId="21" borderId="4" xfId="0" applyFont="1" applyFill="1" applyBorder="1" applyAlignment="1">
      <alignment horizontal="left"/>
    </xf>
    <xf numFmtId="46" fontId="37" fillId="0" borderId="0" xfId="0" applyNumberFormat="1" applyFont="1"/>
    <xf numFmtId="0" fontId="2" fillId="0" borderId="0" xfId="0" applyFont="1" applyAlignment="1">
      <alignment vertical="top"/>
    </xf>
    <xf numFmtId="10" fontId="39" fillId="16" borderId="2" xfId="6" applyNumberFormat="1" applyFont="1" applyFill="1" applyBorder="1"/>
    <xf numFmtId="4" fontId="2" fillId="0" borderId="39" xfId="0" applyNumberFormat="1" applyFont="1" applyBorder="1"/>
    <xf numFmtId="0" fontId="38" fillId="21" borderId="41" xfId="0" applyFont="1" applyFill="1" applyBorder="1" applyAlignment="1">
      <alignment horizontal="left"/>
    </xf>
    <xf numFmtId="4" fontId="37" fillId="0" borderId="40" xfId="0" applyNumberFormat="1" applyFont="1" applyBorder="1"/>
    <xf numFmtId="4" fontId="0" fillId="0" borderId="40" xfId="0" applyNumberFormat="1" applyBorder="1"/>
    <xf numFmtId="0" fontId="3" fillId="21" borderId="42" xfId="0" applyFont="1" applyFill="1" applyBorder="1" applyAlignment="1">
      <alignment horizontal="left"/>
    </xf>
    <xf numFmtId="4" fontId="37" fillId="21" borderId="21" xfId="0" applyNumberFormat="1" applyFont="1" applyFill="1" applyBorder="1"/>
    <xf numFmtId="10" fontId="39" fillId="21" borderId="21" xfId="6" applyNumberFormat="1" applyFont="1" applyFill="1" applyBorder="1"/>
    <xf numFmtId="10" fontId="39" fillId="16" borderId="21" xfId="6" applyNumberFormat="1" applyFont="1" applyFill="1" applyBorder="1"/>
    <xf numFmtId="4" fontId="38" fillId="21" borderId="21" xfId="0" applyNumberFormat="1" applyFont="1" applyFill="1" applyBorder="1"/>
    <xf numFmtId="0" fontId="3" fillId="21" borderId="2" xfId="0" applyFont="1" applyFill="1" applyBorder="1" applyAlignment="1">
      <alignment horizontal="left"/>
    </xf>
    <xf numFmtId="4" fontId="37" fillId="0" borderId="2" xfId="0" applyNumberFormat="1" applyFont="1" applyBorder="1"/>
    <xf numFmtId="0" fontId="37" fillId="0" borderId="2" xfId="0" applyFont="1" applyBorder="1"/>
    <xf numFmtId="0" fontId="38" fillId="21" borderId="21" xfId="0" applyFont="1" applyFill="1" applyBorder="1"/>
    <xf numFmtId="0" fontId="43" fillId="15" borderId="26" xfId="0" applyFont="1" applyFill="1" applyBorder="1" applyAlignment="1">
      <alignment horizontal="left"/>
    </xf>
    <xf numFmtId="4" fontId="44" fillId="0" borderId="23" xfId="0" applyNumberFormat="1" applyFont="1" applyBorder="1"/>
    <xf numFmtId="166" fontId="45" fillId="27" borderId="45" xfId="0" applyNumberFormat="1" applyFont="1" applyFill="1" applyBorder="1" applyAlignment="1">
      <alignment horizontal="center"/>
    </xf>
    <xf numFmtId="164" fontId="43" fillId="0" borderId="0" xfId="8" applyFont="1"/>
    <xf numFmtId="0" fontId="46" fillId="24" borderId="42" xfId="0" applyFont="1" applyFill="1" applyBorder="1" applyAlignment="1">
      <alignment horizontal="left"/>
    </xf>
    <xf numFmtId="166" fontId="46" fillId="25" borderId="21" xfId="0" applyNumberFormat="1" applyFont="1" applyFill="1" applyBorder="1" applyAlignment="1">
      <alignment horizontal="center"/>
    </xf>
    <xf numFmtId="10" fontId="46" fillId="0" borderId="21" xfId="6" applyNumberFormat="1" applyFont="1" applyBorder="1" applyAlignment="1">
      <alignment horizontal="center"/>
    </xf>
    <xf numFmtId="0" fontId="42" fillId="27" borderId="21" xfId="0" applyFont="1" applyFill="1" applyBorder="1" applyAlignment="1">
      <alignment horizontal="center"/>
    </xf>
    <xf numFmtId="10" fontId="43" fillId="0" borderId="42" xfId="0" applyNumberFormat="1" applyFont="1" applyBorder="1"/>
    <xf numFmtId="0" fontId="44" fillId="0" borderId="0" xfId="0" applyFont="1"/>
    <xf numFmtId="0" fontId="47" fillId="7" borderId="0" xfId="0" applyFont="1" applyFill="1"/>
    <xf numFmtId="4" fontId="43" fillId="15" borderId="20" xfId="0" applyNumberFormat="1" applyFont="1" applyFill="1" applyBorder="1"/>
    <xf numFmtId="10" fontId="43" fillId="15" borderId="20" xfId="6" applyNumberFormat="1" applyFont="1" applyFill="1" applyBorder="1"/>
    <xf numFmtId="10" fontId="43" fillId="15" borderId="26" xfId="0" applyNumberFormat="1" applyFont="1" applyFill="1" applyBorder="1"/>
    <xf numFmtId="0" fontId="44" fillId="0" borderId="46" xfId="0" applyFont="1" applyBorder="1"/>
    <xf numFmtId="10" fontId="44" fillId="23" borderId="23" xfId="6" applyNumberFormat="1" applyFont="1" applyFill="1" applyBorder="1"/>
    <xf numFmtId="4" fontId="44" fillId="23" borderId="23" xfId="0" applyNumberFormat="1" applyFont="1" applyFill="1" applyBorder="1"/>
    <xf numFmtId="10" fontId="44" fillId="23" borderId="44" xfId="6" applyNumberFormat="1" applyFont="1" applyFill="1" applyBorder="1"/>
    <xf numFmtId="10" fontId="43" fillId="15" borderId="26" xfId="6" applyNumberFormat="1" applyFont="1" applyFill="1" applyBorder="1"/>
    <xf numFmtId="4" fontId="44" fillId="0" borderId="0" xfId="0" applyNumberFormat="1" applyFont="1"/>
    <xf numFmtId="4" fontId="44" fillId="14" borderId="23" xfId="0" applyNumberFormat="1" applyFont="1" applyFill="1" applyBorder="1"/>
    <xf numFmtId="4" fontId="43" fillId="15" borderId="46" xfId="0" applyNumberFormat="1" applyFont="1" applyFill="1" applyBorder="1"/>
    <xf numFmtId="0" fontId="44" fillId="12" borderId="0" xfId="0" applyFont="1" applyFill="1"/>
    <xf numFmtId="10" fontId="43" fillId="23" borderId="20" xfId="6" applyNumberFormat="1" applyFont="1" applyFill="1" applyBorder="1"/>
    <xf numFmtId="4" fontId="44" fillId="15" borderId="20" xfId="0" applyNumberFormat="1" applyFont="1" applyFill="1" applyBorder="1"/>
    <xf numFmtId="0" fontId="43" fillId="15" borderId="20" xfId="0" applyFont="1" applyFill="1" applyBorder="1" applyAlignment="1">
      <alignment horizontal="left"/>
    </xf>
    <xf numFmtId="0" fontId="44" fillId="15" borderId="20" xfId="0" applyFont="1" applyFill="1" applyBorder="1"/>
    <xf numFmtId="0" fontId="49" fillId="26" borderId="43" xfId="0" applyFont="1" applyFill="1" applyBorder="1" applyAlignment="1">
      <alignment horizontal="left" vertical="center" wrapText="1"/>
    </xf>
    <xf numFmtId="10" fontId="50" fillId="15" borderId="20" xfId="6" applyNumberFormat="1" applyFont="1" applyFill="1" applyBorder="1"/>
    <xf numFmtId="10" fontId="51" fillId="23" borderId="23" xfId="6" applyNumberFormat="1" applyFont="1" applyFill="1" applyBorder="1"/>
    <xf numFmtId="10" fontId="50" fillId="23" borderId="20" xfId="6" applyNumberFormat="1" applyFont="1" applyFill="1" applyBorder="1"/>
    <xf numFmtId="10" fontId="52" fillId="0" borderId="21" xfId="6" applyNumberFormat="1" applyFont="1" applyBorder="1" applyAlignment="1">
      <alignment horizontal="center"/>
    </xf>
    <xf numFmtId="9" fontId="50" fillId="0" borderId="21" xfId="6" applyFont="1" applyBorder="1" applyAlignment="1">
      <alignment horizontal="center"/>
    </xf>
    <xf numFmtId="4" fontId="50" fillId="15" borderId="20" xfId="0" applyNumberFormat="1" applyFont="1" applyFill="1" applyBorder="1"/>
    <xf numFmtId="9" fontId="50" fillId="15" borderId="20" xfId="6" applyFont="1" applyFill="1" applyBorder="1"/>
    <xf numFmtId="4" fontId="50" fillId="23" borderId="23" xfId="0" applyNumberFormat="1" applyFont="1" applyFill="1" applyBorder="1"/>
    <xf numFmtId="4" fontId="50" fillId="23" borderId="20" xfId="0" applyNumberFormat="1" applyFont="1" applyFill="1" applyBorder="1"/>
    <xf numFmtId="0" fontId="50" fillId="23" borderId="20" xfId="0" applyFont="1" applyFill="1" applyBorder="1"/>
    <xf numFmtId="164" fontId="43" fillId="15" borderId="20" xfId="8" applyFont="1" applyFill="1" applyBorder="1"/>
    <xf numFmtId="43" fontId="50" fillId="15" borderId="20" xfId="0" applyNumberFormat="1" applyFont="1" applyFill="1" applyBorder="1"/>
    <xf numFmtId="0" fontId="43" fillId="15" borderId="47" xfId="0" applyFont="1" applyFill="1" applyBorder="1" applyAlignment="1">
      <alignment horizontal="left"/>
    </xf>
    <xf numFmtId="4" fontId="44" fillId="15" borderId="47" xfId="0" applyNumberFormat="1" applyFont="1" applyFill="1" applyBorder="1"/>
    <xf numFmtId="10" fontId="50" fillId="23" borderId="47" xfId="6" applyNumberFormat="1" applyFont="1" applyFill="1" applyBorder="1"/>
    <xf numFmtId="10" fontId="43" fillId="23" borderId="47" xfId="6" applyNumberFormat="1" applyFont="1" applyFill="1" applyBorder="1"/>
    <xf numFmtId="0" fontId="44" fillId="0" borderId="20" xfId="0" applyFont="1" applyBorder="1"/>
    <xf numFmtId="0" fontId="44" fillId="0" borderId="37" xfId="0" applyFont="1" applyBorder="1"/>
    <xf numFmtId="0" fontId="43" fillId="15" borderId="20" xfId="0" applyFont="1" applyFill="1" applyBorder="1"/>
    <xf numFmtId="0" fontId="43" fillId="15" borderId="37" xfId="0" applyFont="1" applyFill="1" applyBorder="1"/>
    <xf numFmtId="4" fontId="44" fillId="15" borderId="37" xfId="0" applyNumberFormat="1" applyFont="1" applyFill="1" applyBorder="1"/>
    <xf numFmtId="0" fontId="49" fillId="26" borderId="0" xfId="0" applyFont="1" applyFill="1" applyAlignment="1">
      <alignment horizontal="left" vertical="center" wrapText="1"/>
    </xf>
    <xf numFmtId="0" fontId="43" fillId="0" borderId="0" xfId="0" applyFont="1"/>
    <xf numFmtId="0" fontId="43" fillId="0" borderId="48" xfId="0" applyFont="1" applyBorder="1"/>
    <xf numFmtId="0" fontId="43" fillId="0" borderId="49" xfId="0" applyFont="1" applyBorder="1"/>
    <xf numFmtId="4" fontId="48" fillId="26" borderId="50" xfId="0" applyNumberFormat="1" applyFont="1" applyFill="1" applyBorder="1" applyAlignment="1">
      <alignment horizontal="left" vertical="center" wrapText="1"/>
    </xf>
    <xf numFmtId="0" fontId="44" fillId="0" borderId="51" xfId="0" applyFont="1" applyBorder="1"/>
    <xf numFmtId="4" fontId="48" fillId="26" borderId="52" xfId="0" applyNumberFormat="1" applyFont="1" applyFill="1" applyBorder="1" applyAlignment="1">
      <alignment horizontal="center" vertical="center" wrapText="1"/>
    </xf>
    <xf numFmtId="4" fontId="44" fillId="0" borderId="52" xfId="0" applyNumberFormat="1" applyFont="1" applyBorder="1" applyAlignment="1">
      <alignment horizontal="center"/>
    </xf>
    <xf numFmtId="0" fontId="44" fillId="0" borderId="52" xfId="0" applyFont="1" applyBorder="1" applyAlignment="1">
      <alignment horizontal="center"/>
    </xf>
    <xf numFmtId="0" fontId="44" fillId="0" borderId="52" xfId="0" applyFont="1" applyBorder="1"/>
    <xf numFmtId="4" fontId="43" fillId="0" borderId="53" xfId="0" applyNumberFormat="1" applyFont="1" applyBorder="1" applyAlignment="1">
      <alignment horizontal="center"/>
    </xf>
    <xf numFmtId="4" fontId="48" fillId="26" borderId="53" xfId="0" applyNumberFormat="1" applyFont="1" applyFill="1" applyBorder="1" applyAlignment="1">
      <alignment horizontal="center" vertical="center" wrapText="1"/>
    </xf>
    <xf numFmtId="4" fontId="44" fillId="0" borderId="53" xfId="0" applyNumberFormat="1" applyFont="1" applyBorder="1" applyAlignment="1">
      <alignment horizontal="center"/>
    </xf>
    <xf numFmtId="0" fontId="44" fillId="0" borderId="53" xfId="0" applyFont="1" applyBorder="1"/>
    <xf numFmtId="4" fontId="48" fillId="26" borderId="53" xfId="0" applyNumberFormat="1" applyFont="1" applyFill="1" applyBorder="1" applyAlignment="1">
      <alignment horizontal="left" vertical="center" wrapText="1"/>
    </xf>
    <xf numFmtId="4" fontId="49" fillId="26" borderId="43" xfId="0" applyNumberFormat="1" applyFont="1" applyFill="1" applyBorder="1" applyAlignment="1">
      <alignment horizontal="left" vertical="center" wrapText="1"/>
    </xf>
    <xf numFmtId="4" fontId="44" fillId="23" borderId="0" xfId="0" applyNumberFormat="1" applyFont="1" applyFill="1"/>
    <xf numFmtId="164" fontId="43" fillId="0" borderId="53" xfId="8" applyFont="1" applyBorder="1" applyAlignment="1">
      <alignment horizontal="center"/>
    </xf>
    <xf numFmtId="164" fontId="44" fillId="0" borderId="53" xfId="8" applyFont="1" applyBorder="1" applyAlignment="1">
      <alignment horizontal="center"/>
    </xf>
    <xf numFmtId="164" fontId="44" fillId="0" borderId="52" xfId="8" applyFont="1" applyBorder="1" applyAlignment="1">
      <alignment horizontal="center"/>
    </xf>
    <xf numFmtId="164" fontId="44" fillId="0" borderId="0" xfId="8" applyFont="1"/>
    <xf numFmtId="164" fontId="44" fillId="0" borderId="0" xfId="8" applyFont="1" applyAlignment="1">
      <alignment horizontal="right"/>
    </xf>
    <xf numFmtId="164" fontId="43" fillId="0" borderId="53" xfId="0" applyNumberFormat="1" applyFont="1" applyBorder="1" applyAlignment="1">
      <alignment horizontal="center"/>
    </xf>
    <xf numFmtId="164" fontId="44" fillId="15" borderId="20" xfId="8" applyFont="1" applyFill="1" applyBorder="1" applyAlignment="1">
      <alignment horizontal="center"/>
    </xf>
    <xf numFmtId="0" fontId="46" fillId="28" borderId="42" xfId="0" applyFont="1" applyFill="1" applyBorder="1" applyAlignment="1">
      <alignment horizontal="left"/>
    </xf>
    <xf numFmtId="166" fontId="46" fillId="29" borderId="21" xfId="0" applyNumberFormat="1" applyFont="1" applyFill="1" applyBorder="1" applyAlignment="1">
      <alignment horizontal="center"/>
    </xf>
    <xf numFmtId="166" fontId="45" fillId="30" borderId="45" xfId="0" applyNumberFormat="1" applyFont="1" applyFill="1" applyBorder="1" applyAlignment="1">
      <alignment horizontal="center"/>
    </xf>
    <xf numFmtId="0" fontId="42" fillId="30" borderId="21" xfId="0" applyFont="1" applyFill="1" applyBorder="1" applyAlignment="1">
      <alignment horizontal="center"/>
    </xf>
    <xf numFmtId="0" fontId="43" fillId="31" borderId="26" xfId="0" applyFont="1" applyFill="1" applyBorder="1" applyAlignment="1">
      <alignment horizontal="left"/>
    </xf>
    <xf numFmtId="4" fontId="43" fillId="31" borderId="20" xfId="0" applyNumberFormat="1" applyFont="1" applyFill="1" applyBorder="1"/>
    <xf numFmtId="10" fontId="50" fillId="31" borderId="20" xfId="6" applyNumberFormat="1" applyFont="1" applyFill="1" applyBorder="1"/>
    <xf numFmtId="43" fontId="50" fillId="31" borderId="20" xfId="0" applyNumberFormat="1" applyFont="1" applyFill="1" applyBorder="1"/>
    <xf numFmtId="9" fontId="50" fillId="31" borderId="20" xfId="6" applyFont="1" applyFill="1" applyBorder="1"/>
    <xf numFmtId="10" fontId="43" fillId="31" borderId="26" xfId="0" applyNumberFormat="1" applyFont="1" applyFill="1" applyBorder="1"/>
    <xf numFmtId="164" fontId="43" fillId="31" borderId="20" xfId="8" applyFont="1" applyFill="1" applyBorder="1"/>
    <xf numFmtId="0" fontId="44" fillId="31" borderId="0" xfId="0" applyFont="1" applyFill="1"/>
    <xf numFmtId="10" fontId="43" fillId="31" borderId="26" xfId="6" applyNumberFormat="1" applyFont="1" applyFill="1" applyBorder="1"/>
    <xf numFmtId="4" fontId="50" fillId="31" borderId="20" xfId="0" applyNumberFormat="1" applyFont="1" applyFill="1" applyBorder="1"/>
    <xf numFmtId="4" fontId="43" fillId="31" borderId="46" xfId="0" applyNumberFormat="1" applyFont="1" applyFill="1" applyBorder="1"/>
    <xf numFmtId="10" fontId="43" fillId="31" borderId="20" xfId="6" applyNumberFormat="1" applyFont="1" applyFill="1" applyBorder="1"/>
    <xf numFmtId="0" fontId="43" fillId="31" borderId="20" xfId="0" applyFont="1" applyFill="1" applyBorder="1" applyAlignment="1">
      <alignment horizontal="left"/>
    </xf>
    <xf numFmtId="0" fontId="43" fillId="31" borderId="20" xfId="0" applyFont="1" applyFill="1" applyBorder="1"/>
    <xf numFmtId="0" fontId="43" fillId="31" borderId="37" xfId="0" applyFont="1" applyFill="1" applyBorder="1"/>
    <xf numFmtId="4" fontId="44" fillId="31" borderId="20" xfId="0" applyNumberFormat="1" applyFont="1" applyFill="1" applyBorder="1"/>
    <xf numFmtId="4" fontId="44" fillId="31" borderId="37" xfId="0" applyNumberFormat="1" applyFont="1" applyFill="1" applyBorder="1"/>
    <xf numFmtId="0" fontId="44" fillId="31" borderId="20" xfId="0" applyFont="1" applyFill="1" applyBorder="1"/>
    <xf numFmtId="164" fontId="44" fillId="31" borderId="20" xfId="8" applyFont="1" applyFill="1" applyBorder="1" applyAlignment="1">
      <alignment horizontal="center"/>
    </xf>
    <xf numFmtId="4" fontId="44" fillId="0" borderId="37" xfId="0" applyNumberFormat="1" applyFont="1" applyBorder="1"/>
    <xf numFmtId="164" fontId="51" fillId="31" borderId="20" xfId="8" applyFont="1" applyFill="1" applyBorder="1"/>
    <xf numFmtId="164" fontId="43" fillId="31" borderId="20" xfId="8" applyFont="1" applyFill="1" applyBorder="1" applyAlignment="1">
      <alignment horizontal="right"/>
    </xf>
    <xf numFmtId="4" fontId="44" fillId="0" borderId="53" xfId="0" applyNumberFormat="1" applyFont="1" applyBorder="1"/>
    <xf numFmtId="4" fontId="43" fillId="0" borderId="53" xfId="0" applyNumberFormat="1" applyFont="1" applyBorder="1"/>
    <xf numFmtId="0" fontId="44" fillId="0" borderId="0" xfId="0" applyFont="1" applyAlignment="1">
      <alignment vertical="top"/>
    </xf>
    <xf numFmtId="43" fontId="50" fillId="23" borderId="20" xfId="0" applyNumberFormat="1" applyFont="1" applyFill="1" applyBorder="1"/>
    <xf numFmtId="4" fontId="43" fillId="31" borderId="37" xfId="0" applyNumberFormat="1" applyFont="1" applyFill="1" applyBorder="1"/>
    <xf numFmtId="43" fontId="50" fillId="23" borderId="37" xfId="0" applyNumberFormat="1" applyFont="1" applyFill="1" applyBorder="1"/>
    <xf numFmtId="4" fontId="43" fillId="15" borderId="37" xfId="0" applyNumberFormat="1" applyFont="1" applyFill="1" applyBorder="1"/>
    <xf numFmtId="164" fontId="43" fillId="0" borderId="53" xfId="8" applyFont="1" applyBorder="1"/>
    <xf numFmtId="164" fontId="44" fillId="0" borderId="53" xfId="8" applyFont="1" applyBorder="1"/>
    <xf numFmtId="164" fontId="44" fillId="0" borderId="52" xfId="8" applyFont="1" applyBorder="1"/>
    <xf numFmtId="43" fontId="44" fillId="31" borderId="20" xfId="0" applyNumberFormat="1" applyFont="1" applyFill="1" applyBorder="1"/>
    <xf numFmtId="4" fontId="53" fillId="14" borderId="23" xfId="0" applyNumberFormat="1" applyFont="1" applyFill="1" applyBorder="1"/>
    <xf numFmtId="0" fontId="43" fillId="33" borderId="26" xfId="0" applyFont="1" applyFill="1" applyBorder="1" applyAlignment="1">
      <alignment horizontal="left"/>
    </xf>
    <xf numFmtId="4" fontId="43" fillId="33" borderId="20" xfId="0" applyNumberFormat="1" applyFont="1" applyFill="1" applyBorder="1"/>
    <xf numFmtId="10" fontId="50" fillId="33" borderId="20" xfId="6" applyNumberFormat="1" applyFont="1" applyFill="1" applyBorder="1"/>
    <xf numFmtId="43" fontId="50" fillId="33" borderId="20" xfId="0" applyNumberFormat="1" applyFont="1" applyFill="1" applyBorder="1"/>
    <xf numFmtId="10" fontId="43" fillId="33" borderId="26" xfId="6" applyNumberFormat="1" applyFont="1" applyFill="1" applyBorder="1"/>
    <xf numFmtId="9" fontId="50" fillId="23" borderId="20" xfId="6" applyFont="1" applyFill="1" applyBorder="1"/>
    <xf numFmtId="4" fontId="50" fillId="33" borderId="20" xfId="0" applyNumberFormat="1" applyFont="1" applyFill="1" applyBorder="1"/>
    <xf numFmtId="4" fontId="43" fillId="33" borderId="46" xfId="0" applyNumberFormat="1" applyFont="1" applyFill="1" applyBorder="1"/>
    <xf numFmtId="10" fontId="43" fillId="33" borderId="20" xfId="6" applyNumberFormat="1" applyFont="1" applyFill="1" applyBorder="1"/>
    <xf numFmtId="10" fontId="43" fillId="33" borderId="26" xfId="0" applyNumberFormat="1" applyFont="1" applyFill="1" applyBorder="1"/>
    <xf numFmtId="164" fontId="43" fillId="33" borderId="20" xfId="8" applyFont="1" applyFill="1" applyBorder="1"/>
    <xf numFmtId="166" fontId="46" fillId="34" borderId="21" xfId="0" applyNumberFormat="1" applyFont="1" applyFill="1" applyBorder="1" applyAlignment="1">
      <alignment horizontal="center"/>
    </xf>
    <xf numFmtId="0" fontId="46" fillId="35" borderId="42" xfId="0" applyFont="1" applyFill="1" applyBorder="1" applyAlignment="1">
      <alignment horizontal="left"/>
    </xf>
    <xf numFmtId="166" fontId="45" fillId="36" borderId="45" xfId="0" applyNumberFormat="1" applyFont="1" applyFill="1" applyBorder="1" applyAlignment="1">
      <alignment horizontal="center"/>
    </xf>
    <xf numFmtId="0" fontId="42" fillId="36" borderId="21" xfId="0" applyFont="1" applyFill="1" applyBorder="1" applyAlignment="1">
      <alignment horizontal="center"/>
    </xf>
    <xf numFmtId="0" fontId="47" fillId="36" borderId="0" xfId="0" applyFont="1" applyFill="1"/>
    <xf numFmtId="0" fontId="43" fillId="33" borderId="20" xfId="0" applyFont="1" applyFill="1" applyBorder="1" applyAlignment="1">
      <alignment horizontal="left"/>
    </xf>
    <xf numFmtId="0" fontId="43" fillId="33" borderId="20" xfId="0" applyFont="1" applyFill="1" applyBorder="1"/>
    <xf numFmtId="0" fontId="43" fillId="33" borderId="37" xfId="0" applyFont="1" applyFill="1" applyBorder="1"/>
    <xf numFmtId="4" fontId="44" fillId="33" borderId="20" xfId="0" applyNumberFormat="1" applyFont="1" applyFill="1" applyBorder="1"/>
    <xf numFmtId="0" fontId="44" fillId="33" borderId="20" xfId="0" applyFont="1" applyFill="1" applyBorder="1"/>
    <xf numFmtId="164" fontId="44" fillId="33" borderId="20" xfId="8" applyFont="1" applyFill="1" applyBorder="1" applyAlignment="1">
      <alignment horizontal="center"/>
    </xf>
    <xf numFmtId="164" fontId="51" fillId="33" borderId="20" xfId="8" applyFont="1" applyFill="1" applyBorder="1"/>
    <xf numFmtId="164" fontId="43" fillId="33" borderId="20" xfId="8" applyFont="1" applyFill="1" applyBorder="1" applyAlignment="1">
      <alignment horizontal="right"/>
    </xf>
    <xf numFmtId="43" fontId="44" fillId="33" borderId="20" xfId="0" applyNumberFormat="1" applyFont="1" applyFill="1" applyBorder="1"/>
    <xf numFmtId="4" fontId="43" fillId="33" borderId="37" xfId="0" applyNumberFormat="1" applyFont="1" applyFill="1" applyBorder="1"/>
    <xf numFmtId="0" fontId="43" fillId="32" borderId="48" xfId="0" applyFont="1" applyFill="1" applyBorder="1"/>
    <xf numFmtId="164" fontId="43" fillId="32" borderId="53" xfId="8" applyFont="1" applyFill="1" applyBorder="1" applyAlignment="1">
      <alignment horizontal="center"/>
    </xf>
    <xf numFmtId="164" fontId="43" fillId="32" borderId="53" xfId="0" applyNumberFormat="1" applyFont="1" applyFill="1" applyBorder="1" applyAlignment="1">
      <alignment horizontal="center"/>
    </xf>
    <xf numFmtId="4" fontId="44" fillId="0" borderId="52" xfId="0" applyNumberFormat="1" applyFont="1" applyBorder="1"/>
    <xf numFmtId="164" fontId="44" fillId="31" borderId="20" xfId="8" applyFont="1" applyFill="1" applyBorder="1"/>
    <xf numFmtId="164" fontId="43" fillId="32" borderId="53" xfId="8" applyFont="1" applyFill="1" applyBorder="1"/>
    <xf numFmtId="0" fontId="2" fillId="0" borderId="0" xfId="0" applyFont="1"/>
    <xf numFmtId="9" fontId="43" fillId="31" borderId="46" xfId="6" applyFont="1" applyFill="1" applyBorder="1"/>
    <xf numFmtId="9" fontId="43" fillId="33" borderId="46" xfId="6" applyFont="1" applyFill="1" applyBorder="1"/>
    <xf numFmtId="4" fontId="53" fillId="0" borderId="23" xfId="0" applyNumberFormat="1" applyFont="1" applyBorder="1"/>
    <xf numFmtId="9" fontId="43" fillId="33" borderId="20" xfId="6" applyFont="1" applyFill="1" applyBorder="1"/>
    <xf numFmtId="0" fontId="44" fillId="0" borderId="55" xfId="0" applyFont="1" applyBorder="1"/>
    <xf numFmtId="0" fontId="44" fillId="0" borderId="45" xfId="0" applyFont="1" applyBorder="1"/>
    <xf numFmtId="4" fontId="44" fillId="33" borderId="23" xfId="0" applyNumberFormat="1" applyFont="1" applyFill="1" applyBorder="1"/>
    <xf numFmtId="4" fontId="43" fillId="0" borderId="0" xfId="0" applyNumberFormat="1" applyFont="1"/>
    <xf numFmtId="4" fontId="44" fillId="0" borderId="45" xfId="0" applyNumberFormat="1" applyFont="1" applyBorder="1"/>
    <xf numFmtId="0" fontId="43" fillId="0" borderId="45" xfId="0" applyFont="1" applyBorder="1"/>
    <xf numFmtId="164" fontId="43" fillId="0" borderId="45" xfId="8" applyFont="1" applyFill="1" applyBorder="1" applyAlignment="1">
      <alignment horizontal="right"/>
    </xf>
    <xf numFmtId="4" fontId="43" fillId="0" borderId="45" xfId="0" applyNumberFormat="1" applyFont="1" applyBorder="1"/>
    <xf numFmtId="164" fontId="43" fillId="0" borderId="0" xfId="8" applyFont="1" applyFill="1" applyBorder="1" applyAlignment="1">
      <alignment horizontal="right"/>
    </xf>
    <xf numFmtId="0" fontId="43" fillId="33" borderId="56" xfId="0" applyFont="1" applyFill="1" applyBorder="1"/>
    <xf numFmtId="9" fontId="44" fillId="33" borderId="57" xfId="6" applyFont="1" applyFill="1" applyBorder="1"/>
    <xf numFmtId="9" fontId="44" fillId="33" borderId="52" xfId="6" applyFont="1" applyFill="1" applyBorder="1"/>
    <xf numFmtId="9" fontId="43" fillId="33" borderId="52" xfId="6" applyFont="1" applyFill="1" applyBorder="1" applyAlignment="1">
      <alignment horizontal="right"/>
    </xf>
    <xf numFmtId="0" fontId="43" fillId="33" borderId="35" xfId="0" applyFont="1" applyFill="1" applyBorder="1"/>
    <xf numFmtId="4" fontId="44" fillId="33" borderId="58" xfId="0" applyNumberFormat="1" applyFont="1" applyFill="1" applyBorder="1"/>
    <xf numFmtId="0" fontId="44" fillId="0" borderId="58" xfId="0" applyFont="1" applyBorder="1"/>
    <xf numFmtId="4" fontId="44" fillId="0" borderId="58" xfId="0" applyNumberFormat="1" applyFont="1" applyBorder="1"/>
    <xf numFmtId="164" fontId="43" fillId="33" borderId="58" xfId="8" applyFont="1" applyFill="1" applyBorder="1" applyAlignment="1">
      <alignment horizontal="right"/>
    </xf>
    <xf numFmtId="4" fontId="43" fillId="33" borderId="58" xfId="0" applyNumberFormat="1" applyFont="1" applyFill="1" applyBorder="1"/>
    <xf numFmtId="0" fontId="43" fillId="33" borderId="59" xfId="0" applyFont="1" applyFill="1" applyBorder="1"/>
    <xf numFmtId="4" fontId="44" fillId="33" borderId="60" xfId="0" applyNumberFormat="1" applyFont="1" applyFill="1" applyBorder="1"/>
    <xf numFmtId="164" fontId="43" fillId="33" borderId="60" xfId="8" applyFont="1" applyFill="1" applyBorder="1" applyAlignment="1">
      <alignment horizontal="right"/>
    </xf>
    <xf numFmtId="4" fontId="43" fillId="33" borderId="60" xfId="0" applyNumberFormat="1" applyFont="1" applyFill="1" applyBorder="1"/>
    <xf numFmtId="0" fontId="44" fillId="0" borderId="17" xfId="0" applyFont="1" applyBorder="1"/>
    <xf numFmtId="0" fontId="44" fillId="0" borderId="19" xfId="0" applyFont="1" applyBorder="1"/>
    <xf numFmtId="0" fontId="44" fillId="0" borderId="32" xfId="0" applyFont="1" applyBorder="1"/>
    <xf numFmtId="9" fontId="43" fillId="33" borderId="52" xfId="6" applyFont="1" applyFill="1" applyBorder="1"/>
    <xf numFmtId="4" fontId="48" fillId="26" borderId="0" xfId="0" applyNumberFormat="1" applyFont="1" applyFill="1" applyAlignment="1">
      <alignment horizontal="left" vertical="center" wrapText="1"/>
    </xf>
    <xf numFmtId="4" fontId="48" fillId="26" borderId="0" xfId="0" applyNumberFormat="1" applyFont="1" applyFill="1" applyAlignment="1">
      <alignment horizontal="center" vertical="center" wrapText="1"/>
    </xf>
    <xf numFmtId="4" fontId="44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164" fontId="44" fillId="0" borderId="0" xfId="8" applyFont="1" applyBorder="1" applyAlignment="1">
      <alignment horizontal="center"/>
    </xf>
    <xf numFmtId="4" fontId="48" fillId="26" borderId="61" xfId="0" applyNumberFormat="1" applyFont="1" applyFill="1" applyBorder="1" applyAlignment="1">
      <alignment horizontal="left" vertical="center" wrapText="1"/>
    </xf>
    <xf numFmtId="4" fontId="48" fillId="26" borderId="54" xfId="0" applyNumberFormat="1" applyFont="1" applyFill="1" applyBorder="1" applyAlignment="1">
      <alignment horizontal="center" vertical="center" wrapText="1"/>
    </xf>
    <xf numFmtId="4" fontId="44" fillId="0" borderId="54" xfId="0" applyNumberFormat="1" applyFont="1" applyBorder="1" applyAlignment="1">
      <alignment horizontal="center"/>
    </xf>
    <xf numFmtId="164" fontId="44" fillId="0" borderId="54" xfId="8" applyFont="1" applyBorder="1" applyAlignment="1">
      <alignment horizontal="center"/>
    </xf>
    <xf numFmtId="4" fontId="44" fillId="0" borderId="54" xfId="0" applyNumberFormat="1" applyFont="1" applyBorder="1"/>
    <xf numFmtId="164" fontId="44" fillId="0" borderId="54" xfId="8" applyFont="1" applyBorder="1"/>
    <xf numFmtId="9" fontId="44" fillId="0" borderId="54" xfId="6" applyFont="1" applyFill="1" applyBorder="1"/>
    <xf numFmtId="4" fontId="43" fillId="0" borderId="47" xfId="0" applyNumberFormat="1" applyFont="1" applyBorder="1"/>
    <xf numFmtId="0" fontId="43" fillId="33" borderId="62" xfId="0" applyFont="1" applyFill="1" applyBorder="1"/>
    <xf numFmtId="0" fontId="43" fillId="33" borderId="51" xfId="0" applyFont="1" applyFill="1" applyBorder="1"/>
    <xf numFmtId="0" fontId="43" fillId="33" borderId="49" xfId="0" applyFont="1" applyFill="1" applyBorder="1"/>
    <xf numFmtId="9" fontId="44" fillId="0" borderId="61" xfId="6" applyFont="1" applyFill="1" applyBorder="1"/>
    <xf numFmtId="0" fontId="44" fillId="0" borderId="61" xfId="0" applyFont="1" applyBorder="1"/>
    <xf numFmtId="0" fontId="44" fillId="0" borderId="49" xfId="0" applyFont="1" applyBorder="1"/>
    <xf numFmtId="9" fontId="44" fillId="0" borderId="0" xfId="6" applyFont="1" applyFill="1" applyBorder="1"/>
    <xf numFmtId="4" fontId="43" fillId="0" borderId="29" xfId="0" applyNumberFormat="1" applyFont="1" applyBorder="1"/>
    <xf numFmtId="9" fontId="44" fillId="0" borderId="64" xfId="6" applyFont="1" applyFill="1" applyBorder="1"/>
    <xf numFmtId="0" fontId="44" fillId="0" borderId="64" xfId="0" applyFont="1" applyBorder="1"/>
    <xf numFmtId="4" fontId="44" fillId="33" borderId="53" xfId="0" applyNumberFormat="1" applyFont="1" applyFill="1" applyBorder="1"/>
    <xf numFmtId="9" fontId="44" fillId="33" borderId="58" xfId="6" applyFont="1" applyFill="1" applyBorder="1"/>
    <xf numFmtId="0" fontId="43" fillId="33" borderId="0" xfId="0" applyFont="1" applyFill="1"/>
    <xf numFmtId="4" fontId="43" fillId="0" borderId="63" xfId="0" applyNumberFormat="1" applyFont="1" applyBorder="1"/>
    <xf numFmtId="0" fontId="44" fillId="0" borderId="65" xfId="0" applyFont="1" applyBorder="1"/>
    <xf numFmtId="4" fontId="44" fillId="33" borderId="2" xfId="0" applyNumberFormat="1" applyFont="1" applyFill="1" applyBorder="1"/>
    <xf numFmtId="9" fontId="44" fillId="33" borderId="18" xfId="6" applyFont="1" applyFill="1" applyBorder="1"/>
    <xf numFmtId="4" fontId="43" fillId="33" borderId="0" xfId="0" applyNumberFormat="1" applyFont="1" applyFill="1"/>
    <xf numFmtId="10" fontId="50" fillId="23" borderId="0" xfId="6" applyNumberFormat="1" applyFont="1" applyFill="1" applyBorder="1"/>
    <xf numFmtId="9" fontId="43" fillId="31" borderId="20" xfId="6" applyFont="1" applyFill="1" applyBorder="1"/>
    <xf numFmtId="9" fontId="43" fillId="31" borderId="20" xfId="6" applyFont="1" applyFill="1" applyBorder="1" applyAlignment="1">
      <alignment horizontal="right"/>
    </xf>
    <xf numFmtId="0" fontId="43" fillId="0" borderId="0" xfId="0" applyFont="1" applyAlignment="1">
      <alignment horizontal="left"/>
    </xf>
    <xf numFmtId="0" fontId="43" fillId="32" borderId="0" xfId="0" applyFont="1" applyFill="1"/>
    <xf numFmtId="0" fontId="43" fillId="15" borderId="47" xfId="0" applyFont="1" applyFill="1" applyBorder="1"/>
    <xf numFmtId="0" fontId="44" fillId="0" borderId="47" xfId="0" applyFont="1" applyBorder="1"/>
    <xf numFmtId="43" fontId="50" fillId="23" borderId="47" xfId="0" applyNumberFormat="1" applyFont="1" applyFill="1" applyBorder="1"/>
    <xf numFmtId="4" fontId="43" fillId="15" borderId="47" xfId="0" applyNumberFormat="1" applyFont="1" applyFill="1" applyBorder="1"/>
    <xf numFmtId="0" fontId="54" fillId="0" borderId="0" xfId="0" applyFont="1" applyAlignment="1">
      <alignment horizontal="center" vertical="center"/>
    </xf>
    <xf numFmtId="0" fontId="55" fillId="0" borderId="0" xfId="0" applyFont="1"/>
    <xf numFmtId="9" fontId="44" fillId="0" borderId="0" xfId="0" applyNumberFormat="1" applyFont="1"/>
    <xf numFmtId="0" fontId="42" fillId="37" borderId="0" xfId="0" applyFont="1" applyFill="1"/>
    <xf numFmtId="10" fontId="44" fillId="0" borderId="0" xfId="0" applyNumberFormat="1" applyFont="1"/>
    <xf numFmtId="9" fontId="44" fillId="0" borderId="0" xfId="6" applyFont="1"/>
    <xf numFmtId="4" fontId="57" fillId="0" borderId="67" xfId="0" applyNumberFormat="1" applyFont="1" applyBorder="1"/>
    <xf numFmtId="0" fontId="58" fillId="38" borderId="42" xfId="0" applyFont="1" applyFill="1" applyBorder="1" applyAlignment="1">
      <alignment horizontal="left"/>
    </xf>
    <xf numFmtId="166" fontId="58" fillId="39" borderId="21" xfId="0" applyNumberFormat="1" applyFont="1" applyFill="1" applyBorder="1" applyAlignment="1">
      <alignment horizontal="center"/>
    </xf>
    <xf numFmtId="10" fontId="58" fillId="0" borderId="21" xfId="6" applyNumberFormat="1" applyFont="1" applyFill="1" applyBorder="1" applyAlignment="1">
      <alignment horizontal="center"/>
    </xf>
    <xf numFmtId="10" fontId="59" fillId="0" borderId="21" xfId="6" applyNumberFormat="1" applyFont="1" applyFill="1" applyBorder="1" applyAlignment="1">
      <alignment horizontal="center"/>
    </xf>
    <xf numFmtId="166" fontId="60" fillId="40" borderId="45" xfId="0" applyNumberFormat="1" applyFont="1" applyFill="1" applyBorder="1" applyAlignment="1">
      <alignment horizontal="center"/>
    </xf>
    <xf numFmtId="9" fontId="61" fillId="0" borderId="21" xfId="6" applyFont="1" applyFill="1" applyBorder="1" applyAlignment="1">
      <alignment horizontal="center"/>
    </xf>
    <xf numFmtId="0" fontId="58" fillId="40" borderId="21" xfId="0" applyFont="1" applyFill="1" applyBorder="1" applyAlignment="1">
      <alignment horizontal="center"/>
    </xf>
    <xf numFmtId="10" fontId="56" fillId="0" borderId="42" xfId="0" applyNumberFormat="1" applyFont="1" applyBorder="1"/>
    <xf numFmtId="0" fontId="57" fillId="0" borderId="0" xfId="0" applyFont="1"/>
    <xf numFmtId="0" fontId="62" fillId="40" borderId="0" xfId="0" applyFont="1" applyFill="1"/>
    <xf numFmtId="0" fontId="56" fillId="41" borderId="26" xfId="0" applyFont="1" applyFill="1" applyBorder="1" applyAlignment="1">
      <alignment horizontal="left"/>
    </xf>
    <xf numFmtId="4" fontId="56" fillId="41" borderId="20" xfId="0" applyNumberFormat="1" applyFont="1" applyFill="1" applyBorder="1"/>
    <xf numFmtId="10" fontId="61" fillId="42" borderId="20" xfId="6" applyNumberFormat="1" applyFont="1" applyFill="1" applyBorder="1"/>
    <xf numFmtId="43" fontId="61" fillId="41" borderId="20" xfId="0" applyNumberFormat="1" applyFont="1" applyFill="1" applyBorder="1"/>
    <xf numFmtId="9" fontId="61" fillId="42" borderId="20" xfId="6" applyFont="1" applyFill="1" applyBorder="1"/>
    <xf numFmtId="10" fontId="56" fillId="41" borderId="26" xfId="0" applyNumberFormat="1" applyFont="1" applyFill="1" applyBorder="1"/>
    <xf numFmtId="0" fontId="57" fillId="0" borderId="46" xfId="0" applyFont="1" applyBorder="1"/>
    <xf numFmtId="43" fontId="56" fillId="41" borderId="20" xfId="8" applyNumberFormat="1" applyFont="1" applyFill="1" applyBorder="1"/>
    <xf numFmtId="4" fontId="57" fillId="0" borderId="23" xfId="0" applyNumberFormat="1" applyFont="1" applyBorder="1"/>
    <xf numFmtId="10" fontId="63" fillId="42" borderId="23" xfId="6" applyNumberFormat="1" applyFont="1" applyFill="1" applyBorder="1"/>
    <xf numFmtId="4" fontId="61" fillId="42" borderId="23" xfId="0" applyNumberFormat="1" applyFont="1" applyFill="1" applyBorder="1"/>
    <xf numFmtId="4" fontId="57" fillId="42" borderId="23" xfId="0" applyNumberFormat="1" applyFont="1" applyFill="1" applyBorder="1"/>
    <xf numFmtId="10" fontId="57" fillId="42" borderId="44" xfId="6" applyNumberFormat="1" applyFont="1" applyFill="1" applyBorder="1"/>
    <xf numFmtId="43" fontId="56" fillId="0" borderId="0" xfId="8" applyNumberFormat="1" applyFont="1" applyFill="1" applyBorder="1"/>
    <xf numFmtId="10" fontId="56" fillId="41" borderId="26" xfId="6" applyNumberFormat="1" applyFont="1" applyFill="1" applyBorder="1"/>
    <xf numFmtId="4" fontId="57" fillId="0" borderId="0" xfId="0" applyNumberFormat="1" applyFont="1"/>
    <xf numFmtId="4" fontId="57" fillId="43" borderId="23" xfId="0" applyNumberFormat="1" applyFont="1" applyFill="1" applyBorder="1"/>
    <xf numFmtId="4" fontId="57" fillId="43" borderId="44" xfId="0" applyNumberFormat="1" applyFont="1" applyFill="1" applyBorder="1"/>
    <xf numFmtId="4" fontId="61" fillId="41" borderId="20" xfId="0" applyNumberFormat="1" applyFont="1" applyFill="1" applyBorder="1"/>
    <xf numFmtId="4" fontId="56" fillId="41" borderId="46" xfId="0" applyNumberFormat="1" applyFont="1" applyFill="1" applyBorder="1"/>
    <xf numFmtId="10" fontId="56" fillId="41" borderId="20" xfId="6" applyNumberFormat="1" applyFont="1" applyFill="1" applyBorder="1"/>
    <xf numFmtId="10" fontId="63" fillId="0" borderId="23" xfId="6" applyNumberFormat="1" applyFont="1" applyFill="1" applyBorder="1"/>
    <xf numFmtId="43" fontId="57" fillId="0" borderId="0" xfId="8" applyNumberFormat="1" applyFont="1" applyFill="1" applyBorder="1"/>
    <xf numFmtId="43" fontId="57" fillId="0" borderId="0" xfId="8" applyNumberFormat="1" applyFont="1" applyFill="1" applyBorder="1" applyAlignment="1">
      <alignment horizontal="right"/>
    </xf>
    <xf numFmtId="10" fontId="57" fillId="42" borderId="23" xfId="6" applyNumberFormat="1" applyFont="1" applyFill="1" applyBorder="1"/>
    <xf numFmtId="10" fontId="61" fillId="41" borderId="20" xfId="6" applyNumberFormat="1" applyFont="1" applyFill="1" applyBorder="1"/>
    <xf numFmtId="0" fontId="57" fillId="43" borderId="0" xfId="0" applyFont="1" applyFill="1"/>
    <xf numFmtId="4" fontId="64" fillId="0" borderId="23" xfId="0" applyNumberFormat="1" applyFont="1" applyBorder="1"/>
    <xf numFmtId="10" fontId="56" fillId="42" borderId="20" xfId="6" applyNumberFormat="1" applyFont="1" applyFill="1" applyBorder="1"/>
    <xf numFmtId="4" fontId="57" fillId="41" borderId="20" xfId="0" applyNumberFormat="1" applyFont="1" applyFill="1" applyBorder="1"/>
    <xf numFmtId="43" fontId="63" fillId="41" borderId="20" xfId="8" applyNumberFormat="1" applyFont="1" applyFill="1" applyBorder="1"/>
    <xf numFmtId="0" fontId="56" fillId="41" borderId="20" xfId="0" applyFont="1" applyFill="1" applyBorder="1" applyAlignment="1">
      <alignment horizontal="left"/>
    </xf>
    <xf numFmtId="43" fontId="56" fillId="41" borderId="20" xfId="8" applyNumberFormat="1" applyFont="1" applyFill="1" applyBorder="1" applyAlignment="1">
      <alignment horizontal="right"/>
    </xf>
    <xf numFmtId="0" fontId="56" fillId="41" borderId="20" xfId="0" applyFont="1" applyFill="1" applyBorder="1"/>
    <xf numFmtId="0" fontId="57" fillId="0" borderId="20" xfId="0" applyFont="1" applyBorder="1"/>
    <xf numFmtId="43" fontId="57" fillId="41" borderId="20" xfId="8" applyNumberFormat="1" applyFont="1" applyFill="1" applyBorder="1" applyAlignment="1">
      <alignment horizontal="center"/>
    </xf>
    <xf numFmtId="43" fontId="57" fillId="41" borderId="20" xfId="0" applyNumberFormat="1" applyFont="1" applyFill="1" applyBorder="1"/>
    <xf numFmtId="4" fontId="57" fillId="41" borderId="23" xfId="0" applyNumberFormat="1" applyFont="1" applyFill="1" applyBorder="1"/>
    <xf numFmtId="0" fontId="56" fillId="41" borderId="37" xfId="0" applyFont="1" applyFill="1" applyBorder="1"/>
    <xf numFmtId="4" fontId="56" fillId="41" borderId="37" xfId="0" applyNumberFormat="1" applyFont="1" applyFill="1" applyBorder="1"/>
    <xf numFmtId="0" fontId="57" fillId="0" borderId="37" xfId="0" applyFont="1" applyBorder="1"/>
    <xf numFmtId="4" fontId="57" fillId="0" borderId="37" xfId="0" applyNumberFormat="1" applyFont="1" applyBorder="1"/>
    <xf numFmtId="0" fontId="56" fillId="41" borderId="56" xfId="0" applyFont="1" applyFill="1" applyBorder="1"/>
    <xf numFmtId="9" fontId="57" fillId="41" borderId="57" xfId="6" applyFont="1" applyFill="1" applyBorder="1"/>
    <xf numFmtId="0" fontId="57" fillId="0" borderId="52" xfId="0" applyFont="1" applyBorder="1"/>
    <xf numFmtId="4" fontId="57" fillId="0" borderId="52" xfId="0" applyNumberFormat="1" applyFont="1" applyBorder="1"/>
    <xf numFmtId="9" fontId="57" fillId="41" borderId="52" xfId="6" applyFont="1" applyFill="1" applyBorder="1"/>
    <xf numFmtId="9" fontId="56" fillId="41" borderId="52" xfId="6" applyFont="1" applyFill="1" applyBorder="1" applyAlignment="1">
      <alignment horizontal="right"/>
    </xf>
    <xf numFmtId="9" fontId="56" fillId="41" borderId="52" xfId="6" applyFont="1" applyFill="1" applyBorder="1"/>
    <xf numFmtId="0" fontId="57" fillId="0" borderId="17" xfId="0" applyFont="1" applyBorder="1"/>
    <xf numFmtId="0" fontId="56" fillId="41" borderId="35" xfId="0" applyFont="1" applyFill="1" applyBorder="1"/>
    <xf numFmtId="4" fontId="57" fillId="41" borderId="58" xfId="0" applyNumberFormat="1" applyFont="1" applyFill="1" applyBorder="1"/>
    <xf numFmtId="0" fontId="57" fillId="0" borderId="58" xfId="0" applyFont="1" applyBorder="1"/>
    <xf numFmtId="4" fontId="57" fillId="0" borderId="58" xfId="0" applyNumberFormat="1" applyFont="1" applyBorder="1"/>
    <xf numFmtId="43" fontId="56" fillId="41" borderId="58" xfId="8" applyNumberFormat="1" applyFont="1" applyFill="1" applyBorder="1" applyAlignment="1">
      <alignment horizontal="right"/>
    </xf>
    <xf numFmtId="4" fontId="56" fillId="41" borderId="58" xfId="0" applyNumberFormat="1" applyFont="1" applyFill="1" applyBorder="1"/>
    <xf numFmtId="0" fontId="57" fillId="0" borderId="19" xfId="0" applyFont="1" applyBorder="1"/>
    <xf numFmtId="0" fontId="56" fillId="41" borderId="59" xfId="0" applyFont="1" applyFill="1" applyBorder="1"/>
    <xf numFmtId="4" fontId="57" fillId="41" borderId="60" xfId="0" applyNumberFormat="1" applyFont="1" applyFill="1" applyBorder="1"/>
    <xf numFmtId="0" fontId="57" fillId="0" borderId="53" xfId="0" applyFont="1" applyBorder="1"/>
    <xf numFmtId="4" fontId="57" fillId="0" borderId="53" xfId="0" applyNumberFormat="1" applyFont="1" applyBorder="1"/>
    <xf numFmtId="43" fontId="56" fillId="41" borderId="60" xfId="8" applyNumberFormat="1" applyFont="1" applyFill="1" applyBorder="1" applyAlignment="1">
      <alignment horizontal="right"/>
    </xf>
    <xf numFmtId="4" fontId="56" fillId="41" borderId="60" xfId="0" applyNumberFormat="1" applyFont="1" applyFill="1" applyBorder="1"/>
    <xf numFmtId="0" fontId="57" fillId="0" borderId="32" xfId="0" applyFont="1" applyBorder="1"/>
    <xf numFmtId="0" fontId="56" fillId="0" borderId="45" xfId="0" applyFont="1" applyBorder="1"/>
    <xf numFmtId="4" fontId="57" fillId="0" borderId="45" xfId="0" applyNumberFormat="1" applyFont="1" applyBorder="1"/>
    <xf numFmtId="0" fontId="57" fillId="0" borderId="45" xfId="0" applyFont="1" applyBorder="1"/>
    <xf numFmtId="43" fontId="56" fillId="0" borderId="45" xfId="8" applyNumberFormat="1" applyFont="1" applyFill="1" applyBorder="1" applyAlignment="1">
      <alignment horizontal="right"/>
    </xf>
    <xf numFmtId="4" fontId="56" fillId="0" borderId="45" xfId="0" applyNumberFormat="1" applyFont="1" applyBorder="1"/>
    <xf numFmtId="0" fontId="56" fillId="0" borderId="0" xfId="0" applyFont="1"/>
    <xf numFmtId="43" fontId="56" fillId="0" borderId="0" xfId="8" applyNumberFormat="1" applyFont="1" applyFill="1" applyBorder="1" applyAlignment="1">
      <alignment horizontal="right"/>
    </xf>
    <xf numFmtId="4" fontId="56" fillId="0" borderId="0" xfId="0" applyNumberFormat="1" applyFont="1"/>
    <xf numFmtId="0" fontId="56" fillId="44" borderId="48" xfId="0" applyFont="1" applyFill="1" applyBorder="1"/>
    <xf numFmtId="43" fontId="56" fillId="44" borderId="53" xfId="8" applyNumberFormat="1" applyFont="1" applyFill="1" applyBorder="1" applyAlignment="1">
      <alignment horizontal="center"/>
    </xf>
    <xf numFmtId="0" fontId="56" fillId="0" borderId="49" xfId="0" applyFont="1" applyBorder="1"/>
    <xf numFmtId="164" fontId="56" fillId="44" borderId="53" xfId="0" applyNumberFormat="1" applyFont="1" applyFill="1" applyBorder="1" applyAlignment="1">
      <alignment horizontal="center"/>
    </xf>
    <xf numFmtId="43" fontId="56" fillId="44" borderId="53" xfId="8" applyNumberFormat="1" applyFont="1" applyFill="1" applyBorder="1"/>
    <xf numFmtId="4" fontId="65" fillId="43" borderId="53" xfId="0" applyNumberFormat="1" applyFont="1" applyFill="1" applyBorder="1" applyAlignment="1">
      <alignment horizontal="left" vertical="center" wrapText="1"/>
    </xf>
    <xf numFmtId="4" fontId="65" fillId="43" borderId="53" xfId="0" applyNumberFormat="1" applyFont="1" applyFill="1" applyBorder="1" applyAlignment="1">
      <alignment horizontal="center" vertical="center" wrapText="1"/>
    </xf>
    <xf numFmtId="4" fontId="57" fillId="0" borderId="53" xfId="0" applyNumberFormat="1" applyFont="1" applyBorder="1" applyAlignment="1">
      <alignment horizontal="center"/>
    </xf>
    <xf numFmtId="43" fontId="57" fillId="0" borderId="53" xfId="8" applyNumberFormat="1" applyFont="1" applyFill="1" applyBorder="1" applyAlignment="1">
      <alignment horizontal="center"/>
    </xf>
    <xf numFmtId="43" fontId="57" fillId="0" borderId="53" xfId="8" applyNumberFormat="1" applyFont="1" applyFill="1" applyBorder="1"/>
    <xf numFmtId="4" fontId="65" fillId="43" borderId="61" xfId="0" applyNumberFormat="1" applyFont="1" applyFill="1" applyBorder="1" applyAlignment="1">
      <alignment horizontal="left" vertical="center" wrapText="1"/>
    </xf>
    <xf numFmtId="4" fontId="65" fillId="43" borderId="54" xfId="0" applyNumberFormat="1" applyFont="1" applyFill="1" applyBorder="1" applyAlignment="1">
      <alignment horizontal="center" vertical="center" wrapText="1"/>
    </xf>
    <xf numFmtId="4" fontId="57" fillId="0" borderId="54" xfId="0" applyNumberFormat="1" applyFont="1" applyBorder="1" applyAlignment="1">
      <alignment horizontal="center"/>
    </xf>
    <xf numFmtId="43" fontId="57" fillId="0" borderId="54" xfId="8" applyNumberFormat="1" applyFont="1" applyFill="1" applyBorder="1" applyAlignment="1">
      <alignment horizontal="center"/>
    </xf>
    <xf numFmtId="43" fontId="57" fillId="0" borderId="54" xfId="8" applyNumberFormat="1" applyFont="1" applyFill="1" applyBorder="1"/>
    <xf numFmtId="4" fontId="65" fillId="43" borderId="50" xfId="0" applyNumberFormat="1" applyFont="1" applyFill="1" applyBorder="1" applyAlignment="1">
      <alignment horizontal="left" vertical="center" wrapText="1"/>
    </xf>
    <xf numFmtId="4" fontId="65" fillId="43" borderId="52" xfId="0" applyNumberFormat="1" applyFont="1" applyFill="1" applyBorder="1" applyAlignment="1">
      <alignment horizontal="center" vertical="center" wrapText="1"/>
    </xf>
    <xf numFmtId="4" fontId="57" fillId="0" borderId="52" xfId="0" applyNumberFormat="1" applyFont="1" applyBorder="1" applyAlignment="1">
      <alignment horizontal="center"/>
    </xf>
    <xf numFmtId="0" fontId="57" fillId="0" borderId="51" xfId="0" applyFont="1" applyBorder="1"/>
    <xf numFmtId="43" fontId="57" fillId="0" borderId="52" xfId="8" applyNumberFormat="1" applyFont="1" applyFill="1" applyBorder="1" applyAlignment="1">
      <alignment horizontal="center"/>
    </xf>
    <xf numFmtId="43" fontId="57" fillId="0" borderId="52" xfId="0" applyNumberFormat="1" applyFont="1" applyBorder="1" applyAlignment="1">
      <alignment horizontal="center"/>
    </xf>
    <xf numFmtId="43" fontId="57" fillId="0" borderId="52" xfId="8" applyNumberFormat="1" applyFont="1" applyFill="1" applyBorder="1"/>
    <xf numFmtId="0" fontId="66" fillId="43" borderId="0" xfId="0" applyFont="1" applyFill="1" applyAlignment="1">
      <alignment horizontal="left" vertical="center" wrapText="1"/>
    </xf>
    <xf numFmtId="0" fontId="57" fillId="0" borderId="55" xfId="0" applyFont="1" applyBorder="1"/>
    <xf numFmtId="0" fontId="56" fillId="45" borderId="66" xfId="0" applyFont="1" applyFill="1" applyBorder="1" applyAlignment="1">
      <alignment horizontal="center"/>
    </xf>
    <xf numFmtId="0" fontId="56" fillId="45" borderId="67" xfId="0" applyFont="1" applyFill="1" applyBorder="1"/>
    <xf numFmtId="0" fontId="55" fillId="0" borderId="67" xfId="0" applyFont="1" applyBorder="1" applyAlignment="1">
      <alignment horizontal="left"/>
    </xf>
    <xf numFmtId="4" fontId="55" fillId="0" borderId="67" xfId="0" applyNumberFormat="1" applyFont="1" applyBorder="1"/>
    <xf numFmtId="0" fontId="56" fillId="46" borderId="67" xfId="0" applyFont="1" applyFill="1" applyBorder="1"/>
    <xf numFmtId="4" fontId="56" fillId="46" borderId="67" xfId="0" applyNumberFormat="1" applyFont="1" applyFill="1" applyBorder="1"/>
    <xf numFmtId="43" fontId="55" fillId="0" borderId="0" xfId="0" applyNumberFormat="1" applyFont="1"/>
    <xf numFmtId="164" fontId="44" fillId="0" borderId="0" xfId="0" applyNumberFormat="1" applyFont="1"/>
    <xf numFmtId="0" fontId="46" fillId="47" borderId="42" xfId="0" applyFont="1" applyFill="1" applyBorder="1" applyAlignment="1">
      <alignment horizontal="left"/>
    </xf>
    <xf numFmtId="166" fontId="46" fillId="48" borderId="21" xfId="0" applyNumberFormat="1" applyFont="1" applyFill="1" applyBorder="1" applyAlignment="1">
      <alignment horizontal="center"/>
    </xf>
    <xf numFmtId="166" fontId="45" fillId="49" borderId="45" xfId="0" applyNumberFormat="1" applyFont="1" applyFill="1" applyBorder="1" applyAlignment="1">
      <alignment horizontal="center"/>
    </xf>
    <xf numFmtId="0" fontId="42" fillId="49" borderId="21" xfId="0" applyFont="1" applyFill="1" applyBorder="1" applyAlignment="1">
      <alignment horizontal="center"/>
    </xf>
    <xf numFmtId="0" fontId="47" fillId="49" borderId="0" xfId="0" applyFont="1" applyFill="1"/>
    <xf numFmtId="0" fontId="12" fillId="0" borderId="0" xfId="0" applyFont="1" applyAlignment="1">
      <alignment horizontal="center"/>
    </xf>
    <xf numFmtId="0" fontId="0" fillId="50" borderId="0" xfId="0" applyFill="1"/>
    <xf numFmtId="4" fontId="44" fillId="14" borderId="44" xfId="0" applyNumberFormat="1" applyFont="1" applyFill="1" applyBorder="1"/>
    <xf numFmtId="10" fontId="51" fillId="0" borderId="23" xfId="6" applyNumberFormat="1" applyFont="1" applyFill="1" applyBorder="1"/>
    <xf numFmtId="10" fontId="67" fillId="23" borderId="23" xfId="6" applyNumberFormat="1" applyFont="1" applyFill="1" applyBorder="1"/>
    <xf numFmtId="164" fontId="51" fillId="15" borderId="20" xfId="8" applyFont="1" applyFill="1" applyBorder="1"/>
    <xf numFmtId="164" fontId="43" fillId="15" borderId="20" xfId="8" applyFont="1" applyFill="1" applyBorder="1" applyAlignment="1">
      <alignment horizontal="right"/>
    </xf>
    <xf numFmtId="43" fontId="44" fillId="15" borderId="20" xfId="0" applyNumberFormat="1" applyFont="1" applyFill="1" applyBorder="1"/>
    <xf numFmtId="4" fontId="44" fillId="15" borderId="23" xfId="0" applyNumberFormat="1" applyFont="1" applyFill="1" applyBorder="1"/>
    <xf numFmtId="4" fontId="53" fillId="15" borderId="23" xfId="0" applyNumberFormat="1" applyFont="1" applyFill="1" applyBorder="1"/>
    <xf numFmtId="4" fontId="50" fillId="15" borderId="23" xfId="0" applyNumberFormat="1" applyFont="1" applyFill="1" applyBorder="1"/>
    <xf numFmtId="0" fontId="43" fillId="15" borderId="56" xfId="0" applyFont="1" applyFill="1" applyBorder="1"/>
    <xf numFmtId="9" fontId="44" fillId="15" borderId="57" xfId="6" applyFont="1" applyFill="1" applyBorder="1"/>
    <xf numFmtId="9" fontId="44" fillId="15" borderId="52" xfId="6" applyFont="1" applyFill="1" applyBorder="1"/>
    <xf numFmtId="9" fontId="43" fillId="15" borderId="52" xfId="6" applyFont="1" applyFill="1" applyBorder="1" applyAlignment="1">
      <alignment horizontal="right"/>
    </xf>
    <xf numFmtId="9" fontId="43" fillId="15" borderId="52" xfId="6" applyFont="1" applyFill="1" applyBorder="1"/>
    <xf numFmtId="0" fontId="43" fillId="15" borderId="35" xfId="0" applyFont="1" applyFill="1" applyBorder="1"/>
    <xf numFmtId="4" fontId="44" fillId="15" borderId="58" xfId="0" applyNumberFormat="1" applyFont="1" applyFill="1" applyBorder="1"/>
    <xf numFmtId="164" fontId="43" fillId="15" borderId="58" xfId="8" applyFont="1" applyFill="1" applyBorder="1" applyAlignment="1">
      <alignment horizontal="right"/>
    </xf>
    <xf numFmtId="4" fontId="43" fillId="15" borderId="58" xfId="0" applyNumberFormat="1" applyFont="1" applyFill="1" applyBorder="1"/>
    <xf numFmtId="0" fontId="43" fillId="15" borderId="59" xfId="0" applyFont="1" applyFill="1" applyBorder="1"/>
    <xf numFmtId="4" fontId="44" fillId="15" borderId="60" xfId="0" applyNumberFormat="1" applyFont="1" applyFill="1" applyBorder="1"/>
    <xf numFmtId="164" fontId="43" fillId="15" borderId="60" xfId="8" applyFont="1" applyFill="1" applyBorder="1" applyAlignment="1">
      <alignment horizontal="right"/>
    </xf>
    <xf numFmtId="4" fontId="43" fillId="15" borderId="60" xfId="0" applyNumberFormat="1" applyFont="1" applyFill="1" applyBorder="1"/>
    <xf numFmtId="0" fontId="42" fillId="49" borderId="48" xfId="0" applyFont="1" applyFill="1" applyBorder="1"/>
    <xf numFmtId="164" fontId="42" fillId="49" borderId="53" xfId="8" applyFont="1" applyFill="1" applyBorder="1" applyAlignment="1">
      <alignment horizontal="center"/>
    </xf>
    <xf numFmtId="164" fontId="42" fillId="49" borderId="53" xfId="0" applyNumberFormat="1" applyFont="1" applyFill="1" applyBorder="1" applyAlignment="1">
      <alignment horizontal="center"/>
    </xf>
    <xf numFmtId="164" fontId="42" fillId="49" borderId="53" xfId="8" applyFont="1" applyFill="1" applyBorder="1"/>
    <xf numFmtId="4" fontId="49" fillId="26" borderId="53" xfId="0" applyNumberFormat="1" applyFont="1" applyFill="1" applyBorder="1" applyAlignment="1">
      <alignment horizontal="center" vertical="center" wrapText="1"/>
    </xf>
    <xf numFmtId="4" fontId="49" fillId="26" borderId="54" xfId="0" applyNumberFormat="1" applyFont="1" applyFill="1" applyBorder="1" applyAlignment="1">
      <alignment horizontal="center" vertical="center" wrapText="1"/>
    </xf>
    <xf numFmtId="0" fontId="44" fillId="0" borderId="54" xfId="0" applyFont="1" applyBorder="1"/>
    <xf numFmtId="4" fontId="49" fillId="26" borderId="52" xfId="0" applyNumberFormat="1" applyFont="1" applyFill="1" applyBorder="1" applyAlignment="1">
      <alignment horizontal="center" vertical="center" wrapText="1"/>
    </xf>
    <xf numFmtId="43" fontId="44" fillId="0" borderId="52" xfId="0" applyNumberFormat="1" applyFont="1" applyBorder="1" applyAlignment="1">
      <alignment horizontal="center"/>
    </xf>
    <xf numFmtId="43" fontId="44" fillId="0" borderId="52" xfId="0" applyNumberFormat="1" applyFont="1" applyBorder="1"/>
    <xf numFmtId="0" fontId="68" fillId="51" borderId="66" xfId="0" applyFont="1" applyFill="1" applyBorder="1" applyAlignment="1">
      <alignment horizontal="center"/>
    </xf>
    <xf numFmtId="0" fontId="68" fillId="51" borderId="67" xfId="0" applyFont="1" applyFill="1" applyBorder="1"/>
    <xf numFmtId="0" fontId="0" fillId="0" borderId="67" xfId="0" applyBorder="1" applyAlignment="1">
      <alignment horizontal="left"/>
    </xf>
    <xf numFmtId="4" fontId="0" fillId="0" borderId="67" xfId="0" applyNumberFormat="1" applyBorder="1"/>
    <xf numFmtId="0" fontId="56" fillId="52" borderId="67" xfId="0" applyFont="1" applyFill="1" applyBorder="1"/>
    <xf numFmtId="4" fontId="56" fillId="52" borderId="67" xfId="0" applyNumberFormat="1" applyFont="1" applyFill="1" applyBorder="1"/>
    <xf numFmtId="43" fontId="0" fillId="0" borderId="0" xfId="0" applyNumberFormat="1"/>
    <xf numFmtId="0" fontId="0" fillId="54" borderId="0" xfId="0" applyFill="1" applyAlignment="1">
      <alignment horizontal="center" vertical="center" wrapText="1"/>
    </xf>
    <xf numFmtId="0" fontId="73" fillId="55" borderId="0" xfId="0" applyFont="1" applyFill="1" applyAlignment="1">
      <alignment horizontal="left" wrapText="1"/>
    </xf>
    <xf numFmtId="9" fontId="73" fillId="55" borderId="0" xfId="6" applyFont="1" applyFill="1" applyAlignment="1">
      <alignment horizontal="right"/>
    </xf>
    <xf numFmtId="0" fontId="0" fillId="55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4" fillId="55" borderId="0" xfId="0" applyFont="1" applyFill="1" applyAlignment="1">
      <alignment vertical="center"/>
    </xf>
    <xf numFmtId="0" fontId="74" fillId="55" borderId="0" xfId="0" applyFont="1" applyFill="1" applyAlignment="1">
      <alignment vertical="center" wrapText="1"/>
    </xf>
    <xf numFmtId="9" fontId="74" fillId="55" borderId="0" xfId="6" applyFont="1" applyFill="1" applyAlignment="1">
      <alignment horizontal="right"/>
    </xf>
    <xf numFmtId="9" fontId="0" fillId="0" borderId="0" xfId="6" applyFont="1" applyAlignment="1">
      <alignment horizontal="right"/>
    </xf>
    <xf numFmtId="0" fontId="0" fillId="0" borderId="0" xfId="0" applyAlignment="1">
      <alignment vertical="center"/>
    </xf>
    <xf numFmtId="170" fontId="70" fillId="0" borderId="68" xfId="10" applyNumberFormat="1" applyAlignment="1">
      <alignment horizontal="left" vertical="center" indent="1"/>
    </xf>
    <xf numFmtId="0" fontId="70" fillId="0" borderId="68" xfId="10" applyNumberFormat="1" applyAlignment="1">
      <alignment horizontal="center" vertical="center" wrapText="1"/>
    </xf>
    <xf numFmtId="9" fontId="75" fillId="0" borderId="0" xfId="6" applyFont="1" applyAlignment="1">
      <alignment horizontal="center"/>
    </xf>
    <xf numFmtId="0" fontId="0" fillId="14" borderId="0" xfId="0" applyFill="1" applyAlignment="1">
      <alignment vertical="center"/>
    </xf>
    <xf numFmtId="0" fontId="53" fillId="0" borderId="0" xfId="0" applyFont="1" applyAlignment="1">
      <alignment horizontal="center" vertical="center" wrapText="1"/>
    </xf>
    <xf numFmtId="9" fontId="43" fillId="0" borderId="0" xfId="6" applyFont="1" applyAlignment="1">
      <alignment horizontal="right"/>
    </xf>
    <xf numFmtId="0" fontId="53" fillId="14" borderId="0" xfId="0" applyFont="1" applyFill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9" fontId="44" fillId="0" borderId="0" xfId="6" applyFont="1" applyAlignment="1">
      <alignment horizontal="right"/>
    </xf>
    <xf numFmtId="0" fontId="0" fillId="0" borderId="0" xfId="0" applyAlignment="1">
      <alignment horizontal="left" vertical="center" indent="1"/>
    </xf>
    <xf numFmtId="169" fontId="44" fillId="0" borderId="0" xfId="0" applyNumberFormat="1" applyFont="1" applyAlignment="1">
      <alignment horizontal="right"/>
    </xf>
    <xf numFmtId="0" fontId="76" fillId="0" borderId="0" xfId="0" applyFont="1" applyAlignment="1">
      <alignment horizontal="center" vertical="center" wrapText="1"/>
    </xf>
    <xf numFmtId="0" fontId="69" fillId="0" borderId="0" xfId="9" applyNumberFormat="1"/>
    <xf numFmtId="170" fontId="70" fillId="0" borderId="68" xfId="10" applyNumberFormat="1" applyAlignment="1">
      <alignment horizontal="center" vertical="center" wrapText="1"/>
    </xf>
    <xf numFmtId="10" fontId="37" fillId="0" borderId="0" xfId="0" applyNumberFormat="1" applyFont="1"/>
    <xf numFmtId="170" fontId="70" fillId="0" borderId="0" xfId="0" applyNumberFormat="1" applyFont="1" applyAlignment="1">
      <alignment horizontal="center" vertical="center" wrapText="1"/>
    </xf>
    <xf numFmtId="170" fontId="71" fillId="56" borderId="69" xfId="11" applyNumberFormat="1" applyFont="1" applyFill="1" applyAlignment="1">
      <alignment horizontal="left" vertical="center" indent="1"/>
    </xf>
    <xf numFmtId="170" fontId="78" fillId="56" borderId="69" xfId="11" applyNumberFormat="1" applyFont="1" applyFill="1" applyAlignment="1">
      <alignment horizontal="left" vertical="center" indent="1"/>
    </xf>
    <xf numFmtId="164" fontId="43" fillId="0" borderId="0" xfId="8" applyFont="1" applyAlignment="1">
      <alignment horizontal="center" vertical="center" wrapText="1"/>
    </xf>
    <xf numFmtId="164" fontId="44" fillId="0" borderId="0" xfId="8" applyFont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79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14" borderId="0" xfId="0" applyFont="1" applyFill="1" applyAlignment="1">
      <alignment horizontal="center" vertical="center" wrapText="1"/>
    </xf>
    <xf numFmtId="0" fontId="43" fillId="31" borderId="47" xfId="0" applyFont="1" applyFill="1" applyBorder="1"/>
    <xf numFmtId="4" fontId="44" fillId="31" borderId="47" xfId="0" applyNumberFormat="1" applyFont="1" applyFill="1" applyBorder="1"/>
    <xf numFmtId="4" fontId="44" fillId="0" borderId="47" xfId="0" applyNumberFormat="1" applyFont="1" applyBorder="1"/>
    <xf numFmtId="4" fontId="43" fillId="31" borderId="47" xfId="0" applyNumberFormat="1" applyFont="1" applyFill="1" applyBorder="1"/>
    <xf numFmtId="164" fontId="43" fillId="56" borderId="0" xfId="8" applyFont="1" applyFill="1" applyAlignment="1">
      <alignment horizontal="center" vertical="center" wrapText="1"/>
    </xf>
    <xf numFmtId="9" fontId="43" fillId="56" borderId="0" xfId="6" applyFont="1" applyFill="1" applyAlignment="1">
      <alignment horizontal="right"/>
    </xf>
    <xf numFmtId="9" fontId="44" fillId="56" borderId="0" xfId="6" applyFont="1" applyFill="1" applyAlignment="1">
      <alignment horizontal="right"/>
    </xf>
    <xf numFmtId="10" fontId="44" fillId="56" borderId="0" xfId="0" applyNumberFormat="1" applyFont="1" applyFill="1" applyAlignment="1">
      <alignment horizontal="center" vertical="center" wrapText="1"/>
    </xf>
    <xf numFmtId="9" fontId="44" fillId="56" borderId="0" xfId="6" applyFont="1" applyFill="1" applyAlignment="1">
      <alignment horizontal="center"/>
    </xf>
    <xf numFmtId="9" fontId="44" fillId="56" borderId="0" xfId="0" applyNumberFormat="1" applyFont="1" applyFill="1" applyAlignment="1">
      <alignment horizontal="center" vertical="center" wrapText="1"/>
    </xf>
    <xf numFmtId="170" fontId="44" fillId="0" borderId="0" xfId="0" applyNumberFormat="1" applyFont="1" applyAlignment="1">
      <alignment vertical="center"/>
    </xf>
    <xf numFmtId="9" fontId="44" fillId="56" borderId="0" xfId="6" applyFont="1" applyFill="1" applyAlignment="1">
      <alignment horizontal="center" vertical="center" wrapText="1"/>
    </xf>
    <xf numFmtId="9" fontId="44" fillId="0" borderId="0" xfId="6" applyFont="1" applyAlignment="1">
      <alignment horizontal="center" vertical="center" wrapText="1"/>
    </xf>
    <xf numFmtId="170" fontId="43" fillId="56" borderId="0" xfId="0" applyNumberFormat="1" applyFont="1" applyFill="1" applyAlignment="1">
      <alignment horizontal="center" vertical="center" wrapText="1"/>
    </xf>
    <xf numFmtId="170" fontId="44" fillId="56" borderId="0" xfId="0" applyNumberFormat="1" applyFont="1" applyFill="1" applyAlignment="1">
      <alignment horizontal="center" vertical="center" wrapText="1"/>
    </xf>
    <xf numFmtId="0" fontId="44" fillId="56" borderId="0" xfId="0" applyFont="1" applyFill="1"/>
    <xf numFmtId="170" fontId="43" fillId="0" borderId="0" xfId="0" applyNumberFormat="1" applyFont="1" applyAlignment="1">
      <alignment horizontal="center" vertical="center" wrapText="1"/>
    </xf>
    <xf numFmtId="170" fontId="44" fillId="0" borderId="0" xfId="0" applyNumberFormat="1" applyFont="1" applyAlignment="1">
      <alignment horizontal="center" vertical="center" wrapText="1"/>
    </xf>
    <xf numFmtId="169" fontId="43" fillId="15" borderId="46" xfId="6" applyNumberFormat="1" applyFont="1" applyFill="1" applyBorder="1"/>
    <xf numFmtId="169" fontId="50" fillId="23" borderId="20" xfId="6" applyNumberFormat="1" applyFont="1" applyFill="1" applyBorder="1"/>
    <xf numFmtId="168" fontId="56" fillId="41" borderId="46" xfId="6" applyNumberFormat="1" applyFont="1" applyFill="1" applyBorder="1"/>
    <xf numFmtId="168" fontId="61" fillId="42" borderId="20" xfId="6" applyNumberFormat="1" applyFont="1" applyFill="1" applyBorder="1"/>
    <xf numFmtId="168" fontId="56" fillId="42" borderId="20" xfId="6" applyNumberFormat="1" applyFont="1" applyFill="1" applyBorder="1"/>
    <xf numFmtId="0" fontId="0" fillId="14" borderId="0" xfId="0" applyFill="1" applyAlignment="1">
      <alignment horizontal="left"/>
    </xf>
    <xf numFmtId="4" fontId="48" fillId="26" borderId="0" xfId="0" applyNumberFormat="1" applyFont="1" applyFill="1" applyAlignment="1">
      <alignment horizontal="left" vertical="center" wrapText="1"/>
    </xf>
    <xf numFmtId="4" fontId="48" fillId="26" borderId="51" xfId="0" applyNumberFormat="1" applyFont="1" applyFill="1" applyBorder="1" applyAlignment="1">
      <alignment horizontal="left" vertical="center" wrapText="1"/>
    </xf>
    <xf numFmtId="4" fontId="48" fillId="26" borderId="54" xfId="0" applyNumberFormat="1" applyFont="1" applyFill="1" applyBorder="1" applyAlignment="1">
      <alignment horizontal="left" vertical="center" wrapText="1"/>
    </xf>
    <xf numFmtId="4" fontId="48" fillId="26" borderId="52" xfId="0" applyNumberFormat="1" applyFont="1" applyFill="1" applyBorder="1" applyAlignment="1">
      <alignment horizontal="left" vertical="center" wrapText="1"/>
    </xf>
    <xf numFmtId="0" fontId="4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4" fontId="65" fillId="43" borderId="54" xfId="0" applyNumberFormat="1" applyFont="1" applyFill="1" applyBorder="1" applyAlignment="1">
      <alignment horizontal="left" vertical="center" wrapText="1"/>
    </xf>
    <xf numFmtId="4" fontId="65" fillId="43" borderId="52" xfId="0" applyNumberFormat="1" applyFont="1" applyFill="1" applyBorder="1" applyAlignment="1">
      <alignment horizontal="left" vertical="center" wrapText="1"/>
    </xf>
    <xf numFmtId="0" fontId="73" fillId="55" borderId="0" xfId="0" applyFont="1" applyFill="1" applyAlignment="1">
      <alignment horizontal="left" wrapText="1"/>
    </xf>
    <xf numFmtId="0" fontId="0" fillId="55" borderId="0" xfId="0" applyFill="1" applyAlignment="1">
      <alignment horizontal="center" wrapText="1"/>
    </xf>
    <xf numFmtId="0" fontId="19" fillId="17" borderId="16" xfId="0" applyFont="1" applyFill="1" applyBorder="1" applyAlignment="1">
      <alignment horizontal="left" vertical="center"/>
    </xf>
    <xf numFmtId="0" fontId="19" fillId="17" borderId="24" xfId="0" applyFont="1" applyFill="1" applyBorder="1" applyAlignment="1">
      <alignment horizontal="left" vertical="center"/>
    </xf>
    <xf numFmtId="0" fontId="19" fillId="17" borderId="25" xfId="0" applyFont="1" applyFill="1" applyBorder="1" applyAlignment="1">
      <alignment horizontal="left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horizontal="center" vertical="center"/>
    </xf>
    <xf numFmtId="0" fontId="15" fillId="16" borderId="16" xfId="0" applyFont="1" applyFill="1" applyBorder="1" applyAlignment="1">
      <alignment horizontal="left" vertical="center"/>
    </xf>
    <xf numFmtId="0" fontId="15" fillId="16" borderId="24" xfId="0" applyFont="1" applyFill="1" applyBorder="1" applyAlignment="1">
      <alignment horizontal="left" vertical="center"/>
    </xf>
    <xf numFmtId="0" fontId="15" fillId="16" borderId="25" xfId="0" applyFont="1" applyFill="1" applyBorder="1" applyAlignment="1">
      <alignment horizontal="left" vertical="center"/>
    </xf>
    <xf numFmtId="0" fontId="15" fillId="16" borderId="23" xfId="0" applyFont="1" applyFill="1" applyBorder="1" applyAlignment="1">
      <alignment horizontal="center" vertical="justify"/>
    </xf>
    <xf numFmtId="0" fontId="17" fillId="16" borderId="22" xfId="0" applyFont="1" applyFill="1" applyBorder="1" applyAlignment="1">
      <alignment horizontal="center" vertical="justify"/>
    </xf>
    <xf numFmtId="0" fontId="13" fillId="15" borderId="21" xfId="0" applyFont="1" applyFill="1" applyBorder="1" applyAlignment="1">
      <alignment horizontal="center" vertical="center"/>
    </xf>
    <xf numFmtId="0" fontId="13" fillId="15" borderId="23" xfId="0" applyFont="1" applyFill="1" applyBorder="1" applyAlignment="1">
      <alignment horizontal="center" vertical="center"/>
    </xf>
    <xf numFmtId="0" fontId="19" fillId="17" borderId="23" xfId="0" applyFont="1" applyFill="1" applyBorder="1" applyAlignment="1">
      <alignment horizontal="center" vertical="justify"/>
    </xf>
    <xf numFmtId="0" fontId="22" fillId="17" borderId="23" xfId="0" applyFont="1" applyFill="1" applyBorder="1" applyAlignment="1">
      <alignment horizontal="center" vertical="justify"/>
    </xf>
    <xf numFmtId="0" fontId="19" fillId="17" borderId="1" xfId="0" applyFont="1" applyFill="1" applyBorder="1" applyAlignment="1">
      <alignment horizontal="left" vertical="justify"/>
    </xf>
    <xf numFmtId="0" fontId="19" fillId="17" borderId="3" xfId="0" applyFont="1" applyFill="1" applyBorder="1" applyAlignment="1">
      <alignment horizontal="left" vertical="justify"/>
    </xf>
    <xf numFmtId="0" fontId="19" fillId="17" borderId="4" xfId="0" applyFont="1" applyFill="1" applyBorder="1" applyAlignment="1">
      <alignment horizontal="left" vertical="justify"/>
    </xf>
    <xf numFmtId="0" fontId="18" fillId="17" borderId="21" xfId="0" applyFont="1" applyFill="1" applyBorder="1" applyAlignment="1">
      <alignment horizontal="center" vertical="center"/>
    </xf>
    <xf numFmtId="0" fontId="18" fillId="17" borderId="23" xfId="0" applyFont="1" applyFill="1" applyBorder="1" applyAlignment="1">
      <alignment horizontal="center" vertical="center"/>
    </xf>
    <xf numFmtId="0" fontId="18" fillId="17" borderId="22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left" vertical="center"/>
    </xf>
    <xf numFmtId="0" fontId="19" fillId="17" borderId="3" xfId="0" applyFont="1" applyFill="1" applyBorder="1" applyAlignment="1">
      <alignment horizontal="left" vertical="center"/>
    </xf>
    <xf numFmtId="0" fontId="19" fillId="17" borderId="4" xfId="0" applyFont="1" applyFill="1" applyBorder="1" applyAlignment="1">
      <alignment horizontal="left" vertical="center"/>
    </xf>
  </cellXfs>
  <cellStyles count="12">
    <cellStyle name="Entrada" xfId="11" builtinId="20"/>
    <cellStyle name="Moneda 2" xfId="1" xr:uid="{00000000-0005-0000-0000-000000000000}"/>
    <cellStyle name="Moneda 3" xfId="2" xr:uid="{00000000-0005-0000-0000-000001000000}"/>
    <cellStyle name="Moneda 3 2" xfId="3" xr:uid="{00000000-0005-0000-0000-000002000000}"/>
    <cellStyle name="Normal" xfId="0" builtinId="0"/>
    <cellStyle name="Normal 2" xfId="4" xr:uid="{00000000-0005-0000-0000-000004000000}"/>
    <cellStyle name="Normal 2 2" xfId="5" xr:uid="{00000000-0005-0000-0000-000005000000}"/>
    <cellStyle name="Porcentagem" xfId="6" builtinId="5"/>
    <cellStyle name="Porcentual 2" xfId="7" xr:uid="{00000000-0005-0000-0000-000007000000}"/>
    <cellStyle name="Título" xfId="9" builtinId="15"/>
    <cellStyle name="Título 1" xfId="10" builtinId="16"/>
    <cellStyle name="Vírgula" xfId="8" builtinId="3"/>
  </cellStyles>
  <dxfs count="99">
    <dxf>
      <font>
        <color rgb="FFDA0000"/>
      </font>
    </dxf>
    <dxf>
      <font>
        <color rgb="FFDA0000"/>
      </font>
    </dxf>
    <dxf>
      <font>
        <color rgb="FFDA0000"/>
      </font>
    </dxf>
    <dxf>
      <font>
        <color rgb="FFDA0000"/>
      </font>
    </dxf>
    <dxf>
      <font>
        <color rgb="FFDA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ill Sans M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  <fill>
        <patternFill>
          <fgColor indexed="64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  <border outline="0">
        <left style="thin">
          <color rgb="FF7F7F7F"/>
        </left>
      </border>
    </dxf>
    <dxf>
      <alignment horizontal="left" vertical="center" textRotation="0" wrapText="0" indent="1" justifyLastLine="0" shrinkToFit="0" readingOrder="0"/>
    </dxf>
    <dxf>
      <numFmt numFmtId="170" formatCode="#,##0.00_ ;[Red]\-#,##0.00\ 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ill Sans MT"/>
        <family val="2"/>
        <scheme val="none"/>
      </font>
    </dxf>
    <dxf>
      <numFmt numFmtId="170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ill Sans M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  <fill>
        <patternFill>
          <fgColor indexed="64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#,##0.00_ ;[Red]\-#,##0.00\ "/>
      <border outline="0">
        <left style="thin">
          <color rgb="FF7F7F7F"/>
        </left>
      </border>
    </dxf>
    <dxf>
      <alignment horizontal="left" vertical="center" textRotation="0" wrapText="0" indent="1" justifyLastLine="0" shrinkToFit="0" readingOrder="0"/>
    </dxf>
    <dxf>
      <numFmt numFmtId="170" formatCode="#,##0.00_ ;[Red]\-#,##0.00\ 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ill Sans MT"/>
        <family val="2"/>
        <scheme val="none"/>
      </font>
    </dxf>
    <dxf>
      <numFmt numFmtId="170" formatCode="#,##0.00_ ;[Red]\-#,##0.00\ "/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 tint="-4.9989318521683403E-2"/>
        </patternFill>
      </fill>
    </dxf>
    <dxf>
      <font>
        <b val="0"/>
        <i val="0"/>
        <color theme="1"/>
      </font>
      <fill>
        <patternFill patternType="solid">
          <fgColor theme="4"/>
          <bgColor theme="0" tint="-0.14996795556505021"/>
        </patternFill>
      </fill>
      <border>
        <top style="thin">
          <color theme="0"/>
        </top>
      </border>
    </dxf>
    <dxf>
      <font>
        <b val="0"/>
        <i val="0"/>
        <color theme="0"/>
      </font>
      <fill>
        <gradientFill degree="90">
          <stop position="0">
            <color theme="6" tint="-0.49803155613879818"/>
          </stop>
          <stop position="1">
            <color theme="6" tint="-0.25098422193060094"/>
          </stop>
        </gradient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fill>
        <patternFill patternType="solid">
          <fgColor auto="1"/>
          <bgColor theme="0" tint="-4.9989318521683403E-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 tint="-4.9989318521683403E-2"/>
        </patternFill>
      </fill>
    </dxf>
    <dxf>
      <font>
        <b val="0"/>
        <i val="0"/>
        <color theme="1"/>
      </font>
      <fill>
        <patternFill patternType="solid">
          <fgColor theme="4"/>
          <bgColor theme="0" tint="-0.14996795556505021"/>
        </patternFill>
      </fill>
      <border>
        <top style="thin">
          <color theme="0"/>
        </top>
      </border>
    </dxf>
    <dxf>
      <font>
        <b val="0"/>
        <i val="0"/>
        <color theme="0"/>
      </font>
      <fill>
        <gradientFill degree="90">
          <stop position="0">
            <color theme="6" tint="-0.49803155613879818"/>
          </stop>
          <stop position="1">
            <color theme="6" tint="-0.25098422193060094"/>
          </stop>
        </gradient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fill>
        <patternFill patternType="solid">
          <fgColor auto="1"/>
          <bgColor theme="0" tint="-4.9989318521683403E-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2" defaultTableStyle="TableStyleMedium9">
    <tableStyle name="Orçamento mensal" pivot="0" count="5" xr9:uid="{E9AD0DF3-ED4A-48AE-BAEB-3210CF63FDB8}">
      <tableStyleElement type="wholeTable" dxfId="98"/>
      <tableStyleElement type="headerRow" dxfId="97"/>
      <tableStyleElement type="totalRow" dxfId="96"/>
      <tableStyleElement type="lastColumn" dxfId="95"/>
      <tableStyleElement type="secondRowStripe" dxfId="94"/>
    </tableStyle>
    <tableStyle name="Orçamento mensal 2" pivot="0" count="5" xr9:uid="{3969DD3E-B1C6-4508-81B4-07E3C54FC392}">
      <tableStyleElement type="wholeTable" dxfId="93"/>
      <tableStyleElement type="headerRow" dxfId="92"/>
      <tableStyleElement type="totalRow" dxfId="91"/>
      <tableStyleElement type="lastColumn" dxfId="90"/>
      <tableStyleElement type="secondRowStripe" dxfId="89"/>
    </tableStyle>
  </tableStyles>
  <colors>
    <mruColors>
      <color rgb="FFCCFFCC"/>
      <color rgb="FF1B8144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rgbClr val="44382C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Gill Sans MT"/>
                <a:ea typeface="Gill Sans MT"/>
                <a:cs typeface="Gill Sans MT"/>
              </a:defRPr>
            </a:pPr>
            <a:r>
              <a:rPr lang="en-US"/>
              <a:t>RECEITA</a:t>
            </a:r>
          </a:p>
        </c:rich>
      </c:tx>
      <c:layout>
        <c:manualLayout>
          <c:xMode val="edge"/>
          <c:yMode val="edge"/>
          <c:x val="0.36409612489005844"/>
          <c:y val="2.9356668083273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rgbClr val="44382C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Gill Sans MT"/>
              <a:ea typeface="Gill Sans MT"/>
              <a:cs typeface="Gill Sans MT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372420296953702"/>
          <c:y val="0.13665728683060777"/>
          <c:w val="0.90271911893135193"/>
          <c:h val="0.73572263144526284"/>
        </c:manualLayout>
      </c:layout>
      <c:barChart>
        <c:barDir val="col"/>
        <c:grouping val="clustered"/>
        <c:varyColors val="0"/>
        <c:ser>
          <c:idx val="0"/>
          <c:order val="0"/>
          <c:tx>
            <c:v>2018</c:v>
          </c:tx>
          <c:spPr>
            <a:solidFill>
              <a:srgbClr val="5A5044"/>
            </a:solidFill>
            <a:ln w="0">
              <a:noFill/>
            </a:ln>
            <a:effectLst>
              <a:outerShdw blurRad="63500" dist="25400" dir="5400000" rotWithShape="0">
                <a:srgbClr val="000000">
                  <a:alpha val="4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13200000"/>
              </a:lightRig>
            </a:scene3d>
            <a:sp3d prstMaterial="dkEdge">
              <a:bevelT w="63500" h="50800" prst="relaxedInset"/>
            </a:sp3d>
          </c:spPr>
          <c:invertIfNegative val="0"/>
          <c:val>
            <c:numRef>
              <c:f>'Comparativo anual'!$C$5</c:f>
              <c:numCache>
                <c:formatCode>_(* #,##0.00_);_(* \(#,##0.00\);_(* "-"??_);_(@_)</c:formatCode>
                <c:ptCount val="1"/>
                <c:pt idx="0">
                  <c:v>369928.42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8-4D2E-BE65-0DA25E76DECF}"/>
            </c:ext>
          </c:extLst>
        </c:ser>
        <c:ser>
          <c:idx val="1"/>
          <c:order val="1"/>
          <c:tx>
            <c:v>2019</c:v>
          </c:tx>
          <c:spPr>
            <a:solidFill>
              <a:srgbClr val="EEEADE"/>
            </a:solidFill>
            <a:ln>
              <a:noFill/>
            </a:ln>
            <a:effectLst>
              <a:outerShdw blurRad="63500" dist="25400" dir="5400000" rotWithShape="0">
                <a:srgbClr val="000000">
                  <a:alpha val="4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13200000"/>
              </a:lightRig>
            </a:scene3d>
            <a:sp3d prstMaterial="dkEdge">
              <a:bevelT w="63500" h="50800" prst="relaxedInset"/>
            </a:sp3d>
          </c:spPr>
          <c:invertIfNegative val="0"/>
          <c:val>
            <c:numRef>
              <c:f>'Comparativo anual'!$D$5</c:f>
              <c:numCache>
                <c:formatCode>_(* #,##0.00_);_(* \(#,##0.00\);_(* "-"??_);_(@_)</c:formatCode>
                <c:ptCount val="1"/>
                <c:pt idx="0">
                  <c:v>910084.6100000001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8-4D2E-BE65-0DA25E76DECF}"/>
            </c:ext>
          </c:extLst>
        </c:ser>
        <c:ser>
          <c:idx val="2"/>
          <c:order val="2"/>
          <c:tx>
            <c:v>2020</c:v>
          </c:tx>
          <c:spPr>
            <a:gradFill rotWithShape="1">
              <a:gsLst>
                <a:gs pos="0">
                  <a:schemeClr val="accent3">
                    <a:shade val="15000"/>
                    <a:satMod val="180000"/>
                  </a:schemeClr>
                </a:gs>
                <a:gs pos="50000">
                  <a:schemeClr val="accent3">
                    <a:shade val="45000"/>
                    <a:satMod val="170000"/>
                  </a:schemeClr>
                </a:gs>
                <a:gs pos="70000">
                  <a:schemeClr val="accent3">
                    <a:tint val="99000"/>
                    <a:shade val="65000"/>
                    <a:satMod val="155000"/>
                  </a:schemeClr>
                </a:gs>
                <a:gs pos="100000">
                  <a:schemeClr val="accent3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4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13200000"/>
              </a:lightRig>
            </a:scene3d>
            <a:sp3d prstMaterial="dkEdge">
              <a:bevelT w="63500" h="50800" prst="relaxedInset"/>
            </a:sp3d>
          </c:spPr>
          <c:invertIfNegative val="0"/>
          <c:val>
            <c:numRef>
              <c:f>'Comparativo anual'!$F$5</c:f>
              <c:numCache>
                <c:formatCode>_(* #,##0.00_);_(* \(#,##0.00\);_(* "-"??_);_(@_)</c:formatCode>
                <c:ptCount val="1"/>
                <c:pt idx="0">
                  <c:v>1131510.6099999999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8-4D2E-BE65-0DA25E76DECF}"/>
            </c:ext>
          </c:extLst>
        </c:ser>
        <c:ser>
          <c:idx val="3"/>
          <c:order val="3"/>
          <c:tx>
            <c:v>2021</c:v>
          </c:tx>
          <c:spPr>
            <a:gradFill rotWithShape="1">
              <a:gsLst>
                <a:gs pos="0">
                  <a:schemeClr val="accent4">
                    <a:shade val="15000"/>
                    <a:satMod val="180000"/>
                  </a:schemeClr>
                </a:gs>
                <a:gs pos="50000">
                  <a:schemeClr val="accent4">
                    <a:shade val="45000"/>
                    <a:satMod val="170000"/>
                  </a:schemeClr>
                </a:gs>
                <a:gs pos="70000">
                  <a:schemeClr val="accent4">
                    <a:tint val="99000"/>
                    <a:shade val="65000"/>
                    <a:satMod val="155000"/>
                  </a:schemeClr>
                </a:gs>
                <a:gs pos="100000">
                  <a:schemeClr val="accent4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4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13200000"/>
              </a:lightRig>
            </a:scene3d>
            <a:sp3d prstMaterial="dkEdge">
              <a:bevelT w="63500" h="50800" prst="relaxedInset"/>
            </a:sp3d>
          </c:spPr>
          <c:invertIfNegative val="0"/>
          <c:val>
            <c:numRef>
              <c:f>'Comparativo anual'!$H$5</c:f>
              <c:numCache>
                <c:formatCode>_(* #,##0.00_);_(* \(#,##0.00\);_(* "-"??_);_(@_)</c:formatCode>
                <c:ptCount val="1"/>
                <c:pt idx="0">
                  <c:v>2036810.95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E8-4D2E-BE65-0DA25E76DECF}"/>
            </c:ext>
          </c:extLst>
        </c:ser>
        <c:ser>
          <c:idx val="4"/>
          <c:order val="4"/>
          <c:tx>
            <c:v>2022</c:v>
          </c:tx>
          <c:spPr>
            <a:gradFill rotWithShape="1">
              <a:gsLst>
                <a:gs pos="0">
                  <a:schemeClr val="accent5">
                    <a:shade val="15000"/>
                    <a:satMod val="180000"/>
                  </a:schemeClr>
                </a:gs>
                <a:gs pos="50000">
                  <a:schemeClr val="accent5">
                    <a:shade val="45000"/>
                    <a:satMod val="170000"/>
                  </a:schemeClr>
                </a:gs>
                <a:gs pos="70000">
                  <a:schemeClr val="accent5">
                    <a:tint val="99000"/>
                    <a:shade val="65000"/>
                    <a:satMod val="155000"/>
                  </a:schemeClr>
                </a:gs>
                <a:gs pos="100000">
                  <a:schemeClr val="accent5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4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13200000"/>
              </a:lightRig>
            </a:scene3d>
            <a:sp3d prstMaterial="dkEdge">
              <a:bevelT w="63500" h="50800" prst="relaxedInset"/>
            </a:sp3d>
          </c:spPr>
          <c:invertIfNegative val="0"/>
          <c:val>
            <c:numRef>
              <c:f>'Comparativo anual'!$J$5</c:f>
              <c:numCache>
                <c:formatCode>_(* #,##0.00_);_(* \(#,##0.00\);_(* "-"??_);_(@_)</c:formatCode>
                <c:ptCount val="1"/>
                <c:pt idx="0">
                  <c:v>2895603.23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E8-4D2E-BE65-0DA25E76DECF}"/>
            </c:ext>
          </c:extLst>
        </c:ser>
        <c:ser>
          <c:idx val="5"/>
          <c:order val="5"/>
          <c:tx>
            <c:v>2023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'Comparativo anual'!$L$5</c:f>
              <c:numCache>
                <c:formatCode>_(* #,##0.00_);_(* \(#,##0.00\);_(* "-"??_);_(@_)</c:formatCode>
                <c:ptCount val="1"/>
                <c:pt idx="0">
                  <c:v>2807190.32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E8-4D2E-BE65-0DA25E76DECF}"/>
            </c:ext>
          </c:extLst>
        </c:ser>
        <c:ser>
          <c:idx val="6"/>
          <c:order val="6"/>
          <c:tx>
            <c:v>2024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'Comparativo anual'!$N$5</c:f>
              <c:numCache>
                <c:formatCode>#,##0.00_ ;[Red]\-#,##0.00\ </c:formatCode>
                <c:ptCount val="1"/>
                <c:pt idx="0">
                  <c:v>2601824.0999999996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D-47AF-9B3D-63416C4F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1110848"/>
        <c:axId val="-2126111024"/>
      </c:barChart>
      <c:catAx>
        <c:axId val="145111084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2126111024"/>
        <c:crosses val="autoZero"/>
        <c:auto val="1"/>
        <c:lblAlgn val="ctr"/>
        <c:lblOffset val="100"/>
        <c:noMultiLvlLbl val="0"/>
      </c:catAx>
      <c:valAx>
        <c:axId val="-21261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4382C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11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546438373119839"/>
          <c:y val="0.90550077279413543"/>
          <c:w val="0.73675313174254531"/>
          <c:h val="7.5876095462202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44382C"/>
              </a:solidFill>
              <a:latin typeface="Gill Sans MT"/>
              <a:ea typeface="Gill Sans MT"/>
              <a:cs typeface="Gill Sans MT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EEEADE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rgbClr val="44382C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Gill Sans MT"/>
                <a:ea typeface="Gill Sans MT"/>
                <a:cs typeface="Gill Sans MT"/>
              </a:defRPr>
            </a:pPr>
            <a:r>
              <a:rPr lang="en-US"/>
              <a:t>RESULTADO</a:t>
            </a:r>
          </a:p>
        </c:rich>
      </c:tx>
      <c:layout>
        <c:manualLayout>
          <c:xMode val="edge"/>
          <c:yMode val="edge"/>
          <c:x val="0.34472388537382737"/>
          <c:y val="3.4001709266765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rgbClr val="44382C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Gill Sans MT"/>
              <a:ea typeface="Gill Sans MT"/>
              <a:cs typeface="Gill Sans MT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1148936837956732E-2"/>
          <c:y val="0.12272268224536449"/>
          <c:w val="0.90271911893135193"/>
          <c:h val="0.73572263144526284"/>
        </c:manualLayout>
      </c:layout>
      <c:barChart>
        <c:barDir val="col"/>
        <c:grouping val="clustered"/>
        <c:varyColors val="0"/>
        <c:ser>
          <c:idx val="0"/>
          <c:order val="0"/>
          <c:tx>
            <c:v>2018</c:v>
          </c:tx>
          <c:spPr>
            <a:solidFill>
              <a:srgbClr val="5A5044"/>
            </a:solidFill>
            <a:ln w="0">
              <a:noFill/>
            </a:ln>
            <a:effectLst>
              <a:outerShdw blurRad="63500" dist="25400" dir="5400000" rotWithShape="0">
                <a:srgbClr val="000000">
                  <a:alpha val="4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13200000"/>
              </a:lightRig>
            </a:scene3d>
            <a:sp3d prstMaterial="dkEdge">
              <a:bevelT w="63500" h="50800" prst="relaxedInset"/>
            </a:sp3d>
          </c:spPr>
          <c:invertIfNegative val="0"/>
          <c:val>
            <c:numRef>
              <c:f>'Comparativo anual'!$C$17</c:f>
              <c:numCache>
                <c:formatCode>_(* #,##0.00_);_(* \(#,##0.00\);_(* "-"??_);_(@_)</c:formatCode>
                <c:ptCount val="1"/>
                <c:pt idx="0">
                  <c:v>36211.059999999954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B-4C55-B124-74E4430910D2}"/>
            </c:ext>
          </c:extLst>
        </c:ser>
        <c:ser>
          <c:idx val="1"/>
          <c:order val="1"/>
          <c:tx>
            <c:v>2019</c:v>
          </c:tx>
          <c:spPr>
            <a:solidFill>
              <a:srgbClr val="EEEADE"/>
            </a:solidFill>
            <a:ln>
              <a:noFill/>
            </a:ln>
            <a:effectLst>
              <a:outerShdw blurRad="63500" dist="25400" dir="5400000" rotWithShape="0">
                <a:srgbClr val="000000">
                  <a:alpha val="4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13200000"/>
              </a:lightRig>
            </a:scene3d>
            <a:sp3d prstMaterial="dkEdge">
              <a:bevelT w="63500" h="50800" prst="relaxedInset"/>
            </a:sp3d>
          </c:spPr>
          <c:invertIfNegative val="0"/>
          <c:val>
            <c:numRef>
              <c:f>'Comparativo anual'!$D$17</c:f>
              <c:numCache>
                <c:formatCode>_(* #,##0.00_);_(* \(#,##0.00\);_(* "-"??_);_(@_)</c:formatCode>
                <c:ptCount val="1"/>
                <c:pt idx="0">
                  <c:v>183925.04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B-4C55-B124-74E4430910D2}"/>
            </c:ext>
          </c:extLst>
        </c:ser>
        <c:ser>
          <c:idx val="2"/>
          <c:order val="2"/>
          <c:tx>
            <c:v>2020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'Comparativo anual'!$F$17</c:f>
              <c:numCache>
                <c:formatCode>_(* #,##0.00_);_(* \(#,##0.00\);_(* "-"??_);_(@_)</c:formatCode>
                <c:ptCount val="1"/>
                <c:pt idx="0">
                  <c:v>386444.33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6-4DB9-B634-64DC2CBBE673}"/>
            </c:ext>
          </c:extLst>
        </c:ser>
        <c:ser>
          <c:idx val="3"/>
          <c:order val="3"/>
          <c:tx>
            <c:v>2021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'Comparativo anual'!$H$17</c:f>
              <c:numCache>
                <c:formatCode>_(* #,##0.00_);_(* \(#,##0.00\);_(* "-"??_);_(@_)</c:formatCode>
                <c:ptCount val="1"/>
                <c:pt idx="0">
                  <c:v>717033.43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6-4DB9-B634-64DC2CBBE673}"/>
            </c:ext>
          </c:extLst>
        </c:ser>
        <c:ser>
          <c:idx val="4"/>
          <c:order val="4"/>
          <c:tx>
            <c:v>2022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'Comparativo anual'!$J$17</c:f>
              <c:numCache>
                <c:formatCode>_(* #,##0.00_);_(* \(#,##0.00\);_(* "-"??_);_(@_)</c:formatCode>
                <c:ptCount val="1"/>
                <c:pt idx="0">
                  <c:v>953986.61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66-4DB9-B634-64DC2CBBE673}"/>
            </c:ext>
          </c:extLst>
        </c:ser>
        <c:ser>
          <c:idx val="5"/>
          <c:order val="5"/>
          <c:tx>
            <c:v>2023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'Comparativo anual'!$L$17</c:f>
              <c:numCache>
                <c:formatCode>_(* #,##0.00_);_(* \(#,##0.00\);_(* "-"??_);_(@_)</c:formatCode>
                <c:ptCount val="1"/>
                <c:pt idx="0">
                  <c:v>809434.05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66-4DB9-B634-64DC2CBBE673}"/>
            </c:ext>
          </c:extLst>
        </c:ser>
        <c:ser>
          <c:idx val="6"/>
          <c:order val="6"/>
          <c:tx>
            <c:v>2024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'Comparativo anual'!$N$17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66-4DB9-B634-64DC2CBBE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1110848"/>
        <c:axId val="-2126111024"/>
      </c:barChart>
      <c:catAx>
        <c:axId val="145111084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2126111024"/>
        <c:crosses val="autoZero"/>
        <c:auto val="1"/>
        <c:lblAlgn val="ctr"/>
        <c:lblOffset val="100"/>
        <c:noMultiLvlLbl val="0"/>
      </c:catAx>
      <c:valAx>
        <c:axId val="-21261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4382C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11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52783089413791"/>
          <c:y val="0.89442489008179082"/>
          <c:w val="0.73884008700409232"/>
          <c:h val="8.9008436501426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44382C"/>
              </a:solidFill>
              <a:latin typeface="Gill Sans MT"/>
              <a:ea typeface="Gill Sans MT"/>
              <a:cs typeface="Gill Sans MT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EEEADE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rgbClr val="44382C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Gill Sans MT"/>
                <a:ea typeface="Gill Sans MT"/>
                <a:cs typeface="Gill Sans MT"/>
              </a:defRPr>
            </a:pPr>
            <a:r>
              <a:rPr lang="en-US"/>
              <a:t>DESPESAS</a:t>
            </a:r>
          </a:p>
        </c:rich>
      </c:tx>
      <c:layout>
        <c:manualLayout>
          <c:xMode val="edge"/>
          <c:yMode val="edge"/>
          <c:x val="0.40251434062201646"/>
          <c:y val="3.4001629465327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rgbClr val="44382C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Gill Sans MT"/>
              <a:ea typeface="Gill Sans MT"/>
              <a:cs typeface="Gill Sans MT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1148936837956732E-2"/>
          <c:y val="0.12272268224536449"/>
          <c:w val="0.90271911893135193"/>
          <c:h val="0.73572263144526284"/>
        </c:manualLayout>
      </c:layout>
      <c:barChart>
        <c:barDir val="col"/>
        <c:grouping val="clustered"/>
        <c:varyColors val="0"/>
        <c:ser>
          <c:idx val="0"/>
          <c:order val="0"/>
          <c:tx>
            <c:v>2018</c:v>
          </c:tx>
          <c:spPr>
            <a:solidFill>
              <a:srgbClr val="5A5044"/>
            </a:solidFill>
            <a:ln w="0">
              <a:noFill/>
            </a:ln>
            <a:effectLst>
              <a:outerShdw blurRad="63500" dist="25400" dir="5400000" rotWithShape="0">
                <a:srgbClr val="000000">
                  <a:alpha val="4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13200000"/>
              </a:lightRig>
            </a:scene3d>
            <a:sp3d prstMaterial="dkEdge">
              <a:bevelT w="63500" h="50800" prst="relaxedInset"/>
            </a:sp3d>
          </c:spPr>
          <c:invertIfNegative val="0"/>
          <c:val>
            <c:numRef>
              <c:f>'Comparativo anual'!$C$19</c:f>
              <c:numCache>
                <c:formatCode>_(* #,##0.00_);_(* \(#,##0.00\);_(* "-"??_);_(@_)</c:formatCode>
                <c:ptCount val="1"/>
                <c:pt idx="0">
                  <c:v>299280.87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2-4EA7-B2B1-EB6BA4CBC1DF}"/>
            </c:ext>
          </c:extLst>
        </c:ser>
        <c:ser>
          <c:idx val="1"/>
          <c:order val="1"/>
          <c:tx>
            <c:v>2019</c:v>
          </c:tx>
          <c:spPr>
            <a:solidFill>
              <a:srgbClr val="EEEADE"/>
            </a:solidFill>
            <a:ln>
              <a:noFill/>
            </a:ln>
            <a:effectLst>
              <a:outerShdw blurRad="63500" dist="25400" dir="5400000" rotWithShape="0">
                <a:srgbClr val="000000">
                  <a:alpha val="4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13200000"/>
              </a:lightRig>
            </a:scene3d>
            <a:sp3d prstMaterial="dkEdge">
              <a:bevelT w="63500" h="50800" prst="relaxedInset"/>
            </a:sp3d>
          </c:spPr>
          <c:invertIfNegative val="0"/>
          <c:val>
            <c:numRef>
              <c:f>'Comparativo anual'!$D$19</c:f>
              <c:numCache>
                <c:formatCode>_(* #,##0.00_);_(* \(#,##0.00\);_(* "-"??_);_(@_)</c:formatCode>
                <c:ptCount val="1"/>
                <c:pt idx="0">
                  <c:v>726159.57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2-4EA7-B2B1-EB6BA4CBC1DF}"/>
            </c:ext>
          </c:extLst>
        </c:ser>
        <c:ser>
          <c:idx val="2"/>
          <c:order val="2"/>
          <c:tx>
            <c:v>2020</c:v>
          </c:tx>
          <c:spPr>
            <a:gradFill rotWithShape="1">
              <a:gsLst>
                <a:gs pos="0">
                  <a:schemeClr val="accent3">
                    <a:shade val="15000"/>
                    <a:satMod val="180000"/>
                  </a:schemeClr>
                </a:gs>
                <a:gs pos="50000">
                  <a:schemeClr val="accent3">
                    <a:shade val="45000"/>
                    <a:satMod val="170000"/>
                  </a:schemeClr>
                </a:gs>
                <a:gs pos="70000">
                  <a:schemeClr val="accent3">
                    <a:tint val="99000"/>
                    <a:shade val="65000"/>
                    <a:satMod val="155000"/>
                  </a:schemeClr>
                </a:gs>
                <a:gs pos="100000">
                  <a:schemeClr val="accent3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4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13200000"/>
              </a:lightRig>
            </a:scene3d>
            <a:sp3d prstMaterial="dkEdge">
              <a:bevelT w="63500" h="50800" prst="relaxedInset"/>
            </a:sp3d>
          </c:spPr>
          <c:invertIfNegative val="0"/>
          <c:val>
            <c:numRef>
              <c:f>'Comparativo anual'!$F$19</c:f>
              <c:numCache>
                <c:formatCode>_(* #,##0.00_);_(* \(#,##0.00\);_(* "-"??_);_(@_)</c:formatCode>
                <c:ptCount val="1"/>
                <c:pt idx="0">
                  <c:v>745066.28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2-4EA7-B2B1-EB6BA4CBC1DF}"/>
            </c:ext>
          </c:extLst>
        </c:ser>
        <c:ser>
          <c:idx val="3"/>
          <c:order val="3"/>
          <c:tx>
            <c:v>2021</c:v>
          </c:tx>
          <c:spPr>
            <a:gradFill rotWithShape="1">
              <a:gsLst>
                <a:gs pos="0">
                  <a:schemeClr val="accent4">
                    <a:shade val="15000"/>
                    <a:satMod val="180000"/>
                  </a:schemeClr>
                </a:gs>
                <a:gs pos="50000">
                  <a:schemeClr val="accent4">
                    <a:shade val="45000"/>
                    <a:satMod val="170000"/>
                  </a:schemeClr>
                </a:gs>
                <a:gs pos="70000">
                  <a:schemeClr val="accent4">
                    <a:tint val="99000"/>
                    <a:shade val="65000"/>
                    <a:satMod val="155000"/>
                  </a:schemeClr>
                </a:gs>
                <a:gs pos="100000">
                  <a:schemeClr val="accent4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4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13200000"/>
              </a:lightRig>
            </a:scene3d>
            <a:sp3d prstMaterial="dkEdge">
              <a:bevelT w="63500" h="50800" prst="relaxedInset"/>
            </a:sp3d>
          </c:spPr>
          <c:invertIfNegative val="0"/>
          <c:val>
            <c:numRef>
              <c:f>'Comparativo anual'!$H$19</c:f>
              <c:numCache>
                <c:formatCode>_(* #,##0.00_);_(* \(#,##0.00\);_(* "-"??_);_(@_)</c:formatCode>
                <c:ptCount val="1"/>
                <c:pt idx="0">
                  <c:v>1319777.52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72-4EA7-B2B1-EB6BA4CBC1DF}"/>
            </c:ext>
          </c:extLst>
        </c:ser>
        <c:ser>
          <c:idx val="4"/>
          <c:order val="4"/>
          <c:tx>
            <c:v>2022</c:v>
          </c:tx>
          <c:spPr>
            <a:gradFill rotWithShape="1">
              <a:gsLst>
                <a:gs pos="0">
                  <a:schemeClr val="accent5">
                    <a:shade val="15000"/>
                    <a:satMod val="180000"/>
                  </a:schemeClr>
                </a:gs>
                <a:gs pos="50000">
                  <a:schemeClr val="accent5">
                    <a:shade val="45000"/>
                    <a:satMod val="170000"/>
                  </a:schemeClr>
                </a:gs>
                <a:gs pos="70000">
                  <a:schemeClr val="accent5">
                    <a:tint val="99000"/>
                    <a:shade val="65000"/>
                    <a:satMod val="155000"/>
                  </a:schemeClr>
                </a:gs>
                <a:gs pos="100000">
                  <a:schemeClr val="accent5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4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13200000"/>
              </a:lightRig>
            </a:scene3d>
            <a:sp3d prstMaterial="dkEdge">
              <a:bevelT w="63500" h="50800" prst="relaxedInset"/>
            </a:sp3d>
          </c:spPr>
          <c:invertIfNegative val="0"/>
          <c:val>
            <c:numRef>
              <c:f>'Comparativo anual'!$J$19</c:f>
              <c:numCache>
                <c:formatCode>_(* #,##0.00_);_(* \(#,##0.00\);_(* "-"??_);_(@_)</c:formatCode>
                <c:ptCount val="1"/>
                <c:pt idx="0">
                  <c:v>1941616.62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72-4EA7-B2B1-EB6BA4CBC1DF}"/>
            </c:ext>
          </c:extLst>
        </c:ser>
        <c:ser>
          <c:idx val="5"/>
          <c:order val="5"/>
          <c:tx>
            <c:v>2023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'Comparativo anual'!$L$19</c:f>
              <c:numCache>
                <c:formatCode>_(* #,##0.00_);_(* \(#,##0.00\);_(* "-"??_);_(@_)</c:formatCode>
                <c:ptCount val="1"/>
                <c:pt idx="0">
                  <c:v>1997756.27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72-4EA7-B2B1-EB6BA4CBC1DF}"/>
            </c:ext>
          </c:extLst>
        </c:ser>
        <c:ser>
          <c:idx val="6"/>
          <c:order val="6"/>
          <c:tx>
            <c:v>2024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'Comparativo anual'!$N$19</c:f>
              <c:numCache>
                <c:formatCode>#,##0.00_ ;[Red]\-#,##0.00\ </c:formatCode>
                <c:ptCount val="1"/>
                <c:pt idx="0">
                  <c:v>2020941.98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9-4DEA-9129-9C353ADA3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1110848"/>
        <c:axId val="-2126111024"/>
      </c:barChart>
      <c:catAx>
        <c:axId val="145111084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2126111024"/>
        <c:crosses val="autoZero"/>
        <c:auto val="1"/>
        <c:lblAlgn val="ctr"/>
        <c:lblOffset val="100"/>
        <c:noMultiLvlLbl val="0"/>
      </c:catAx>
      <c:valAx>
        <c:axId val="-21261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4382C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11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03124085543553"/>
          <c:y val="0.90576526273938496"/>
          <c:w val="0.70680367693115065"/>
          <c:h val="7.7463421409704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44382C"/>
              </a:solidFill>
              <a:latin typeface="Gill Sans MT"/>
              <a:ea typeface="Gill Sans MT"/>
              <a:cs typeface="Gill Sans MT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EEEADE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MARGEM DE LUCRO</a:t>
            </a:r>
          </a:p>
        </c:rich>
      </c:tx>
      <c:layout>
        <c:manualLayout>
          <c:xMode val="edge"/>
          <c:yMode val="edge"/>
          <c:x val="0.29131236046552073"/>
          <c:y val="2.8561993467383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1148936837956732E-2"/>
          <c:y val="0.12272268224536449"/>
          <c:w val="0.90271911893135193"/>
          <c:h val="0.73572263144526284"/>
        </c:manualLayout>
      </c:layout>
      <c:barChart>
        <c:barDir val="col"/>
        <c:grouping val="clustered"/>
        <c:varyColors val="0"/>
        <c:ser>
          <c:idx val="0"/>
          <c:order val="0"/>
          <c:tx>
            <c:v>2018</c:v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'Comparativo anual'!$C$20</c:f>
              <c:numCache>
                <c:formatCode>0.00%</c:formatCode>
                <c:ptCount val="1"/>
                <c:pt idx="0">
                  <c:v>9.7900000000000001E-2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4-473E-9052-337EA6137254}"/>
            </c:ext>
          </c:extLst>
        </c:ser>
        <c:ser>
          <c:idx val="1"/>
          <c:order val="1"/>
          <c:tx>
            <c:v>2019</c:v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'Comparativo anual'!$D$20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4-473E-9052-337EA6137254}"/>
            </c:ext>
          </c:extLst>
        </c:ser>
        <c:ser>
          <c:idx val="2"/>
          <c:order val="2"/>
          <c:tx>
            <c:v>2020</c:v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'Comparativo anual'!$F$20</c:f>
              <c:numCache>
                <c:formatCode>0%</c:formatCode>
                <c:ptCount val="1"/>
                <c:pt idx="0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4-473E-9052-337EA6137254}"/>
            </c:ext>
          </c:extLst>
        </c:ser>
        <c:ser>
          <c:idx val="3"/>
          <c:order val="3"/>
          <c:tx>
            <c:v>2021</c:v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'Comparativo anual'!$H$20</c:f>
              <c:numCache>
                <c:formatCode>0%</c:formatCode>
                <c:ptCount val="1"/>
                <c:pt idx="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4-473E-9052-337EA6137254}"/>
            </c:ext>
          </c:extLst>
        </c:ser>
        <c:ser>
          <c:idx val="4"/>
          <c:order val="4"/>
          <c:tx>
            <c:v>2022</c:v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'Comparativo anual'!$J$20</c:f>
              <c:numCache>
                <c:formatCode>0%</c:formatCode>
                <c:ptCount val="1"/>
                <c:pt idx="0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4-473E-9052-337EA6137254}"/>
            </c:ext>
          </c:extLst>
        </c:ser>
        <c:ser>
          <c:idx val="5"/>
          <c:order val="5"/>
          <c:tx>
            <c:v>2023</c:v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'Comparativo anual'!$L$20</c:f>
              <c:numCache>
                <c:formatCode>0%</c:formatCode>
                <c:ptCount val="1"/>
                <c:pt idx="0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4-473E-9052-337EA6137254}"/>
            </c:ext>
          </c:extLst>
        </c:ser>
        <c:ser>
          <c:idx val="6"/>
          <c:order val="6"/>
          <c:tx>
            <c:v>2024</c:v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'Comparativo anual'!$N$20</c:f>
              <c:numCache>
                <c:formatCode>0%</c:formatCode>
                <c:ptCount val="1"/>
                <c:pt idx="0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E-4876-9950-FB60B56396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451110848"/>
        <c:axId val="-2126111024"/>
      </c:barChart>
      <c:catAx>
        <c:axId val="145111084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2126111024"/>
        <c:crosses val="autoZero"/>
        <c:auto val="1"/>
        <c:lblAlgn val="ctr"/>
        <c:lblOffset val="100"/>
        <c:noMultiLvlLbl val="0"/>
      </c:catAx>
      <c:valAx>
        <c:axId val="-2126111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45111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811681992606485"/>
          <c:y val="0.8799497607442589"/>
          <c:w val="0.72980238792306051"/>
          <c:h val="7.9472806723486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</a:t>
            </a:r>
          </a:p>
        </c:rich>
      </c:tx>
      <c:layout>
        <c:manualLayout>
          <c:xMode val="edge"/>
          <c:yMode val="edge"/>
          <c:x val="0.36409612489005844"/>
          <c:y val="2.9356668083273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372420296953702"/>
          <c:y val="0.13665728683060777"/>
          <c:w val="0.90271911893135193"/>
          <c:h val="0.7357226314452628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'Comparativo anual'!$F$4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'Comparativo anual'!$B$5:$B$18</c:f>
              <c:strCache>
                <c:ptCount val="14"/>
                <c:pt idx="0">
                  <c:v>RECEITA</c:v>
                </c:pt>
                <c:pt idx="1">
                  <c:v>CUSTOS VARIÁVEIS</c:v>
                </c:pt>
                <c:pt idx="2">
                  <c:v>Impostos</c:v>
                </c:pt>
                <c:pt idx="3">
                  <c:v>Comissões</c:v>
                </c:pt>
                <c:pt idx="4">
                  <c:v>MARGEM DE CONTRIBUIÇÃO</c:v>
                </c:pt>
                <c:pt idx="5">
                  <c:v>CUSTOS FIXOS</c:v>
                </c:pt>
                <c:pt idx="6">
                  <c:v>Funcionários</c:v>
                </c:pt>
                <c:pt idx="7">
                  <c:v>Pro labore</c:v>
                </c:pt>
                <c:pt idx="8">
                  <c:v>Retirada padrão</c:v>
                </c:pt>
                <c:pt idx="9">
                  <c:v>CUSTOS NÃO OPERACIONAIS</c:v>
                </c:pt>
                <c:pt idx="10">
                  <c:v>Diversos</c:v>
                </c:pt>
                <c:pt idx="11">
                  <c:v>Reforma/ Carro</c:v>
                </c:pt>
                <c:pt idx="12">
                  <c:v>RESULTADO</c:v>
                </c:pt>
                <c:pt idx="13">
                  <c:v>PONTO EQUILIBRIO</c:v>
                </c:pt>
              </c:strCache>
            </c:strRef>
          </c:cat>
          <c:val>
            <c:numRef>
              <c:f>'Comparativo anual'!$E$5</c:f>
              <c:numCache>
                <c:formatCode>0%</c:formatCode>
                <c:ptCount val="1"/>
                <c:pt idx="0">
                  <c:v>1.4601640771476823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F-4739-9D31-C6B528729F5A}"/>
            </c:ext>
          </c:extLst>
        </c:ser>
        <c:ser>
          <c:idx val="3"/>
          <c:order val="1"/>
          <c:tx>
            <c:strRef>
              <c:f>'Comparativo anual'!$H$4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'Comparativo anual'!$B$5:$B$18</c:f>
              <c:strCache>
                <c:ptCount val="14"/>
                <c:pt idx="0">
                  <c:v>RECEITA</c:v>
                </c:pt>
                <c:pt idx="1">
                  <c:v>CUSTOS VARIÁVEIS</c:v>
                </c:pt>
                <c:pt idx="2">
                  <c:v>Impostos</c:v>
                </c:pt>
                <c:pt idx="3">
                  <c:v>Comissões</c:v>
                </c:pt>
                <c:pt idx="4">
                  <c:v>MARGEM DE CONTRIBUIÇÃO</c:v>
                </c:pt>
                <c:pt idx="5">
                  <c:v>CUSTOS FIXOS</c:v>
                </c:pt>
                <c:pt idx="6">
                  <c:v>Funcionários</c:v>
                </c:pt>
                <c:pt idx="7">
                  <c:v>Pro labore</c:v>
                </c:pt>
                <c:pt idx="8">
                  <c:v>Retirada padrão</c:v>
                </c:pt>
                <c:pt idx="9">
                  <c:v>CUSTOS NÃO OPERACIONAIS</c:v>
                </c:pt>
                <c:pt idx="10">
                  <c:v>Diversos</c:v>
                </c:pt>
                <c:pt idx="11">
                  <c:v>Reforma/ Carro</c:v>
                </c:pt>
                <c:pt idx="12">
                  <c:v>RESULTADO</c:v>
                </c:pt>
                <c:pt idx="13">
                  <c:v>PONTO EQUILIBRIO</c:v>
                </c:pt>
              </c:strCache>
            </c:strRef>
          </c:cat>
          <c:val>
            <c:numRef>
              <c:f>'Comparativo anual'!$G$5</c:f>
              <c:numCache>
                <c:formatCode>0%</c:formatCode>
                <c:ptCount val="1"/>
                <c:pt idx="0">
                  <c:v>0.24330265292586339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5F-4739-9D31-C6B528729F5A}"/>
            </c:ext>
          </c:extLst>
        </c:ser>
        <c:ser>
          <c:idx val="4"/>
          <c:order val="2"/>
          <c:tx>
            <c:strRef>
              <c:f>'Comparativo anual'!$J$4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'Comparativo anual'!$B$5:$B$18</c:f>
              <c:strCache>
                <c:ptCount val="14"/>
                <c:pt idx="0">
                  <c:v>RECEITA</c:v>
                </c:pt>
                <c:pt idx="1">
                  <c:v>CUSTOS VARIÁVEIS</c:v>
                </c:pt>
                <c:pt idx="2">
                  <c:v>Impostos</c:v>
                </c:pt>
                <c:pt idx="3">
                  <c:v>Comissões</c:v>
                </c:pt>
                <c:pt idx="4">
                  <c:v>MARGEM DE CONTRIBUIÇÃO</c:v>
                </c:pt>
                <c:pt idx="5">
                  <c:v>CUSTOS FIXOS</c:v>
                </c:pt>
                <c:pt idx="6">
                  <c:v>Funcionários</c:v>
                </c:pt>
                <c:pt idx="7">
                  <c:v>Pro labore</c:v>
                </c:pt>
                <c:pt idx="8">
                  <c:v>Retirada padrão</c:v>
                </c:pt>
                <c:pt idx="9">
                  <c:v>CUSTOS NÃO OPERACIONAIS</c:v>
                </c:pt>
                <c:pt idx="10">
                  <c:v>Diversos</c:v>
                </c:pt>
                <c:pt idx="11">
                  <c:v>Reforma/ Carro</c:v>
                </c:pt>
                <c:pt idx="12">
                  <c:v>RESULTADO</c:v>
                </c:pt>
                <c:pt idx="13">
                  <c:v>PONTO EQUILIBRIO</c:v>
                </c:pt>
              </c:strCache>
            </c:strRef>
          </c:cat>
          <c:val>
            <c:numRef>
              <c:f>'Comparativo anual'!$I$5</c:f>
              <c:numCache>
                <c:formatCode>0%</c:formatCode>
                <c:ptCount val="1"/>
                <c:pt idx="0">
                  <c:v>0.80008117643722332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5F-4739-9D31-C6B528729F5A}"/>
            </c:ext>
          </c:extLst>
        </c:ser>
        <c:ser>
          <c:idx val="5"/>
          <c:order val="3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'Comparativo anual'!$K$5</c:f>
              <c:numCache>
                <c:formatCode>0%</c:formatCode>
                <c:ptCount val="1"/>
                <c:pt idx="0">
                  <c:v>0.42163573403805593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5F-4739-9D31-C6B528729F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1110848"/>
        <c:axId val="-2126111024"/>
      </c:barChart>
      <c:catAx>
        <c:axId val="1451110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26111024"/>
        <c:crosses val="autoZero"/>
        <c:auto val="1"/>
        <c:lblAlgn val="ctr"/>
        <c:lblOffset val="100"/>
        <c:noMultiLvlLbl val="0"/>
      </c:catAx>
      <c:valAx>
        <c:axId val="-21261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11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'Graficos anuais'!$B$9</c:f>
              <c:strCache>
                <c:ptCount val="1"/>
                <c:pt idx="0">
                  <c:v> Receita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'Graficos anuais'!$A$10:$A$15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'Graficos anuais'!$B$10:$B$15</c:f>
              <c:numCache>
                <c:formatCode>_(* #,##0.00_);_(* \(#,##0.00\);_(* "-"??_);_(@_)</c:formatCode>
                <c:ptCount val="6"/>
                <c:pt idx="0">
                  <c:v>369928.42</c:v>
                </c:pt>
                <c:pt idx="1">
                  <c:v>910084.6100000001</c:v>
                </c:pt>
                <c:pt idx="2">
                  <c:v>1131510.6099999999</c:v>
                </c:pt>
                <c:pt idx="3" formatCode="#,##0.00">
                  <c:v>2036810.95</c:v>
                </c:pt>
                <c:pt idx="4" formatCode="#,##0.00">
                  <c:v>2895603.2300000004</c:v>
                </c:pt>
                <c:pt idx="5">
                  <c:v>2807190.32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8-45C3-B8AF-9CAD893A1A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26480768"/>
        <c:axId val="1622831200"/>
      </c:barChart>
      <c:catAx>
        <c:axId val="18264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2831200"/>
        <c:crosses val="autoZero"/>
        <c:auto val="1"/>
        <c:lblAlgn val="ctr"/>
        <c:lblOffset val="100"/>
        <c:noMultiLvlLbl val="0"/>
      </c:catAx>
      <c:valAx>
        <c:axId val="16228312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182648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'Graficos anuais'!$B$27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'Graficos anuais'!$A$28:$A$33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'Graficos anuais'!$B$28:$B$33</c:f>
              <c:numCache>
                <c:formatCode>#,##0.00</c:formatCode>
                <c:ptCount val="6"/>
                <c:pt idx="0">
                  <c:v>36211.059999999954</c:v>
                </c:pt>
                <c:pt idx="1">
                  <c:v>183925.04000000027</c:v>
                </c:pt>
                <c:pt idx="2">
                  <c:v>386444.32999999996</c:v>
                </c:pt>
                <c:pt idx="3">
                  <c:v>717033.43</c:v>
                </c:pt>
                <c:pt idx="4">
                  <c:v>953986.60999999975</c:v>
                </c:pt>
                <c:pt idx="5" formatCode="_(* #,##0.00_);_(* \(#,##0.00\);_(* &quot;-&quot;??_);_(@_)">
                  <c:v>809434.05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3-4D26-8B11-7D51B49682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1468768"/>
        <c:axId val="1617820912"/>
      </c:barChart>
      <c:catAx>
        <c:axId val="14146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7820912"/>
        <c:crosses val="autoZero"/>
        <c:auto val="1"/>
        <c:lblAlgn val="ctr"/>
        <c:lblOffset val="100"/>
        <c:noMultiLvlLbl val="0"/>
      </c:catAx>
      <c:valAx>
        <c:axId val="16178209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14146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323850</xdr:colOff>
      <xdr:row>3</xdr:row>
      <xdr:rowOff>57150</xdr:rowOff>
    </xdr:from>
    <xdr:to>
      <xdr:col>37</xdr:col>
      <xdr:colOff>1438275</xdr:colOff>
      <xdr:row>51</xdr:row>
      <xdr:rowOff>28575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DCF1C3A-D805-4F49-A731-F39D2B01469E}"/>
            </a:ext>
          </a:extLst>
        </xdr:cNvPr>
        <xdr:cNvSpPr txBox="1"/>
      </xdr:nvSpPr>
      <xdr:spPr>
        <a:xfrm>
          <a:off x="22555200" y="628650"/>
          <a:ext cx="4248150" cy="825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Análise da</a:t>
          </a:r>
          <a:r>
            <a:rPr lang="pt-BR" sz="1100" b="1" baseline="0"/>
            <a:t> Margem de Lucro e Ponto de Equilíbrio</a:t>
          </a:r>
          <a:endParaRPr lang="pt-BR" sz="1100" b="1"/>
        </a:p>
        <a:p>
          <a:endParaRPr lang="pt-BR" sz="1100"/>
        </a:p>
        <a:p>
          <a:r>
            <a:rPr lang="pt-BR" sz="1100"/>
            <a:t>Como a empresa teve um faturamento</a:t>
          </a:r>
          <a:r>
            <a:rPr lang="pt-BR" sz="1100" baseline="0"/>
            <a:t> em 7 meses, e em apenas 5 um valor normal desejado de faturamento, seu recebimento anual de comissões atingiu o valor de R$ 335.491,93. Para cobrir custos variáves, aqueles que têm ligação direta com as vendas, a empresa necessitou de apenas 9,46% de seu faturamento, ou seja, R$ 31.737,53. </a:t>
          </a:r>
        </a:p>
        <a:p>
          <a:r>
            <a:rPr lang="pt-BR" sz="1100" baseline="0"/>
            <a:t>A margem de contribuição mostra que do total da receita, 90,54% ficou com a empresa para pagar as despesas fixas e custos não operacionais e gerar lucro; assim,  calculando-se o ponto de equilíbrio, esse indicador mostra que a empresa utilizou 88,8% de seu faturamento para suprir os custos fixos e não operacionais, sobrando, assim, uma média 10,79% de lucro líquido.</a:t>
          </a:r>
        </a:p>
        <a:p>
          <a:r>
            <a:rPr lang="pt-BR" sz="1100" baseline="0"/>
            <a:t>Com esta análise, pode-se verificar que o custo não operacional da empresa foi alto e eventual, visto que nele está incluso todos os gastos com o ínicio da empresa, como móveis, utensílios, equipamentos, manutenções, num período que não houve faturamento, gerando o imobilizado da empresa; houve também a compra de um automóvel, o que elevou o valor desse custo não operacional. </a:t>
          </a:r>
        </a:p>
        <a:p>
          <a:r>
            <a:rPr lang="pt-BR" sz="1100" baseline="0"/>
            <a:t>Baseado na média de faturamento desses 7 meses em que houve recebimento da produção, fazendo-se uma projeção anual, seria estimado um faturamento de R$ 575.129,02, o que seria suficiente para custear todos os gastos fixos, variáveis e não operacionais e gerar lucro. </a:t>
          </a:r>
        </a:p>
        <a:p>
          <a:r>
            <a:rPr lang="pt-BR" sz="1100" baseline="0"/>
            <a:t>Como em 2018 houve somente alguns meses recebidos, visto que a empresa iniciou suas operações efetivamente em maio, o valor recebido no ano foi suficiente para cobrir todos os gastos com a operação, gerando ainda, um lucro financeiro de R$ 36.211,06.</a:t>
          </a:r>
        </a:p>
        <a:p>
          <a:r>
            <a:rPr lang="pt-BR" sz="1100" baseline="0"/>
            <a:t>Calculando-se o resultado financeiro excluindo os custos não operacionais, tem-se um resultado positivo de R$ 157.051,85, gerando, portanto, uma boa projeção para o ano de 2019, que, se seguir o mesmo padrão de recebimentos e gastos, em menos de 7 meses seria capaz de suprir com todos os seus custos e despesas fixas e variáveis geradas no ano todo, e 5 meses seria gerado lucro, já que com 7 meses de operação a empresa paga todas as suas contas.</a:t>
          </a:r>
        </a:p>
        <a:p>
          <a:endParaRPr lang="pt-BR" sz="1100" baseline="0"/>
        </a:p>
        <a:p>
          <a:endParaRPr lang="pt-BR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47625</xdr:colOff>
      <xdr:row>1</xdr:row>
      <xdr:rowOff>95250</xdr:rowOff>
    </xdr:from>
    <xdr:to>
      <xdr:col>33</xdr:col>
      <xdr:colOff>447675</xdr:colOff>
      <xdr:row>62</xdr:row>
      <xdr:rowOff>9525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0693592-FDE5-45B8-BC29-FF364A8013CA}"/>
            </a:ext>
          </a:extLst>
        </xdr:cNvPr>
        <xdr:cNvSpPr txBox="1"/>
      </xdr:nvSpPr>
      <xdr:spPr>
        <a:xfrm>
          <a:off x="28346400" y="266700"/>
          <a:ext cx="4248150" cy="825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Análise Financeira 2019</a:t>
          </a:r>
        </a:p>
        <a:p>
          <a:endParaRPr lang="pt-BR" sz="1100"/>
        </a:p>
        <a:p>
          <a:r>
            <a:rPr lang="pt-BR" sz="1100"/>
            <a:t>O recebimento anual de comissões no ano de 2019</a:t>
          </a:r>
          <a:r>
            <a:rPr lang="pt-BR" sz="1100" baseline="0"/>
            <a:t> atingiu o valor de R$ 909.561,00, fazendo uma média mensal de R$ 75.796,75 durante o ano. Como a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projeção de faturamento seguia os valores recebidos em 2018, e estes foram menores que a metade da média mensal deste ano, percebe-se</a:t>
          </a:r>
          <a:r>
            <a:rPr lang="pt-BR" sz="1100" baseline="0"/>
            <a:t> que, o ano de 2019 teve um crescimento maior que o projetado, em 2018, o faturamento foi de R$ 335.491,93 em 7 meses de operação, fazendo uma projeção anual em 2018, teria-se uma receita de R$ 575.129,02; </a:t>
          </a:r>
          <a:r>
            <a:rPr lang="pt-BR" sz="1100" b="1" u="sng" baseline="0"/>
            <a:t>já em 2019, R$ 909.561,00, um aumento de 58% se comparado à receita de 2018.</a:t>
          </a:r>
        </a:p>
        <a:p>
          <a:r>
            <a:rPr lang="pt-BR" sz="1100" baseline="0"/>
            <a:t>Porém, analisando a entrada e saída de clientes durante o ano, e também os maiores clientes, é possível verificar que esse aumento no faturamento não foi devido a entrada de novos clientes, e sim, pelo aumento das operações de alguns clientes. No segundo semestre de 2018, o cliente Nelson Heusi entrou, e em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abril ocorreu um agravo de 50% na taxa, este cliente em</a:t>
          </a:r>
          <a:r>
            <a:rPr lang="pt-BR" sz="1100" baseline="0"/>
            <a:t> 2019 foi responsável por 12% do faturamento anual, ficando abaixo apenas do cliente Tecadi, que atingiu a média de 27%, pois, além de ter um prêmio mensal alto, fechou ainda a frota no primeiro semestre, e no segundo, com a entrada de uma operação grande no cálculo do prêmio mensal. Abaixo destes, seguiram Portoex, Icaro e R&amp;D. Estes 5 clientes foram responsáveis por quase 71% do faturamento da empresa, pois adquiriram também, seguros de outros ramos, o que faz destes, os maiores clientes da corretora.</a:t>
          </a:r>
          <a:endParaRPr lang="pt-BR" sz="1100"/>
        </a:p>
        <a:p>
          <a:r>
            <a:rPr lang="pt-BR" sz="1100" baseline="0"/>
            <a:t>Para cobrir custos variáves, aqueles que têm ligação direta com as vendas, a empresa necessitou de 10,95% de seu faturamento, ou seja, R$ 99.598,21, o que seguiu a mesma média percentual do ano anterior. </a:t>
          </a:r>
        </a:p>
        <a:p>
          <a:r>
            <a:rPr lang="pt-BR" sz="1100" baseline="0"/>
            <a:t>A margem de contribuição mostra que do total da receita, 89,05% ficou com a empresa para pagar os custos fixos e os não operacionais e gerar lucro; destes, foram utilizados para pagamento destas despesas, um percentual de 71,41%, sendo 25,6% despesas com funcionários e 9,86% em retirada de lucros.  O percentual de despesas aumentou de acordo com o faturamento, em 2018, o total das despesas foi de R$ 299.280,87, em 2019, o total foi de R$ 749.159,57, um aumento de 150%. O ponto de equilíbrio mostra que a empresa utilizou-se de 80,2% de seu faturamento para suprir os custos fixos e não operacionais, verifica-se portanto, que em 2019, sobrou de lucro líquido, uma média de 18%, ou seja, um lucro financeiro de R$ 160.401,43.</a:t>
          </a:r>
        </a:p>
        <a:p>
          <a:r>
            <a:rPr lang="pt-BR" sz="1100" baseline="0"/>
            <a:t>Com isso, a empresa pôde fazer um investimento em aplicações financeiras no valor total de R$ 150.000,00 durante o ano, as quais tiveram um rendimento de R$ 7.276,80, totalizando assim, um saldo de investimentos no valor de R$ 250.650,84, o que é suficiente para cobrir, em 2020, 4 meses de despesas mantendo um ritmo normal de operação.</a:t>
          </a:r>
        </a:p>
        <a:p>
          <a:r>
            <a:rPr lang="pt-BR" sz="1100" baseline="0"/>
            <a:t>Conclui-se portanto, que o ano de 2019 foi muito bom para a empresa, pois, o faturamento foi maior que o esperado, fazendo com que a mesma precisasse aumentar seu quadro de funcionários, direcionando mão de obra para a área de sinistros e também para o setor de ramos elementares, o que é normal para uma companhia deste ramo em crescimento. Com os números de 2019, é possível fazer uma boa projeção para o ano de 2020, através de fechamentos de novos clientes, já que a sociedade vêm investindo na capacitação da área comercial, bem como no marketing, ações que, em conjunto, devem surgir efeitos positivos em breve. </a:t>
          </a:r>
        </a:p>
        <a:p>
          <a:r>
            <a:rPr lang="pt-BR" sz="1100" b="1" u="sng" baseline="0"/>
            <a:t>Sobre a produção  mensal da corretora, tivemos um aumento de 31% em 2019 sobre 2018</a:t>
          </a:r>
          <a:r>
            <a:rPr lang="pt-BR" sz="1100" baseline="0"/>
            <a:t>. Foram 480 mil em prêmios em 2018 em 8 messes, com média de 60 mil mensais. Já em 2019 foram 943,5 em prêmios, com média mensal de 78,6 mil.</a:t>
          </a:r>
        </a:p>
        <a:p>
          <a:endParaRPr lang="pt-BR" sz="1100" baseline="0"/>
        </a:p>
        <a:p>
          <a:endParaRPr lang="pt-BR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245270</xdr:colOff>
      <xdr:row>1</xdr:row>
      <xdr:rowOff>133349</xdr:rowOff>
    </xdr:from>
    <xdr:to>
      <xdr:col>31</xdr:col>
      <xdr:colOff>5038726</xdr:colOff>
      <xdr:row>62</xdr:row>
      <xdr:rowOff>142875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53FEE53-FD6E-4A9A-BA04-551DB83567A0}"/>
            </a:ext>
          </a:extLst>
        </xdr:cNvPr>
        <xdr:cNvSpPr txBox="1"/>
      </xdr:nvSpPr>
      <xdr:spPr>
        <a:xfrm>
          <a:off x="21095495" y="323849"/>
          <a:ext cx="4793456" cy="11439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Análise Financeira 2020</a:t>
          </a:r>
        </a:p>
        <a:p>
          <a:endParaRPr lang="pt-B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Tivemos em 2020 uma DESPESA de R$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1.055.066,28, incluso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R$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29.609,40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do pagamento do Compass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R$ 310.000,00 para a compra da nova sala. Descontando estas despesas, ficaria R$ 715.456,88 em 2020,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um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valor menor que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2019 com 749.159,57, resultado obtido com as contingências da Pandemia.</a:t>
          </a:r>
          <a:r>
            <a:rPr lang="pt-BR" sz="1100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RETIRADA do sócio foi de R$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122.526,40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com redução de 43% em relação a 2019 com R$ 215.693,03. No montante de 2019 houve o pagamento do empréstimo ao sócio, no valor de R$ 43.693,03 o que elevou o valor da retirada.</a:t>
          </a:r>
          <a:r>
            <a:rPr lang="pt-BR" sz="1100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RECEITA  foi de R$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1.131.510,61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 média mensal de R$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94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mil, com aumento de 24,3% em relação a 2019 com R$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910.084,61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média mensal de R$ 75.840 mil.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LUCRO FINANCEIRO, sem contar a retirada da compra da sala, foi de R$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350.950,23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com aumento de 119% em relação a 2019, com 160 mil.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Quanto a INVESTIMENTOS, fechamos o ano de 2019 com R$ 250.650,84, e em 2020 com saldo final de R$ 301.000,00, sendo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investido R$ 198 mil para a compra da sala. Para essa aquisição foi transferido para o sócio o valor total de R$ 310.000,00.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PRODUÇÃO foi de 1,2 milhão com média de 100 mil, com aumento de 27% em relação a 2019 com 942mil e 78,5 mil.</a:t>
          </a:r>
          <a:r>
            <a:rPr lang="pt-BR" sz="1100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PRÊMIO DE TRANSPORTES foi de 3,550 milhões com média de 295,8 mil, com aumento de 14% em relação a 2019 com 2,869 milhões e 239,1 mil.</a:t>
          </a:r>
          <a:r>
            <a:rPr lang="pt-BR" sz="1100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PRÊMIO DE TRANSPORTES DE OUTUBRO, NOVEMBRO E DEZEMBRO foi de R$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1.208.383,97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com aumento de 42% em relação a 2019 com R$ 851.028,13.</a:t>
          </a:r>
          <a:r>
            <a:rPr lang="pt-BR" sz="1100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COMISSÃO DE TRANSPORTES DE OUTUBRO, NOVEMBRO e DEZEMBRO foi de R$ 348.773,12 mil, com aumento de 46% em relação a 2019 com R$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238.857,43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pt-BR" sz="1100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PRÊMIO DO RE foi de 1,143 milhão, com aumento de 13,7% em relação a 2019, com 830,7 mil.</a:t>
          </a:r>
          <a:r>
            <a:rPr lang="pt-BR" sz="1100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COMISSÃO DO RE foi de 186,2 mil, com aumento de 112% em relação a 2019, com 88,3 mil.</a:t>
          </a:r>
          <a:r>
            <a:rPr lang="pt-BR" sz="1100"/>
            <a:t> </a:t>
          </a:r>
        </a:p>
        <a:p>
          <a:r>
            <a:rPr lang="pt-BR" sz="1100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 5 MAIORES CLIENTES DE TRANSPORTES representaram 47 % da produção total de Transportes</a:t>
          </a:r>
          <a:r>
            <a:rPr lang="pt-BR" sz="1100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Cada um destes clientes perfaz o montante de: Four Transportes - 17,6% / Nelson Heusi - 12,26% / Icaro e Deutsche - 7,67% / Portoex - 6,6% / LPS - 2,87%</a:t>
          </a:r>
          <a:r>
            <a:rPr lang="pt-BR" sz="1100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5 MAIORES DO RE representaram 57 % da produção total do RE</a:t>
          </a:r>
          <a:r>
            <a:rPr lang="pt-BR" sz="1100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Cada um destes clientes perfaz o montante de: Four Transportes - 29,3% / Charles Dimon - 11% / R&amp;D Cargo - 7,4% / Portoex - 5,4% / Schoeler - 3,86%</a:t>
          </a:r>
          <a:r>
            <a:rPr lang="pt-BR" sz="1100"/>
            <a:t> </a:t>
          </a:r>
        </a:p>
        <a:p>
          <a:endParaRPr lang="pt-B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Quanto a PRODUÇÃO NOVA EM TRANSPORTES, teremos cerca de 30 mil mensais em comissão. Em 2019 foi de 3 mil e 2018 de 8 mil.</a:t>
          </a:r>
          <a:r>
            <a:rPr lang="pt-BR" sz="1100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Quanto a PERDA DE CLIENTES, não tivemos nenhuma de maior representatividade. Os maiores foram Dimon no Transportes.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Quanto ao INVESTIMENTO EM MARKETING, tivemos um montante de R$ 15.890,33. Em 2019 foi de R$ 1603,50</a:t>
          </a:r>
        </a:p>
        <a:p>
          <a:r>
            <a:rPr lang="pt-BR" sz="1100"/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Quanto a CLIENTES NOVOS PELO MARKETING, tivemos os fechamentos de Frederico Cogo (RC e DC) - Transportadora MB (RC) - ER Transportes (RC e DC) - CGM Transportes (Empresarial) e Tamires Quintanilha (Auto), com expectativa de arrecadação de R$ 1415,21.</a:t>
          </a:r>
          <a:r>
            <a:rPr lang="pt-BR" sz="1100"/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129540</xdr:colOff>
      <xdr:row>1</xdr:row>
      <xdr:rowOff>137160</xdr:rowOff>
    </xdr:from>
    <xdr:to>
      <xdr:col>36</xdr:col>
      <xdr:colOff>22860</xdr:colOff>
      <xdr:row>31</xdr:row>
      <xdr:rowOff>137160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8D89508-7CFE-4C3E-802A-813F90DD69E8}"/>
            </a:ext>
          </a:extLst>
        </xdr:cNvPr>
        <xdr:cNvSpPr txBox="1"/>
      </xdr:nvSpPr>
      <xdr:spPr>
        <a:xfrm>
          <a:off x="23119080" y="320040"/>
          <a:ext cx="4069080" cy="548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O</a:t>
          </a:r>
          <a:r>
            <a:rPr lang="pt-BR" sz="1100" baseline="0"/>
            <a:t> resultado obtido em 2021 foi de R$ 717.033,43, equivalente a 104% a mais que o resultado de 2020, que, descontando a compra da nova sala, seria de R$ 350.950,23.De receita anual,chegamos ao valor de R$ 2.036.810,95, com média mensal de R$ 169.596,30, um crescimento de 80% comparado ao ano anterior, que foi de R$ 1.131.510,61. De despesas totais, batemos o valor de R$ 2.024.977,52, contra R$ 1.055.066,28, 91% a mais que 2020, ambos inclusos a retirada excedente do sócio, compra da sala em 2020 e reforma da sala em 2021. Se excluir da base de cálculo a retirada excedente do sócio, tem-se um valor total de despesas no montante de R$ 1.319.777,52, contra R$ 745.066,28 em 2020, um aumento de 43%.  A retirada do sócio em 2021, atingiu o montante de R$ 880.200,00, um aumento de 718% comparado a 2020, que foi de R$ 122.526,40.</a:t>
          </a:r>
        </a:p>
        <a:p>
          <a:r>
            <a:rPr lang="pt-BR" sz="1100" baseline="0"/>
            <a:t>Com isso, chegamos a uma margem de lucro em 2021 de 35%, quase o mesmo de 2020, que foi de 34%.</a:t>
          </a:r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19050</xdr:colOff>
      <xdr:row>1</xdr:row>
      <xdr:rowOff>19050</xdr:rowOff>
    </xdr:from>
    <xdr:to>
      <xdr:col>39</xdr:col>
      <xdr:colOff>28575</xdr:colOff>
      <xdr:row>35</xdr:row>
      <xdr:rowOff>104775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3D7C58C-4DA1-45C0-81F3-FE65AA757099}"/>
            </a:ext>
          </a:extLst>
        </xdr:cNvPr>
        <xdr:cNvSpPr txBox="1"/>
      </xdr:nvSpPr>
      <xdr:spPr>
        <a:xfrm>
          <a:off x="22745700" y="209550"/>
          <a:ext cx="4276725" cy="6562725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Em 2022, obtivemos um crescimento no resultado de 33% em relação ao ano anteior, atingindo o valor de R$ 953.986,61. Em receita bruta anual, atingimos o valor de R$ 2.895.603,23, com média mensal de R$ 241.300,27, um crescimento de 42% em comparação ao ano de 2021.  No início do segundo semestre, foi firmado parceria com a Maria do Seguro, o que alavancou o crescimento de receita, porém, refletiu em um aumento de custo variável, saindo da média de 14,61% no primeiro semestre, para 19,25% no segundo semestre. Nos primeiros meses do ano e em agosto, tivemos uma receita referente a Intelbras, e no primeiro semestre, recebemos valores do cliente Peregrina. Referente as despesas, o valor foi de R$ 1.941.616,62, representando 47% a mais que em 2021, excluindo desse total, a retirada de sócio, que foi de R$ 740.000,00, um a diminuição de 20% em relação ao ano anterior. Com isso, finalizamos o ano com uma margem de lucro de 33%, abaixo dos ultimos dois anos.     		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O crescimento do faturamento foi de 28%, sendo 19% de crescimento no ramo de transportes e 93% de crescimento no departamento de ramos elementares. Tivemos um faturamento total de R$ 2.894.125,00, contra R$ 2.249.073,00 em 2021, atingindo um crescimento de 28%. Produção de novos clientes, no transportes: R$ 336.000,00 e no ramos elementares: R$ 148.000,00, totalizando R$ 484.000,00. Tivemos uma representatividade de clientes novos no transporte, de 14% e no ramos elementares, de 29%.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104775</xdr:colOff>
      <xdr:row>1</xdr:row>
      <xdr:rowOff>38100</xdr:rowOff>
    </xdr:from>
    <xdr:to>
      <xdr:col>31</xdr:col>
      <xdr:colOff>4781550</xdr:colOff>
      <xdr:row>28</xdr:row>
      <xdr:rowOff>171450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9D09F8B-7FDB-4C71-9A87-B6E1E6B8A71C}"/>
            </a:ext>
          </a:extLst>
        </xdr:cNvPr>
        <xdr:cNvSpPr txBox="1"/>
      </xdr:nvSpPr>
      <xdr:spPr>
        <a:xfrm>
          <a:off x="20631150" y="228600"/>
          <a:ext cx="4676775" cy="527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Para o ano de 2023, de acordo com a projeção, o crescimento seria de 25% em relação ao ano anterior, porém, isso não ocorreu. O resultado ficou em R$ 809.434,05, equivalente a 15% menor em relação ao resultado de 2022. A receita bruta, ficou em R$ 2.807.190,32, equivalente a 3% menor que a receita de 2022, neste valor, inclui o recebimento do PLR da Tokio, no valor de R$ 103.782,01. Os custos variáveis, que no segundo semestre de 2022 tiveram um aumento, devido ao repasse para a Maria do Seguro, se mantiveram no primeiro semestre de 2023, que ficou com uma média de 23% para 19% no segundo semestre. O imposto ref. a receita - Simples nacional, como é calculado 12 meses anteriores de faturamento, também sofreu um aumento, mesmo a receita sendo menor.</a:t>
          </a:r>
        </a:p>
        <a:p>
          <a:r>
            <a:rPr lang="pt-BR" sz="1100"/>
            <a:t>As despesas totais, somaram R$ 1.997.756,27, representando 2% a mais que o ano anterior. Nota-se que esta diferença se deu, em sua maioria, nos custos variáveis, pois, os custos não operacionais, diminuiram em 41%, devido a finalização da reforma da sala, mesmo com o início dos pagamentos ao emprestimo Badesc. Nos custos fixos, houve a contratação de escritorio de advocacia, porém, os custos com funcionários diminuiram e também com cursos e treinamentos, equivalente a 3% e 80%, respectivamente.</a:t>
          </a:r>
        </a:p>
        <a:p>
          <a:r>
            <a:rPr lang="pt-BR" sz="1100"/>
            <a:t>Chegamos a uma margem de lucro, de 29%, a mais baixa desde 2020, que foram: 2022: 33%, 2021: 35%, 2020: 34% e 2019: 20%. A projeção para esse indicador, seria de 36%.</a:t>
          </a:r>
        </a:p>
        <a:p>
          <a:r>
            <a:rPr lang="pt-BR" sz="1100"/>
            <a:t>Nota-se em 2023, a distribuição do faturamento, da seguinte forma: Custos variáveis em 21%, custos fixos em 47% e custos não operacionais em 3%, com um resultado de 29%.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323851</xdr:colOff>
      <xdr:row>4</xdr:row>
      <xdr:rowOff>190501</xdr:rowOff>
    </xdr:from>
    <xdr:ext cx="3966881" cy="2734234"/>
    <xdr:graphicFrame macro="">
      <xdr:nvGraphicFramePr>
        <xdr:cNvPr id="2" name="VisãoGeraldoOrçamento" descr="Visão geral do gráfico de barras mostrando despesas e receita estimadas em relação às reais">
          <a:extLst>
            <a:ext uri="{FF2B5EF4-FFF2-40B4-BE49-F238E27FC236}">
              <a16:creationId xmlns:a16="http://schemas.microsoft.com/office/drawing/2014/main" id="{4A8A60AF-6B4B-453F-89E9-286799FE9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15</xdr:col>
      <xdr:colOff>139700</xdr:colOff>
      <xdr:row>0</xdr:row>
      <xdr:rowOff>0</xdr:rowOff>
    </xdr:from>
    <xdr:ext cx="8269493" cy="1218453"/>
    <xdr:pic>
      <xdr:nvPicPr>
        <xdr:cNvPr id="3" name="Imagem 2" descr="ilustração de dólares, cifrão e imagem de moedas">
          <a:extLst>
            <a:ext uri="{FF2B5EF4-FFF2-40B4-BE49-F238E27FC236}">
              <a16:creationId xmlns:a16="http://schemas.microsoft.com/office/drawing/2014/main" id="{BB411918-70E5-4C90-9F56-E4DA40029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6050" y="0"/>
          <a:ext cx="8269493" cy="1218453"/>
        </a:xfrm>
        <a:prstGeom prst="rect">
          <a:avLst/>
        </a:prstGeom>
      </xdr:spPr>
    </xdr:pic>
    <xdr:clientData/>
  </xdr:oneCellAnchor>
  <xdr:oneCellAnchor>
    <xdr:from>
      <xdr:col>15</xdr:col>
      <xdr:colOff>138955</xdr:colOff>
      <xdr:row>23</xdr:row>
      <xdr:rowOff>27454</xdr:rowOff>
    </xdr:from>
    <xdr:ext cx="3955676" cy="2330824"/>
    <xdr:graphicFrame macro="">
      <xdr:nvGraphicFramePr>
        <xdr:cNvPr id="4" name="VisãoGeraldoOrçamento" descr="Visão geral do gráfico de barras mostrando despesas e receita estimadas em relação às reais">
          <a:extLst>
            <a:ext uri="{FF2B5EF4-FFF2-40B4-BE49-F238E27FC236}">
              <a16:creationId xmlns:a16="http://schemas.microsoft.com/office/drawing/2014/main" id="{1A5AB16A-125A-4031-97F4-B869B5CD0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21</xdr:col>
      <xdr:colOff>651063</xdr:colOff>
      <xdr:row>5</xdr:row>
      <xdr:rowOff>7844</xdr:rowOff>
    </xdr:from>
    <xdr:ext cx="4134970" cy="2678206"/>
    <xdr:graphicFrame macro="">
      <xdr:nvGraphicFramePr>
        <xdr:cNvPr id="5" name="VisãoGeraldoOrçamento" descr="Visão geral do gráfico de barras mostrando despesas e receita estimadas em relação às reais">
          <a:extLst>
            <a:ext uri="{FF2B5EF4-FFF2-40B4-BE49-F238E27FC236}">
              <a16:creationId xmlns:a16="http://schemas.microsoft.com/office/drawing/2014/main" id="{51A558A6-EA18-46C1-9690-D63AAB11E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22</xdr:col>
      <xdr:colOff>79561</xdr:colOff>
      <xdr:row>21</xdr:row>
      <xdr:rowOff>122704</xdr:rowOff>
    </xdr:from>
    <xdr:ext cx="4111439" cy="2696696"/>
    <xdr:graphicFrame macro="">
      <xdr:nvGraphicFramePr>
        <xdr:cNvPr id="6" name="VisãoGeraldoOrçamento" descr="Visão geral do gráfico de barras mostrando despesas e receita estimadas em relação às reais">
          <a:extLst>
            <a:ext uri="{FF2B5EF4-FFF2-40B4-BE49-F238E27FC236}">
              <a16:creationId xmlns:a16="http://schemas.microsoft.com/office/drawing/2014/main" id="{A95BD3B8-ACBA-47D0-9759-9F5E202F8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2</xdr:col>
      <xdr:colOff>590550</xdr:colOff>
      <xdr:row>21</xdr:row>
      <xdr:rowOff>152400</xdr:rowOff>
    </xdr:from>
    <xdr:ext cx="3966881" cy="2734234"/>
    <xdr:graphicFrame macro="">
      <xdr:nvGraphicFramePr>
        <xdr:cNvPr id="7" name="VisãoGeraldoOrçamento" descr="Visão geral do gráfico de barras mostrando despesas e receita estimadas em relação às reais">
          <a:extLst>
            <a:ext uri="{FF2B5EF4-FFF2-40B4-BE49-F238E27FC236}">
              <a16:creationId xmlns:a16="http://schemas.microsoft.com/office/drawing/2014/main" id="{33B62F3C-5561-4D9C-97EE-125CBBFD8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7</xdr:row>
      <xdr:rowOff>171450</xdr:rowOff>
    </xdr:from>
    <xdr:to>
      <xdr:col>9</xdr:col>
      <xdr:colOff>333375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1828ED-E92B-2AA6-0879-176710D84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371474</xdr:colOff>
      <xdr:row>26</xdr:row>
      <xdr:rowOff>9524</xdr:rowOff>
    </xdr:from>
    <xdr:to>
      <xdr:col>8</xdr:col>
      <xdr:colOff>561974</xdr:colOff>
      <xdr:row>41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6CD42F-C523-582C-3120-BFF49AE0B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139700</xdr:colOff>
      <xdr:row>0</xdr:row>
      <xdr:rowOff>0</xdr:rowOff>
    </xdr:from>
    <xdr:ext cx="8269493" cy="1218453"/>
    <xdr:pic>
      <xdr:nvPicPr>
        <xdr:cNvPr id="3" name="Imagem 2" descr="ilustração de dólares, cifrão e imagem de moedas">
          <a:extLst>
            <a:ext uri="{FF2B5EF4-FFF2-40B4-BE49-F238E27FC236}">
              <a16:creationId xmlns:a16="http://schemas.microsoft.com/office/drawing/2014/main" id="{7C4B927E-657A-482B-89F7-698E8DE4F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46175" y="0"/>
          <a:ext cx="8269493" cy="121845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.shortcut-targets-by-id\1vVVDtZCwSZs2nozMv3Ok7-KxVb0Vv3DI\Financeiro%20Marine\An&#225;lises%20gerenciais%20-%20Financeiro\Analise%20gerencial\Analise%20mensal\Resultado%20Financeiro%20-%202024.xlsx" TargetMode="External"/><Relationship Id="rId1" Type="http://schemas.openxmlformats.org/officeDocument/2006/relationships/externalLinkPath" Target="/.shortcut-targets-by-id/1vVVDtZCwSZs2nozMv3Ok7-KxVb0Vv3DI/Financeiro%20Marine/An&#225;lises%20gerenciais%20-%20Financeiro/Analise%20gerencial/Analise%20mensal/Resultado%20Financeiro%20-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ado"/>
      <sheetName val="Previsão 2024"/>
      <sheetName val="Comparativo"/>
      <sheetName val="Análise previsão"/>
    </sheetNames>
    <sheetDataSet>
      <sheetData sheetId="0">
        <row r="2">
          <cell r="AB2">
            <v>2601824.0999999996</v>
          </cell>
        </row>
        <row r="6">
          <cell r="AB6">
            <v>533905.94479999994</v>
          </cell>
        </row>
        <row r="7">
          <cell r="AB7">
            <v>409700.74479999999</v>
          </cell>
        </row>
        <row r="8">
          <cell r="AB8">
            <v>3744.98</v>
          </cell>
        </row>
        <row r="14">
          <cell r="AB14">
            <v>1500</v>
          </cell>
        </row>
        <row r="15">
          <cell r="AB15">
            <v>20741.849999999999</v>
          </cell>
        </row>
        <row r="21">
          <cell r="AB21">
            <v>18719.469999999998</v>
          </cell>
        </row>
        <row r="37">
          <cell r="AB37">
            <v>38255.71</v>
          </cell>
        </row>
        <row r="43">
          <cell r="AB43">
            <v>71275.78</v>
          </cell>
        </row>
        <row r="63">
          <cell r="AB63">
            <v>3000</v>
          </cell>
        </row>
        <row r="74">
          <cell r="AB74">
            <v>0</v>
          </cell>
        </row>
        <row r="76">
          <cell r="AB76">
            <v>53517.960000000014</v>
          </cell>
        </row>
      </sheetData>
      <sheetData sheetId="1" refreshError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Financeiro Marine Seguros" id="{FFD0EBBB-A231-4319-A798-6BA2521E20EB}" userId="72ebcf8c14a40756" providerId="Windows Live"/>
  <person displayName="Luiz Fernando Alovisi" id="{CCDAB317-8D99-4609-8A86-51F4A675FD2C}" userId="dd9b424165010a5f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198EBF-2D41-4F24-8C0C-9D9A85FAAE39}" name="Tabela25" displayName="Tabela25" ref="B4:O21" totalsRowCount="1" headerRowDxfId="88" dataDxfId="87">
  <autoFilter ref="B4:O20" xr:uid="{47B637C1-818B-4BED-881E-062FC4FD7398}"/>
  <tableColumns count="14">
    <tableColumn id="1" xr3:uid="{2DEBFF58-02C6-48BD-AA28-232C121AB901}" name="OBJETO" dataDxfId="86" totalsRowDxfId="85"/>
    <tableColumn id="2" xr3:uid="{DFB326F3-52BC-46F8-AF52-AEB002ECEEAB}" name="2018" dataDxfId="84" totalsRowDxfId="83"/>
    <tableColumn id="3" xr3:uid="{23C9A46C-364D-4AF5-84E9-B55F1559C8BF}" name="2019" dataDxfId="82" totalsRowDxfId="81"/>
    <tableColumn id="4" xr3:uid="{9D3CC5FB-4727-491D-9DDE-7E22E40FCFEC}" name="∆%" dataDxfId="80" totalsRowDxfId="79" dataCellStyle="Porcentagem">
      <calculatedColumnFormula>(Tabela25[[#This Row],[2019]]-Tabela25[[#This Row],[2018]])/Tabela25[[#This Row],[2018]]</calculatedColumnFormula>
    </tableColumn>
    <tableColumn id="6" xr3:uid="{31EC14AC-6022-4C08-8758-2C524487081E}" name="2020" dataDxfId="78" totalsRowDxfId="77"/>
    <tableColumn id="8" xr3:uid="{C974AB47-6FBD-4EED-908A-B994760C7749}" name="∆%2" dataDxfId="76" totalsRowDxfId="75" dataCellStyle="Porcentagem">
      <calculatedColumnFormula>(Tabela25[[#This Row],[2020]]-Tabela25[[#This Row],[2019]])/Tabela25[[#This Row],[2019]]</calculatedColumnFormula>
    </tableColumn>
    <tableColumn id="5" xr3:uid="{277A2765-3ADB-4B2C-A4A9-E2DB2A62A316}" name="2021" dataDxfId="74" totalsRowDxfId="73"/>
    <tableColumn id="9" xr3:uid="{C2686FB5-74CD-4655-8206-F06840C0F4F0}" name="∆%3" dataDxfId="72" totalsRowDxfId="71" dataCellStyle="Porcentagem">
      <calculatedColumnFormula>(Tabela25[[#This Row],[2021]]-Tabela25[[#This Row],[2020]])/Tabela25[[#This Row],[2020]]</calculatedColumnFormula>
    </tableColumn>
    <tableColumn id="7" xr3:uid="{9C90511C-5CCD-48F0-AFDC-C0B77668862E}" name="2022" dataDxfId="70" totalsRowDxfId="69"/>
    <tableColumn id="24" xr3:uid="{4414BD43-4954-4D75-A206-CE9DB8BA2EEA}" name="∆%4" dataDxfId="68" totalsRowDxfId="67" dataCellStyle="Porcentagem">
      <calculatedColumnFormula>(Tabela25[[#This Row],[2022]]-Tabela25[[#This Row],[2021]])/Tabela25[[#This Row],[2021]]</calculatedColumnFormula>
    </tableColumn>
    <tableColumn id="22" xr3:uid="{0D98E7FD-DE12-4249-80FF-22592FFF8DD1}" name="2023" dataDxfId="66" totalsRowDxfId="65"/>
    <tableColumn id="26" xr3:uid="{FF95A8CE-CB34-4E74-A8BE-820A99AA61ED}" name="∆%5" dataDxfId="64" totalsRowDxfId="63" dataCellStyle="Porcentagem">
      <calculatedColumnFormula>(Tabela25[[#This Row],[2023]]-Tabela25[[#This Row],[2022]])/Tabela25[[#This Row],[2022]]</calculatedColumnFormula>
    </tableColumn>
    <tableColumn id="23" xr3:uid="{8D978070-F141-4E45-8A48-7B7724723765}" name="2024" dataDxfId="62" totalsRowDxfId="61"/>
    <tableColumn id="10" xr3:uid="{EF4FB01B-0508-4E63-9BBF-18948471B22F}" name="∆%6" dataDxfId="60" totalsRowDxfId="59" dataCellStyle="Porcentagem" totalsRowCellStyle="Porcentagem">
      <calculatedColumnFormula>(Tabela25[[#This Row],[2024]]-Tabela25[[#This Row],[2023]])/Tabela25[[#This Row],[2023]]</calculatedColumnFormula>
    </tableColumn>
  </tableColumns>
  <tableStyleInfo name="Orçamento mensal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829BA4-897A-445F-BD5A-16486920BCB3}" name="Tabela252" displayName="Tabela252" ref="B4:O21" totalsRowCount="1" headerRowDxfId="58" dataDxfId="57">
  <autoFilter ref="B4:O20" xr:uid="{BE829BA4-897A-445F-BD5A-16486920BCB3}"/>
  <tableColumns count="14">
    <tableColumn id="1" xr3:uid="{D12A33B0-03EF-4ECB-BFC6-0B30DE009AAC}" name="OBJETO" dataDxfId="56" totalsRowDxfId="55"/>
    <tableColumn id="2" xr3:uid="{DAAD5654-9E82-4D27-A9EC-0EA8253E9D55}" name="1 semestre 2023" dataDxfId="54" totalsRowDxfId="53"/>
    <tableColumn id="3" xr3:uid="{A6A13CAC-3A29-4CD3-89B3-ACE5C5CE7C96}" name="2 semestre 2023" dataDxfId="52" totalsRowDxfId="51"/>
    <tableColumn id="4" xr3:uid="{C0313722-ED49-49CD-8A61-6894062EA489}" name="∆%" dataDxfId="50" totalsRowDxfId="49" dataCellStyle="Porcentagem">
      <calculatedColumnFormula>(Tabela252[[#This Row],[2 semestre 2023]]-Tabela252[[#This Row],[1 semestre 2023]])/Tabela252[[#This Row],[1 semestre 2023]]</calculatedColumnFormula>
    </tableColumn>
    <tableColumn id="6" xr3:uid="{B9190148-C63D-457F-A213-2CC510BB907F}" name="2023 anual" dataDxfId="48" totalsRowDxfId="47"/>
    <tableColumn id="8" xr3:uid="{5880E245-749C-4D66-A87E-5EFD72DACF11}" name="∆%2" dataDxfId="46" totalsRowDxfId="45" dataCellStyle="Porcentagem">
      <calculatedColumnFormula>(Tabela252[[#This Row],[2023 anual]]-Tabela252[[#This Row],[2 semestre 2023]])/Tabela252[[#This Row],[2 semestre 2023]]</calculatedColumnFormula>
    </tableColumn>
    <tableColumn id="5" xr3:uid="{4B8CD3DD-4F4E-4873-A869-30AB470F5068}" name="1 semestre 2024" dataDxfId="44" totalsRowDxfId="43"/>
    <tableColumn id="9" xr3:uid="{91E42FAC-58E6-4910-B87B-0D511FF8F563}" name="∆%3" dataDxfId="42" totalsRowDxfId="41" dataCellStyle="Porcentagem">
      <calculatedColumnFormula>(Tabela252[[#This Row],[1 semestre 2024]]-Tabela252[[#This Row],[2023 anual]])/Tabela252[[#This Row],[2023 anual]]</calculatedColumnFormula>
    </tableColumn>
    <tableColumn id="7" xr3:uid="{4B03D1F3-4363-422D-B9AB-BB7C6F344EE6}" name="2 semestre 2024" dataDxfId="40" totalsRowDxfId="39"/>
    <tableColumn id="24" xr3:uid="{7BCA074D-171E-4584-A4F4-5042DCE54579}" name="∆%4" dataDxfId="38" totalsRowDxfId="37" dataCellStyle="Porcentagem">
      <calculatedColumnFormula>(Tabela252[[#This Row],[2 semestre 2024]]-Tabela252[[#This Row],[1 semestre 2024]])/Tabela252[[#This Row],[1 semestre 2024]]</calculatedColumnFormula>
    </tableColumn>
    <tableColumn id="22" xr3:uid="{71074CCC-33E3-4008-9D8E-492E9273DAB4}" name="2024 anual" dataDxfId="36" totalsRowDxfId="35"/>
    <tableColumn id="26" xr3:uid="{69FCC9CA-CD91-4B67-BAA0-B6F3939856D6}" name="∆%5" dataDxfId="34" totalsRowDxfId="33" dataCellStyle="Porcentagem">
      <calculatedColumnFormula>(Tabela252[[#This Row],[2024 anual]]-Tabela252[[#This Row],[2023 anual]])/Tabela252[[#This Row],[2023 anual]]</calculatedColumnFormula>
    </tableColumn>
    <tableColumn id="23" xr3:uid="{CE96D70A-A4F1-4811-8BC2-53F52D34FB8F}" name="2024" dataDxfId="32" totalsRowDxfId="31"/>
    <tableColumn id="10" xr3:uid="{863C93D8-6AA7-4945-B5F0-2B805FFD265E}" name="∆%6" dataDxfId="30" totalsRowDxfId="29" dataCellStyle="Porcentagem">
      <calculatedColumnFormula>(Tabela252[[#This Row],[2024]]-Tabela252[[#This Row],[2024 anual]])/Tabela252[[#This Row],[2024 anual]]</calculatedColumnFormula>
    </tableColumn>
  </tableColumns>
  <tableStyleInfo name="Orçamento mensal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8" dT="2021-03-31T10:39:12.87" personId="{CCDAB317-8D99-4609-8A86-51F4A675FD2C}" id="{B52C8F06-8CAE-46D3-9F9E-234AA9AE9BA6}">
    <text>Reforço imóvel</text>
  </threadedComment>
  <threadedComment ref="F38" dT="2021-03-31T10:38:50.25" personId="{CCDAB317-8D99-4609-8A86-51F4A675FD2C}" id="{A1F6EEAD-1745-4F7F-9F8E-62A8B9C4E1F7}">
    <text>Troca carro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22" dT="2022-06-17T19:20:44.53" personId="{CCDAB317-8D99-4609-8A86-51F4A675FD2C}" id="{134107DA-4785-4407-94A9-0981D79E0BEA}">
    <text>Gerente comercial</text>
  </threadedComment>
  <threadedComment ref="P22" dT="2022-07-09T14:02:08.16" personId="{FFD0EBBB-A231-4319-A798-6BA2521E20EB}" id="{8FF8A75A-54D0-4E69-AC64-70BC6F7994CF}" parentId="{134107DA-4785-4407-94A9-0981D79E0BEA}">
    <text>Suporte transportes</text>
  </threadedComment>
  <threadedComment ref="P61" dT="2022-09-05T20:32:57.39" personId="{FFD0EBBB-A231-4319-A798-6BA2521E20EB}" id="{7C5FD061-4487-4970-B9E4-E2861D01BE7A}">
    <text>5 monitores - equipe operacional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R4" dT="2023-09-11T14:28:14.25" personId="{CCDAB317-8D99-4609-8A86-51F4A675FD2C}" id="{62FE1476-F63C-4796-BA93-BF189DC97CF9}">
    <text xml:space="preserve">PLR Tokio
</text>
  </threadedComment>
  <threadedComment ref="N15" dT="2023-06-12T19:20:43.92" personId="{CCDAB317-8D99-4609-8A86-51F4A675FD2C}" id="{B10DDBD8-BDAB-4814-AD02-90063B6A5420}">
    <text>Ciasc</text>
  </threadedComment>
  <threadedComment ref="D22" dT="2022-12-21T20:14:37.57" personId="{CCDAB317-8D99-4609-8A86-51F4A675FD2C}" id="{D6785E38-13FE-4F56-BB4D-D89F706D9958}">
    <text>Estagiário</text>
  </threadedComment>
  <threadedComment ref="F22" dT="2023-01-23T14:22:10.36" personId="{CCDAB317-8D99-4609-8A86-51F4A675FD2C}" id="{7E34DD51-45E0-416B-8E92-AFB1659E4992}">
    <text>Sales 2500
Sinistro 3000</text>
  </threadedComment>
  <threadedComment ref="J22" dT="2023-01-23T14:28:54.94" personId="{CCDAB317-8D99-4609-8A86-51F4A675FD2C}" id="{451F987C-F473-41BB-BFD4-8EFFA5BE3928}">
    <text>Técnico RE 3k</text>
  </threadedComment>
</ThreadedComment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F97"/>
  <sheetViews>
    <sheetView showGridLines="0"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D70" sqref="D70"/>
    </sheetView>
  </sheetViews>
  <sheetFormatPr defaultColWidth="8.88671875" defaultRowHeight="13.2" x14ac:dyDescent="0.25"/>
  <cols>
    <col min="1" max="1" width="46.44140625" customWidth="1"/>
    <col min="2" max="2" width="12.44140625" customWidth="1"/>
    <col min="3" max="3" width="8.44140625" customWidth="1"/>
    <col min="4" max="4" width="12.44140625" customWidth="1"/>
    <col min="6" max="6" width="10.33203125" bestFit="1" customWidth="1"/>
    <col min="8" max="8" width="10.109375" bestFit="1" customWidth="1"/>
    <col min="10" max="10" width="11.44140625" customWidth="1"/>
    <col min="12" max="12" width="10.109375" bestFit="1" customWidth="1"/>
    <col min="14" max="14" width="10.109375" bestFit="1" customWidth="1"/>
    <col min="16" max="16" width="10.109375" bestFit="1" customWidth="1"/>
    <col min="18" max="18" width="10.109375" bestFit="1" customWidth="1"/>
    <col min="20" max="20" width="10.109375" bestFit="1" customWidth="1"/>
    <col min="28" max="28" width="12.44140625" customWidth="1"/>
    <col min="30" max="30" width="13.44140625" customWidth="1"/>
  </cols>
  <sheetData>
    <row r="1" spans="1:32" ht="13.8" thickBot="1" x14ac:dyDescent="0.3">
      <c r="A1" s="1" t="s">
        <v>30</v>
      </c>
      <c r="B1" s="58">
        <v>40878</v>
      </c>
      <c r="C1" s="3" t="s">
        <v>32</v>
      </c>
      <c r="D1" s="2" t="s">
        <v>31</v>
      </c>
      <c r="E1" s="3" t="s">
        <v>32</v>
      </c>
      <c r="F1" s="2" t="s">
        <v>33</v>
      </c>
      <c r="G1" s="3" t="s">
        <v>32</v>
      </c>
      <c r="H1" s="2" t="s">
        <v>34</v>
      </c>
      <c r="I1" s="4" t="s">
        <v>32</v>
      </c>
      <c r="J1" s="2" t="s">
        <v>35</v>
      </c>
      <c r="K1" s="4" t="s">
        <v>32</v>
      </c>
      <c r="L1" s="2" t="s">
        <v>36</v>
      </c>
      <c r="M1" s="4" t="s">
        <v>32</v>
      </c>
      <c r="N1" s="2" t="s">
        <v>37</v>
      </c>
      <c r="O1" s="4" t="s">
        <v>32</v>
      </c>
      <c r="P1" s="2" t="s">
        <v>38</v>
      </c>
      <c r="Q1" s="4" t="s">
        <v>32</v>
      </c>
      <c r="R1" s="2" t="s">
        <v>39</v>
      </c>
      <c r="S1" s="4" t="s">
        <v>32</v>
      </c>
      <c r="T1" s="2" t="s">
        <v>40</v>
      </c>
      <c r="U1" s="4" t="s">
        <v>32</v>
      </c>
      <c r="V1" s="5" t="s">
        <v>41</v>
      </c>
      <c r="W1" s="6" t="s">
        <v>32</v>
      </c>
      <c r="X1" s="5" t="s">
        <v>29</v>
      </c>
      <c r="Y1" s="7" t="s">
        <v>32</v>
      </c>
      <c r="Z1" s="5" t="s">
        <v>42</v>
      </c>
      <c r="AA1" s="8" t="s">
        <v>32</v>
      </c>
      <c r="AB1" s="9" t="s">
        <v>43</v>
      </c>
      <c r="AC1" s="10" t="s">
        <v>32</v>
      </c>
      <c r="AD1" s="11" t="s">
        <v>44</v>
      </c>
      <c r="AE1" s="12"/>
      <c r="AF1" s="13" t="s">
        <v>45</v>
      </c>
    </row>
    <row r="2" spans="1:32" ht="14.4" thickBot="1" x14ac:dyDescent="0.3">
      <c r="A2" s="14" t="s">
        <v>46</v>
      </c>
      <c r="B2" s="16"/>
      <c r="C2" s="15">
        <v>1</v>
      </c>
      <c r="D2" s="16"/>
      <c r="E2" s="15">
        <v>1</v>
      </c>
      <c r="F2" s="56"/>
      <c r="G2" s="15">
        <v>1</v>
      </c>
      <c r="H2" s="16"/>
      <c r="I2" s="15">
        <v>1</v>
      </c>
      <c r="J2" s="16"/>
      <c r="K2" s="15">
        <v>1</v>
      </c>
      <c r="L2" s="16"/>
      <c r="M2" s="15">
        <v>1</v>
      </c>
      <c r="N2" s="16"/>
      <c r="O2" s="15">
        <v>1</v>
      </c>
      <c r="P2" s="16"/>
      <c r="Q2" s="15">
        <v>1</v>
      </c>
      <c r="R2" s="16"/>
      <c r="S2" s="15">
        <v>1</v>
      </c>
      <c r="T2" s="16"/>
      <c r="U2" s="15">
        <v>1</v>
      </c>
      <c r="V2" s="16"/>
      <c r="W2" s="15">
        <v>1</v>
      </c>
      <c r="X2" s="16"/>
      <c r="Y2" s="15">
        <v>1</v>
      </c>
      <c r="Z2" s="16"/>
      <c r="AA2" s="15">
        <v>1</v>
      </c>
      <c r="AB2" s="17" t="e">
        <f>(+D2+F2+H2+J2+L2+N2+P2+R2+T2+V2+X2+Z2)/AF$2</f>
        <v>#DIV/0!</v>
      </c>
      <c r="AC2" s="18">
        <v>1</v>
      </c>
      <c r="AD2" s="17" t="e">
        <f>AB2*12</f>
        <v>#DIV/0!</v>
      </c>
      <c r="AE2" s="19">
        <v>1</v>
      </c>
      <c r="AF2" s="20">
        <f>COUNTIF(D2:Z2,"&gt;1")</f>
        <v>0</v>
      </c>
    </row>
    <row r="3" spans="1:32" ht="13.8" thickBot="1" x14ac:dyDescent="0.3">
      <c r="A3" s="14" t="s">
        <v>47</v>
      </c>
      <c r="B3" s="17">
        <f>SUM(B4:B16)</f>
        <v>0</v>
      </c>
      <c r="C3" s="15" t="e">
        <f t="shared" ref="C3:C19" si="0">B3/B$2</f>
        <v>#DIV/0!</v>
      </c>
      <c r="D3" s="17">
        <f>SUM(D4:D16)</f>
        <v>0</v>
      </c>
      <c r="E3" s="15" t="e">
        <f t="shared" ref="E3:E35" si="1">D3/D$2</f>
        <v>#DIV/0!</v>
      </c>
      <c r="F3" s="17">
        <f>SUM(F4:F16)</f>
        <v>0</v>
      </c>
      <c r="G3" s="15" t="e">
        <f>F3/F$2</f>
        <v>#DIV/0!</v>
      </c>
      <c r="H3" s="17">
        <f>SUM(H4:H16)</f>
        <v>0</v>
      </c>
      <c r="I3" s="15" t="e">
        <f>H3/H$2</f>
        <v>#DIV/0!</v>
      </c>
      <c r="J3" s="17">
        <f>SUM(J4:J16)</f>
        <v>0</v>
      </c>
      <c r="K3" s="15" t="e">
        <f>J3/J$2</f>
        <v>#DIV/0!</v>
      </c>
      <c r="L3" s="17">
        <f>SUM(L4:L16)</f>
        <v>0</v>
      </c>
      <c r="M3" s="15" t="e">
        <f>L3/L$2</f>
        <v>#DIV/0!</v>
      </c>
      <c r="N3" s="17">
        <f>SUM(N4:N16)</f>
        <v>0</v>
      </c>
      <c r="O3" s="15" t="e">
        <f>N3/N$2</f>
        <v>#DIV/0!</v>
      </c>
      <c r="P3" s="17">
        <f>SUM(P4:P16)</f>
        <v>0</v>
      </c>
      <c r="Q3" s="15" t="e">
        <f>P3/P$2</f>
        <v>#DIV/0!</v>
      </c>
      <c r="R3" s="17">
        <f>SUM(R4:R16)</f>
        <v>0</v>
      </c>
      <c r="S3" s="15" t="e">
        <f>R3/R$2</f>
        <v>#DIV/0!</v>
      </c>
      <c r="T3" s="17">
        <f>SUM(T4:T16)</f>
        <v>0</v>
      </c>
      <c r="U3" s="15" t="e">
        <f>T3/T$2</f>
        <v>#DIV/0!</v>
      </c>
      <c r="V3" s="17">
        <f>SUM(V4:V16)</f>
        <v>0</v>
      </c>
      <c r="W3" s="15" t="e">
        <f>V3/V$2</f>
        <v>#DIV/0!</v>
      </c>
      <c r="X3" s="17">
        <f>SUM(X4:X16)</f>
        <v>0</v>
      </c>
      <c r="Y3" s="15" t="e">
        <f t="shared" ref="Y3:Y60" si="2">X3/X$2</f>
        <v>#DIV/0!</v>
      </c>
      <c r="Z3" s="17">
        <f>SUM(Z4:Z16)</f>
        <v>0</v>
      </c>
      <c r="AA3" s="15" t="e">
        <f t="shared" ref="AA3:AA33" si="3">Z3/Z$2</f>
        <v>#DIV/0!</v>
      </c>
      <c r="AB3" s="17" t="e">
        <f>(+D3+F3+H3+J3+L3+N3+P3+R3+T3+V3+X3+Z3)/AF$2</f>
        <v>#DIV/0!</v>
      </c>
      <c r="AC3" s="15" t="e">
        <f>AB3/AB$2</f>
        <v>#DIV/0!</v>
      </c>
      <c r="AD3" s="17" t="e">
        <f>SUM(AD4:AD16)</f>
        <v>#DIV/0!</v>
      </c>
      <c r="AE3" s="21" t="e">
        <f>AD3*100/AD$2</f>
        <v>#DIV/0!</v>
      </c>
    </row>
    <row r="4" spans="1:32" x14ac:dyDescent="0.25">
      <c r="A4" s="59" t="s">
        <v>58</v>
      </c>
      <c r="B4" s="22"/>
      <c r="C4" s="23" t="e">
        <f t="shared" si="0"/>
        <v>#DIV/0!</v>
      </c>
      <c r="D4" s="22"/>
      <c r="E4" s="23" t="e">
        <f t="shared" si="1"/>
        <v>#DIV/0!</v>
      </c>
      <c r="F4" s="22"/>
      <c r="G4" s="23" t="e">
        <f t="shared" ref="G4:G19" si="4">F4/F$2</f>
        <v>#DIV/0!</v>
      </c>
      <c r="H4" s="22"/>
      <c r="I4" s="23" t="e">
        <f t="shared" ref="I4:I59" si="5">H4/H$2</f>
        <v>#DIV/0!</v>
      </c>
      <c r="J4" s="22"/>
      <c r="K4" s="23" t="e">
        <f t="shared" ref="K4:K60" si="6">J4/J$2</f>
        <v>#DIV/0!</v>
      </c>
      <c r="L4" s="22"/>
      <c r="M4" s="23" t="e">
        <f t="shared" ref="M4:M60" si="7">L4/L$2</f>
        <v>#DIV/0!</v>
      </c>
      <c r="N4" s="22"/>
      <c r="O4" s="23" t="e">
        <f t="shared" ref="O4:O60" si="8">N4/N$2</f>
        <v>#DIV/0!</v>
      </c>
      <c r="P4" s="22"/>
      <c r="Q4" s="23" t="e">
        <f t="shared" ref="Q4:Q60" si="9">P4/P$2</f>
        <v>#DIV/0!</v>
      </c>
      <c r="R4" s="22"/>
      <c r="S4" s="23" t="e">
        <f t="shared" ref="S4:S60" si="10">R4/R$2</f>
        <v>#DIV/0!</v>
      </c>
      <c r="T4" s="22"/>
      <c r="U4" s="23" t="e">
        <f t="shared" ref="U4:U60" si="11">T4/T$2</f>
        <v>#DIV/0!</v>
      </c>
      <c r="V4" s="22"/>
      <c r="W4" s="23" t="e">
        <f t="shared" ref="W4:W60" si="12">V4/V$2</f>
        <v>#DIV/0!</v>
      </c>
      <c r="X4" s="22"/>
      <c r="Y4" s="23" t="e">
        <f t="shared" si="2"/>
        <v>#DIV/0!</v>
      </c>
      <c r="Z4" s="22"/>
      <c r="AA4" s="23" t="e">
        <f t="shared" si="3"/>
        <v>#DIV/0!</v>
      </c>
      <c r="AB4" s="24" t="e">
        <f>(D4+F4+H4+J4+L4+N4+P4+R4+T4+V4+X4+Z4)/AF$2</f>
        <v>#DIV/0!</v>
      </c>
      <c r="AC4" s="23" t="e">
        <f>AB4/AB$2</f>
        <v>#DIV/0!</v>
      </c>
      <c r="AD4" s="25" t="e">
        <f t="shared" ref="AD4:AD12" si="13">AB4*12</f>
        <v>#DIV/0!</v>
      </c>
      <c r="AE4" s="26" t="e">
        <f>AD4*100/AD$2</f>
        <v>#DIV/0!</v>
      </c>
    </row>
    <row r="5" spans="1:32" x14ac:dyDescent="0.25">
      <c r="A5" s="60" t="s">
        <v>88</v>
      </c>
      <c r="B5" s="27"/>
      <c r="C5" s="23" t="e">
        <f t="shared" si="0"/>
        <v>#DIV/0!</v>
      </c>
      <c r="D5" s="27"/>
      <c r="E5" s="23" t="e">
        <f t="shared" si="1"/>
        <v>#DIV/0!</v>
      </c>
      <c r="F5" s="27"/>
      <c r="G5" s="23" t="e">
        <f t="shared" si="4"/>
        <v>#DIV/0!</v>
      </c>
      <c r="H5" s="27"/>
      <c r="I5" s="23" t="e">
        <f t="shared" si="5"/>
        <v>#DIV/0!</v>
      </c>
      <c r="J5" s="27"/>
      <c r="K5" s="23" t="e">
        <f t="shared" si="6"/>
        <v>#DIV/0!</v>
      </c>
      <c r="L5" s="27"/>
      <c r="M5" s="23" t="e">
        <f t="shared" si="7"/>
        <v>#DIV/0!</v>
      </c>
      <c r="N5" s="27"/>
      <c r="O5" s="23" t="e">
        <f t="shared" si="8"/>
        <v>#DIV/0!</v>
      </c>
      <c r="P5" s="27"/>
      <c r="Q5" s="23" t="e">
        <f t="shared" si="9"/>
        <v>#DIV/0!</v>
      </c>
      <c r="R5" s="27"/>
      <c r="S5" s="23" t="e">
        <f t="shared" si="10"/>
        <v>#DIV/0!</v>
      </c>
      <c r="T5" s="27"/>
      <c r="U5" s="23" t="e">
        <f t="shared" si="11"/>
        <v>#DIV/0!</v>
      </c>
      <c r="V5" s="27"/>
      <c r="W5" s="23" t="e">
        <f t="shared" si="12"/>
        <v>#DIV/0!</v>
      </c>
      <c r="X5" s="27"/>
      <c r="Y5" s="23" t="e">
        <f t="shared" si="2"/>
        <v>#DIV/0!</v>
      </c>
      <c r="Z5" s="27"/>
      <c r="AA5" s="23" t="e">
        <f t="shared" si="3"/>
        <v>#DIV/0!</v>
      </c>
      <c r="AB5" s="24" t="e">
        <f t="shared" ref="AB5:AB12" si="14">(D5+F5+H5+J5+L5+N5+P5+R5+T5+V5+X5+Z5)/AF$2</f>
        <v>#DIV/0!</v>
      </c>
      <c r="AC5" s="23" t="e">
        <f t="shared" ref="AC5:AC75" si="15">AB5/AB$2</f>
        <v>#DIV/0!</v>
      </c>
      <c r="AD5" s="28" t="e">
        <f t="shared" si="13"/>
        <v>#DIV/0!</v>
      </c>
      <c r="AE5" s="26" t="e">
        <f t="shared" ref="AE5:AE75" si="16">AD5*100/AD$2</f>
        <v>#DIV/0!</v>
      </c>
    </row>
    <row r="6" spans="1:32" x14ac:dyDescent="0.25">
      <c r="A6" s="50" t="s">
        <v>61</v>
      </c>
      <c r="B6" s="27"/>
      <c r="C6" s="23" t="e">
        <f t="shared" si="0"/>
        <v>#DIV/0!</v>
      </c>
      <c r="D6" s="27"/>
      <c r="E6" s="23" t="e">
        <f t="shared" si="1"/>
        <v>#DIV/0!</v>
      </c>
      <c r="F6" s="27"/>
      <c r="G6" s="23" t="e">
        <f t="shared" si="4"/>
        <v>#DIV/0!</v>
      </c>
      <c r="H6" s="27"/>
      <c r="I6" s="23" t="e">
        <f t="shared" si="5"/>
        <v>#DIV/0!</v>
      </c>
      <c r="J6" s="27"/>
      <c r="K6" s="23" t="e">
        <f t="shared" si="6"/>
        <v>#DIV/0!</v>
      </c>
      <c r="L6" s="27"/>
      <c r="M6" s="23" t="e">
        <f t="shared" si="7"/>
        <v>#DIV/0!</v>
      </c>
      <c r="N6" s="27"/>
      <c r="O6" s="23" t="e">
        <f t="shared" si="8"/>
        <v>#DIV/0!</v>
      </c>
      <c r="P6" s="27"/>
      <c r="Q6" s="23" t="e">
        <f t="shared" si="9"/>
        <v>#DIV/0!</v>
      </c>
      <c r="R6" s="27"/>
      <c r="S6" s="23" t="e">
        <f t="shared" si="10"/>
        <v>#DIV/0!</v>
      </c>
      <c r="T6" s="27"/>
      <c r="U6" s="23" t="e">
        <f t="shared" si="11"/>
        <v>#DIV/0!</v>
      </c>
      <c r="V6" s="27"/>
      <c r="W6" s="23" t="e">
        <f t="shared" si="12"/>
        <v>#DIV/0!</v>
      </c>
      <c r="X6" s="27"/>
      <c r="Y6" s="23" t="e">
        <f t="shared" si="2"/>
        <v>#DIV/0!</v>
      </c>
      <c r="Z6" s="27"/>
      <c r="AA6" s="23" t="e">
        <f t="shared" si="3"/>
        <v>#DIV/0!</v>
      </c>
      <c r="AB6" s="24" t="e">
        <f t="shared" si="14"/>
        <v>#DIV/0!</v>
      </c>
      <c r="AC6" s="23" t="e">
        <f t="shared" si="15"/>
        <v>#DIV/0!</v>
      </c>
      <c r="AD6" s="28" t="e">
        <f t="shared" si="13"/>
        <v>#DIV/0!</v>
      </c>
      <c r="AE6" s="26" t="e">
        <f t="shared" si="16"/>
        <v>#DIV/0!</v>
      </c>
    </row>
    <row r="7" spans="1:32" x14ac:dyDescent="0.25">
      <c r="A7" s="47" t="s">
        <v>75</v>
      </c>
      <c r="B7" s="27"/>
      <c r="C7" s="23" t="e">
        <f t="shared" si="0"/>
        <v>#DIV/0!</v>
      </c>
      <c r="D7" s="27"/>
      <c r="E7" s="23" t="e">
        <f t="shared" si="1"/>
        <v>#DIV/0!</v>
      </c>
      <c r="F7" s="27"/>
      <c r="G7" s="23" t="e">
        <f t="shared" si="4"/>
        <v>#DIV/0!</v>
      </c>
      <c r="H7" s="27"/>
      <c r="I7" s="23" t="e">
        <f t="shared" si="5"/>
        <v>#DIV/0!</v>
      </c>
      <c r="J7" s="27"/>
      <c r="K7" s="23" t="e">
        <f t="shared" si="6"/>
        <v>#DIV/0!</v>
      </c>
      <c r="L7" s="27"/>
      <c r="M7" s="23" t="e">
        <f t="shared" si="7"/>
        <v>#DIV/0!</v>
      </c>
      <c r="N7" s="27"/>
      <c r="O7" s="23" t="e">
        <f t="shared" si="8"/>
        <v>#DIV/0!</v>
      </c>
      <c r="P7" s="27"/>
      <c r="Q7" s="23" t="e">
        <f t="shared" si="9"/>
        <v>#DIV/0!</v>
      </c>
      <c r="R7" s="27"/>
      <c r="S7" s="23" t="e">
        <f t="shared" si="10"/>
        <v>#DIV/0!</v>
      </c>
      <c r="T7" s="27"/>
      <c r="U7" s="23" t="e">
        <f t="shared" si="11"/>
        <v>#DIV/0!</v>
      </c>
      <c r="V7" s="27"/>
      <c r="W7" s="23" t="e">
        <f t="shared" si="12"/>
        <v>#DIV/0!</v>
      </c>
      <c r="X7" s="27"/>
      <c r="Y7" s="23" t="e">
        <f t="shared" si="2"/>
        <v>#DIV/0!</v>
      </c>
      <c r="Z7" s="27"/>
      <c r="AA7" s="23" t="e">
        <f t="shared" si="3"/>
        <v>#DIV/0!</v>
      </c>
      <c r="AB7" s="24" t="e">
        <f t="shared" si="14"/>
        <v>#DIV/0!</v>
      </c>
      <c r="AC7" s="23" t="e">
        <f t="shared" si="15"/>
        <v>#DIV/0!</v>
      </c>
      <c r="AD7" s="28" t="e">
        <f t="shared" si="13"/>
        <v>#DIV/0!</v>
      </c>
      <c r="AE7" s="26" t="e">
        <f t="shared" si="16"/>
        <v>#DIV/0!</v>
      </c>
    </row>
    <row r="8" spans="1:32" x14ac:dyDescent="0.25">
      <c r="A8" s="29" t="s">
        <v>48</v>
      </c>
      <c r="B8" s="27"/>
      <c r="C8" s="23" t="e">
        <f t="shared" si="0"/>
        <v>#DIV/0!</v>
      </c>
      <c r="D8" s="27"/>
      <c r="E8" s="23" t="e">
        <f t="shared" si="1"/>
        <v>#DIV/0!</v>
      </c>
      <c r="F8" s="27"/>
      <c r="G8" s="23" t="e">
        <f t="shared" si="4"/>
        <v>#DIV/0!</v>
      </c>
      <c r="H8" s="27"/>
      <c r="I8" s="23" t="e">
        <f t="shared" si="5"/>
        <v>#DIV/0!</v>
      </c>
      <c r="J8" s="27"/>
      <c r="K8" s="23" t="e">
        <f t="shared" si="6"/>
        <v>#DIV/0!</v>
      </c>
      <c r="L8" s="27"/>
      <c r="M8" s="23" t="e">
        <f t="shared" si="7"/>
        <v>#DIV/0!</v>
      </c>
      <c r="N8" s="27"/>
      <c r="O8" s="23" t="e">
        <f t="shared" si="8"/>
        <v>#DIV/0!</v>
      </c>
      <c r="P8" s="27"/>
      <c r="Q8" s="23" t="e">
        <f t="shared" si="9"/>
        <v>#DIV/0!</v>
      </c>
      <c r="R8" s="27"/>
      <c r="S8" s="23" t="e">
        <f t="shared" si="10"/>
        <v>#DIV/0!</v>
      </c>
      <c r="T8" s="27"/>
      <c r="U8" s="23" t="e">
        <f t="shared" si="11"/>
        <v>#DIV/0!</v>
      </c>
      <c r="V8" s="27"/>
      <c r="W8" s="23" t="e">
        <f t="shared" si="12"/>
        <v>#DIV/0!</v>
      </c>
      <c r="X8" s="27"/>
      <c r="Y8" s="23" t="e">
        <f t="shared" si="2"/>
        <v>#DIV/0!</v>
      </c>
      <c r="Z8" s="27"/>
      <c r="AA8" s="23" t="e">
        <f t="shared" si="3"/>
        <v>#DIV/0!</v>
      </c>
      <c r="AB8" s="24" t="e">
        <f>(D8+F8+H8+J8+L8+N8+P8+R8+T8+V8+X8+Z8)/AF$2</f>
        <v>#DIV/0!</v>
      </c>
      <c r="AC8" s="23" t="e">
        <f t="shared" si="15"/>
        <v>#DIV/0!</v>
      </c>
      <c r="AD8" s="28" t="e">
        <f t="shared" si="13"/>
        <v>#DIV/0!</v>
      </c>
      <c r="AE8" s="26" t="e">
        <f>AD8*100/AD$2</f>
        <v>#DIV/0!</v>
      </c>
    </row>
    <row r="9" spans="1:32" x14ac:dyDescent="0.25">
      <c r="A9" s="47"/>
      <c r="B9" s="27"/>
      <c r="C9" s="23" t="e">
        <f t="shared" si="0"/>
        <v>#DIV/0!</v>
      </c>
      <c r="D9" s="27"/>
      <c r="E9" s="23" t="e">
        <f t="shared" si="1"/>
        <v>#DIV/0!</v>
      </c>
      <c r="F9" s="27"/>
      <c r="G9" s="23" t="e">
        <f t="shared" si="4"/>
        <v>#DIV/0!</v>
      </c>
      <c r="H9" s="27"/>
      <c r="I9" s="23" t="e">
        <f t="shared" si="5"/>
        <v>#DIV/0!</v>
      </c>
      <c r="J9" s="27"/>
      <c r="K9" s="23" t="e">
        <f t="shared" si="6"/>
        <v>#DIV/0!</v>
      </c>
      <c r="L9" s="27"/>
      <c r="M9" s="23" t="e">
        <f t="shared" si="7"/>
        <v>#DIV/0!</v>
      </c>
      <c r="N9" s="27"/>
      <c r="O9" s="23" t="e">
        <f t="shared" si="8"/>
        <v>#DIV/0!</v>
      </c>
      <c r="P9" s="27"/>
      <c r="Q9" s="23" t="e">
        <f t="shared" si="9"/>
        <v>#DIV/0!</v>
      </c>
      <c r="R9" s="27"/>
      <c r="S9" s="23" t="e">
        <f t="shared" si="10"/>
        <v>#DIV/0!</v>
      </c>
      <c r="T9" s="27"/>
      <c r="U9" s="23" t="e">
        <f t="shared" si="11"/>
        <v>#DIV/0!</v>
      </c>
      <c r="V9" s="27"/>
      <c r="W9" s="23" t="e">
        <f t="shared" si="12"/>
        <v>#DIV/0!</v>
      </c>
      <c r="X9" s="27"/>
      <c r="Y9" s="23" t="e">
        <f t="shared" si="2"/>
        <v>#DIV/0!</v>
      </c>
      <c r="Z9" s="27"/>
      <c r="AA9" s="23" t="e">
        <f t="shared" si="3"/>
        <v>#DIV/0!</v>
      </c>
      <c r="AB9" s="24" t="e">
        <f>(D9+F9+H9+J9+L9+N9+P9+R9+T9+V9+X9+Z9)/AF$2</f>
        <v>#DIV/0!</v>
      </c>
      <c r="AC9" s="23" t="e">
        <f t="shared" si="15"/>
        <v>#DIV/0!</v>
      </c>
      <c r="AD9" s="28" t="e">
        <f t="shared" si="13"/>
        <v>#DIV/0!</v>
      </c>
      <c r="AE9" s="26" t="e">
        <f>AD9*100/AD$2</f>
        <v>#DIV/0!</v>
      </c>
    </row>
    <row r="10" spans="1:32" x14ac:dyDescent="0.25">
      <c r="A10" s="30"/>
      <c r="B10" s="27"/>
      <c r="C10" s="23" t="e">
        <f t="shared" si="0"/>
        <v>#DIV/0!</v>
      </c>
      <c r="D10" s="27"/>
      <c r="E10" s="23" t="e">
        <f t="shared" si="1"/>
        <v>#DIV/0!</v>
      </c>
      <c r="F10" s="27"/>
      <c r="G10" s="23" t="e">
        <f t="shared" si="4"/>
        <v>#DIV/0!</v>
      </c>
      <c r="H10" s="27"/>
      <c r="I10" s="23" t="e">
        <f t="shared" si="5"/>
        <v>#DIV/0!</v>
      </c>
      <c r="J10" s="27"/>
      <c r="K10" s="23" t="e">
        <f t="shared" si="6"/>
        <v>#DIV/0!</v>
      </c>
      <c r="L10" s="27"/>
      <c r="M10" s="23" t="e">
        <f t="shared" si="7"/>
        <v>#DIV/0!</v>
      </c>
      <c r="N10" s="27"/>
      <c r="O10" s="23" t="e">
        <f t="shared" si="8"/>
        <v>#DIV/0!</v>
      </c>
      <c r="P10" s="27"/>
      <c r="Q10" s="23" t="e">
        <f t="shared" si="9"/>
        <v>#DIV/0!</v>
      </c>
      <c r="R10" s="27"/>
      <c r="S10" s="23" t="e">
        <f t="shared" si="10"/>
        <v>#DIV/0!</v>
      </c>
      <c r="T10" s="27"/>
      <c r="U10" s="23" t="e">
        <f t="shared" si="11"/>
        <v>#DIV/0!</v>
      </c>
      <c r="V10" s="27"/>
      <c r="W10" s="23" t="e">
        <f t="shared" si="12"/>
        <v>#DIV/0!</v>
      </c>
      <c r="X10" s="27"/>
      <c r="Y10" s="23" t="e">
        <f t="shared" si="2"/>
        <v>#DIV/0!</v>
      </c>
      <c r="Z10" s="27"/>
      <c r="AA10" s="23" t="e">
        <f t="shared" si="3"/>
        <v>#DIV/0!</v>
      </c>
      <c r="AB10" s="24" t="e">
        <f>(D10+F10+H10+J10+L10+N10+P10+R10+T10+V10+X10+Z10)/AF$2</f>
        <v>#DIV/0!</v>
      </c>
      <c r="AC10" s="23" t="e">
        <f t="shared" si="15"/>
        <v>#DIV/0!</v>
      </c>
      <c r="AD10" s="28" t="e">
        <f t="shared" si="13"/>
        <v>#DIV/0!</v>
      </c>
      <c r="AE10" s="26" t="e">
        <f>AD10*100/AD$2</f>
        <v>#DIV/0!</v>
      </c>
    </row>
    <row r="11" spans="1:32" x14ac:dyDescent="0.25">
      <c r="A11" s="29"/>
      <c r="B11" s="27"/>
      <c r="C11" s="23" t="e">
        <f t="shared" si="0"/>
        <v>#DIV/0!</v>
      </c>
      <c r="D11" s="27"/>
      <c r="E11" s="23" t="e">
        <f t="shared" si="1"/>
        <v>#DIV/0!</v>
      </c>
      <c r="F11" s="27"/>
      <c r="G11" s="23" t="e">
        <f t="shared" si="4"/>
        <v>#DIV/0!</v>
      </c>
      <c r="H11" s="27"/>
      <c r="I11" s="23" t="e">
        <f t="shared" si="5"/>
        <v>#DIV/0!</v>
      </c>
      <c r="J11" s="27"/>
      <c r="K11" s="23" t="e">
        <f t="shared" si="6"/>
        <v>#DIV/0!</v>
      </c>
      <c r="L11" s="27"/>
      <c r="M11" s="23" t="e">
        <f t="shared" si="7"/>
        <v>#DIV/0!</v>
      </c>
      <c r="N11" s="27"/>
      <c r="O11" s="23" t="e">
        <f t="shared" si="8"/>
        <v>#DIV/0!</v>
      </c>
      <c r="P11" s="27"/>
      <c r="Q11" s="23" t="e">
        <f t="shared" si="9"/>
        <v>#DIV/0!</v>
      </c>
      <c r="R11" s="27"/>
      <c r="S11" s="23" t="e">
        <f t="shared" si="10"/>
        <v>#DIV/0!</v>
      </c>
      <c r="T11" s="27"/>
      <c r="U11" s="23" t="e">
        <f t="shared" si="11"/>
        <v>#DIV/0!</v>
      </c>
      <c r="V11" s="27"/>
      <c r="W11" s="23" t="e">
        <f t="shared" si="12"/>
        <v>#DIV/0!</v>
      </c>
      <c r="X11" s="27"/>
      <c r="Y11" s="23" t="e">
        <f t="shared" si="2"/>
        <v>#DIV/0!</v>
      </c>
      <c r="Z11" s="27"/>
      <c r="AA11" s="23" t="e">
        <f t="shared" si="3"/>
        <v>#DIV/0!</v>
      </c>
      <c r="AB11" s="24" t="e">
        <f t="shared" si="14"/>
        <v>#DIV/0!</v>
      </c>
      <c r="AC11" s="23" t="e">
        <f t="shared" si="15"/>
        <v>#DIV/0!</v>
      </c>
      <c r="AD11" s="28" t="e">
        <f t="shared" si="13"/>
        <v>#DIV/0!</v>
      </c>
      <c r="AE11" s="26" t="e">
        <f t="shared" si="16"/>
        <v>#DIV/0!</v>
      </c>
    </row>
    <row r="12" spans="1:32" x14ac:dyDescent="0.25">
      <c r="A12" s="30"/>
      <c r="B12" s="27"/>
      <c r="C12" s="23" t="e">
        <f t="shared" si="0"/>
        <v>#DIV/0!</v>
      </c>
      <c r="D12" s="27"/>
      <c r="E12" s="23" t="e">
        <f t="shared" si="1"/>
        <v>#DIV/0!</v>
      </c>
      <c r="F12" s="27"/>
      <c r="G12" s="23" t="e">
        <f t="shared" si="4"/>
        <v>#DIV/0!</v>
      </c>
      <c r="H12" s="27"/>
      <c r="I12" s="23" t="e">
        <f t="shared" si="5"/>
        <v>#DIV/0!</v>
      </c>
      <c r="J12" s="27"/>
      <c r="K12" s="23" t="e">
        <f t="shared" si="6"/>
        <v>#DIV/0!</v>
      </c>
      <c r="L12" s="27"/>
      <c r="M12" s="23" t="e">
        <f t="shared" si="7"/>
        <v>#DIV/0!</v>
      </c>
      <c r="N12" s="27"/>
      <c r="O12" s="23" t="e">
        <f t="shared" si="8"/>
        <v>#DIV/0!</v>
      </c>
      <c r="P12" s="27"/>
      <c r="Q12" s="23" t="e">
        <f t="shared" si="9"/>
        <v>#DIV/0!</v>
      </c>
      <c r="R12" s="27"/>
      <c r="S12" s="23" t="e">
        <f t="shared" si="10"/>
        <v>#DIV/0!</v>
      </c>
      <c r="T12" s="27"/>
      <c r="U12" s="23" t="e">
        <f t="shared" si="11"/>
        <v>#DIV/0!</v>
      </c>
      <c r="V12" s="27"/>
      <c r="W12" s="23" t="e">
        <f t="shared" si="12"/>
        <v>#DIV/0!</v>
      </c>
      <c r="X12" s="27"/>
      <c r="Y12" s="23" t="e">
        <f t="shared" si="2"/>
        <v>#DIV/0!</v>
      </c>
      <c r="Z12" s="27"/>
      <c r="AA12" s="23" t="e">
        <f t="shared" si="3"/>
        <v>#DIV/0!</v>
      </c>
      <c r="AB12" s="24" t="e">
        <f t="shared" si="14"/>
        <v>#DIV/0!</v>
      </c>
      <c r="AC12" s="23" t="e">
        <f t="shared" si="15"/>
        <v>#DIV/0!</v>
      </c>
      <c r="AD12" s="28" t="e">
        <f t="shared" si="13"/>
        <v>#DIV/0!</v>
      </c>
      <c r="AE12" s="26" t="e">
        <f t="shared" si="16"/>
        <v>#DIV/0!</v>
      </c>
    </row>
    <row r="13" spans="1:32" x14ac:dyDescent="0.25">
      <c r="A13" s="29"/>
      <c r="B13" s="27"/>
      <c r="C13" s="23" t="e">
        <f t="shared" si="0"/>
        <v>#DIV/0!</v>
      </c>
      <c r="D13" s="27"/>
      <c r="E13" s="23" t="e">
        <f t="shared" si="1"/>
        <v>#DIV/0!</v>
      </c>
      <c r="F13" s="27"/>
      <c r="G13" s="23" t="e">
        <f t="shared" si="4"/>
        <v>#DIV/0!</v>
      </c>
      <c r="H13" s="27"/>
      <c r="I13" s="23" t="e">
        <f t="shared" si="5"/>
        <v>#DIV/0!</v>
      </c>
      <c r="J13" s="27"/>
      <c r="K13" s="23" t="e">
        <f t="shared" si="6"/>
        <v>#DIV/0!</v>
      </c>
      <c r="L13" s="27"/>
      <c r="M13" s="23" t="e">
        <f t="shared" si="7"/>
        <v>#DIV/0!</v>
      </c>
      <c r="N13" s="27"/>
      <c r="O13" s="23" t="e">
        <f t="shared" si="8"/>
        <v>#DIV/0!</v>
      </c>
      <c r="P13" s="27"/>
      <c r="Q13" s="23" t="e">
        <f t="shared" si="9"/>
        <v>#DIV/0!</v>
      </c>
      <c r="R13" s="27"/>
      <c r="S13" s="23" t="e">
        <f t="shared" si="10"/>
        <v>#DIV/0!</v>
      </c>
      <c r="T13" s="27"/>
      <c r="U13" s="23" t="e">
        <f t="shared" si="11"/>
        <v>#DIV/0!</v>
      </c>
      <c r="V13" s="27"/>
      <c r="W13" s="23" t="e">
        <f t="shared" si="12"/>
        <v>#DIV/0!</v>
      </c>
      <c r="X13" s="27"/>
      <c r="Y13" s="23" t="e">
        <f>X13/X$2</f>
        <v>#DIV/0!</v>
      </c>
      <c r="Z13" s="27"/>
      <c r="AA13" s="23" t="e">
        <f>Z13/Z$2</f>
        <v>#DIV/0!</v>
      </c>
      <c r="AB13" s="24" t="e">
        <f>(D13+F13+H13+J13+L13+N13+P13+R13+T13+V13+X13+Z13)/AF$2</f>
        <v>#DIV/0!</v>
      </c>
      <c r="AC13" s="23" t="e">
        <f>AB13/AB$2</f>
        <v>#DIV/0!</v>
      </c>
      <c r="AD13" s="28" t="e">
        <f>AB13*12</f>
        <v>#DIV/0!</v>
      </c>
      <c r="AE13" s="26" t="e">
        <f>AD13*100/AD$2</f>
        <v>#DIV/0!</v>
      </c>
    </row>
    <row r="14" spans="1:32" x14ac:dyDescent="0.25">
      <c r="A14" s="29"/>
      <c r="B14" s="27"/>
      <c r="C14" s="23" t="e">
        <f t="shared" si="0"/>
        <v>#DIV/0!</v>
      </c>
      <c r="D14" s="27"/>
      <c r="E14" s="23" t="e">
        <f t="shared" si="1"/>
        <v>#DIV/0!</v>
      </c>
      <c r="F14" s="27"/>
      <c r="G14" s="23" t="e">
        <f t="shared" si="4"/>
        <v>#DIV/0!</v>
      </c>
      <c r="H14" s="27"/>
      <c r="I14" s="23" t="e">
        <f t="shared" si="5"/>
        <v>#DIV/0!</v>
      </c>
      <c r="J14" s="27"/>
      <c r="K14" s="23" t="e">
        <f t="shared" si="6"/>
        <v>#DIV/0!</v>
      </c>
      <c r="L14" s="27"/>
      <c r="M14" s="23" t="e">
        <f t="shared" si="7"/>
        <v>#DIV/0!</v>
      </c>
      <c r="N14" s="27"/>
      <c r="O14" s="23" t="e">
        <f t="shared" si="8"/>
        <v>#DIV/0!</v>
      </c>
      <c r="P14" s="27"/>
      <c r="Q14" s="23" t="e">
        <f t="shared" si="9"/>
        <v>#DIV/0!</v>
      </c>
      <c r="R14" s="27"/>
      <c r="S14" s="23" t="e">
        <f t="shared" si="10"/>
        <v>#DIV/0!</v>
      </c>
      <c r="T14" s="27"/>
      <c r="U14" s="23" t="e">
        <f t="shared" si="11"/>
        <v>#DIV/0!</v>
      </c>
      <c r="V14" s="27"/>
      <c r="W14" s="23" t="e">
        <f t="shared" si="12"/>
        <v>#DIV/0!</v>
      </c>
      <c r="X14" s="27"/>
      <c r="Y14" s="23" t="e">
        <f>X14/X$2</f>
        <v>#DIV/0!</v>
      </c>
      <c r="Z14" s="27"/>
      <c r="AA14" s="23" t="e">
        <f>Z14/Z$2</f>
        <v>#DIV/0!</v>
      </c>
      <c r="AB14" s="24" t="e">
        <f>(D14+F14+H14+J14+L14+N14+P14+R14+T14+V14+X14+Z14)/AF$2</f>
        <v>#DIV/0!</v>
      </c>
      <c r="AC14" s="23" t="e">
        <f>AB14/AB$2</f>
        <v>#DIV/0!</v>
      </c>
      <c r="AD14" s="28" t="e">
        <f>AB14*12</f>
        <v>#DIV/0!</v>
      </c>
      <c r="AE14" s="26" t="e">
        <f>AD14*100/AD$2</f>
        <v>#DIV/0!</v>
      </c>
    </row>
    <row r="15" spans="1:32" x14ac:dyDescent="0.25">
      <c r="A15" s="55"/>
      <c r="B15" s="27"/>
      <c r="C15" s="23" t="e">
        <f t="shared" si="0"/>
        <v>#DIV/0!</v>
      </c>
      <c r="D15" s="27"/>
      <c r="E15" s="23" t="e">
        <f t="shared" si="1"/>
        <v>#DIV/0!</v>
      </c>
      <c r="F15" s="27"/>
      <c r="G15" s="23" t="e">
        <f t="shared" si="4"/>
        <v>#DIV/0!</v>
      </c>
      <c r="H15" s="27"/>
      <c r="I15" s="23" t="e">
        <f t="shared" si="5"/>
        <v>#DIV/0!</v>
      </c>
      <c r="J15" s="27"/>
      <c r="K15" s="23" t="e">
        <f t="shared" si="6"/>
        <v>#DIV/0!</v>
      </c>
      <c r="L15" s="27"/>
      <c r="M15" s="23" t="e">
        <f t="shared" si="7"/>
        <v>#DIV/0!</v>
      </c>
      <c r="N15" s="27"/>
      <c r="O15" s="23" t="e">
        <f t="shared" si="8"/>
        <v>#DIV/0!</v>
      </c>
      <c r="P15" s="27"/>
      <c r="Q15" s="23" t="e">
        <f t="shared" si="9"/>
        <v>#DIV/0!</v>
      </c>
      <c r="R15" s="27"/>
      <c r="S15" s="23" t="e">
        <f t="shared" si="10"/>
        <v>#DIV/0!</v>
      </c>
      <c r="T15" s="27"/>
      <c r="U15" s="23" t="e">
        <f t="shared" si="11"/>
        <v>#DIV/0!</v>
      </c>
      <c r="V15" s="27"/>
      <c r="W15" s="23" t="e">
        <f t="shared" si="12"/>
        <v>#DIV/0!</v>
      </c>
      <c r="X15" s="27"/>
      <c r="Y15" s="23" t="e">
        <f>X15/X$2</f>
        <v>#DIV/0!</v>
      </c>
      <c r="Z15" s="27"/>
      <c r="AA15" s="23" t="e">
        <f>Z15/Z$2</f>
        <v>#DIV/0!</v>
      </c>
      <c r="AB15" s="24" t="e">
        <f>(D15+F15+H15+J15+L15+N15+P15+R15+T15+V15+X15+Z15)/AF$2</f>
        <v>#DIV/0!</v>
      </c>
      <c r="AC15" s="23" t="e">
        <f>AB15/AB$2</f>
        <v>#DIV/0!</v>
      </c>
      <c r="AD15" s="28" t="e">
        <f>AB15*12</f>
        <v>#DIV/0!</v>
      </c>
      <c r="AE15" s="26" t="e">
        <f>AD15*100/AD$2</f>
        <v>#DIV/0!</v>
      </c>
    </row>
    <row r="16" spans="1:32" ht="13.8" thickBot="1" x14ac:dyDescent="0.3">
      <c r="A16" s="29"/>
      <c r="B16" s="27"/>
      <c r="C16" s="23" t="e">
        <f t="shared" si="0"/>
        <v>#DIV/0!</v>
      </c>
      <c r="D16" s="27"/>
      <c r="E16" s="23" t="e">
        <f t="shared" si="1"/>
        <v>#DIV/0!</v>
      </c>
      <c r="F16" s="27"/>
      <c r="G16" s="23" t="e">
        <f t="shared" si="4"/>
        <v>#DIV/0!</v>
      </c>
      <c r="H16" s="27"/>
      <c r="I16" s="23" t="e">
        <f t="shared" si="5"/>
        <v>#DIV/0!</v>
      </c>
      <c r="J16" s="27"/>
      <c r="K16" s="23" t="e">
        <f t="shared" si="6"/>
        <v>#DIV/0!</v>
      </c>
      <c r="L16" s="27"/>
      <c r="M16" s="23" t="e">
        <f t="shared" si="7"/>
        <v>#DIV/0!</v>
      </c>
      <c r="N16" s="27"/>
      <c r="O16" s="23" t="e">
        <f t="shared" si="8"/>
        <v>#DIV/0!</v>
      </c>
      <c r="P16" s="27"/>
      <c r="Q16" s="23" t="e">
        <f t="shared" si="9"/>
        <v>#DIV/0!</v>
      </c>
      <c r="R16" s="27"/>
      <c r="S16" s="23" t="e">
        <f t="shared" si="10"/>
        <v>#DIV/0!</v>
      </c>
      <c r="T16" s="27"/>
      <c r="U16" s="23" t="e">
        <f t="shared" si="11"/>
        <v>#DIV/0!</v>
      </c>
      <c r="V16" s="27"/>
      <c r="W16" s="23" t="e">
        <f t="shared" si="12"/>
        <v>#DIV/0!</v>
      </c>
      <c r="X16" s="27"/>
      <c r="Y16" s="23" t="e">
        <f>X16/X$2</f>
        <v>#DIV/0!</v>
      </c>
      <c r="Z16" s="27"/>
      <c r="AA16" s="23" t="e">
        <f>Z16/Z$2</f>
        <v>#DIV/0!</v>
      </c>
      <c r="AB16" s="24" t="e">
        <f>(D16+F16+H16+J16+L16+N16+P16+R16+T16+V16+X16+Z16)/AF$2</f>
        <v>#DIV/0!</v>
      </c>
      <c r="AC16" s="23" t="e">
        <f>AB16/AB$2</f>
        <v>#DIV/0!</v>
      </c>
      <c r="AD16" s="28" t="e">
        <f>AB16*12</f>
        <v>#DIV/0!</v>
      </c>
      <c r="AE16" s="26" t="e">
        <f>AD16*100/AD$2</f>
        <v>#DIV/0!</v>
      </c>
    </row>
    <row r="17" spans="1:31" ht="13.8" thickBot="1" x14ac:dyDescent="0.3">
      <c r="A17" s="14" t="s">
        <v>49</v>
      </c>
      <c r="B17" s="17">
        <f>B2-B3</f>
        <v>0</v>
      </c>
      <c r="C17" s="15" t="e">
        <f t="shared" si="0"/>
        <v>#DIV/0!</v>
      </c>
      <c r="D17" s="17">
        <f>D2-D3</f>
        <v>0</v>
      </c>
      <c r="E17" s="15" t="e">
        <f t="shared" si="1"/>
        <v>#DIV/0!</v>
      </c>
      <c r="F17" s="57">
        <f>F2-F3</f>
        <v>0</v>
      </c>
      <c r="G17" s="15" t="e">
        <f t="shared" si="4"/>
        <v>#DIV/0!</v>
      </c>
      <c r="H17" s="17">
        <f>H2-H3</f>
        <v>0</v>
      </c>
      <c r="I17" s="15" t="e">
        <f t="shared" si="5"/>
        <v>#DIV/0!</v>
      </c>
      <c r="J17" s="17">
        <f>J2-J3</f>
        <v>0</v>
      </c>
      <c r="K17" s="15" t="e">
        <f t="shared" si="6"/>
        <v>#DIV/0!</v>
      </c>
      <c r="L17" s="17">
        <f>L2-L3</f>
        <v>0</v>
      </c>
      <c r="M17" s="15" t="e">
        <f t="shared" si="7"/>
        <v>#DIV/0!</v>
      </c>
      <c r="N17" s="17">
        <f>N2-N3</f>
        <v>0</v>
      </c>
      <c r="O17" s="15" t="e">
        <f t="shared" si="8"/>
        <v>#DIV/0!</v>
      </c>
      <c r="P17" s="17">
        <f>P2-P3</f>
        <v>0</v>
      </c>
      <c r="Q17" s="15" t="e">
        <f t="shared" si="9"/>
        <v>#DIV/0!</v>
      </c>
      <c r="R17" s="17">
        <f>R2-R3</f>
        <v>0</v>
      </c>
      <c r="S17" s="15" t="e">
        <f t="shared" si="10"/>
        <v>#DIV/0!</v>
      </c>
      <c r="T17" s="17">
        <f>T2-T3</f>
        <v>0</v>
      </c>
      <c r="U17" s="15" t="e">
        <f t="shared" si="11"/>
        <v>#DIV/0!</v>
      </c>
      <c r="V17" s="17">
        <f>V2-V3</f>
        <v>0</v>
      </c>
      <c r="W17" s="15" t="e">
        <f t="shared" si="12"/>
        <v>#DIV/0!</v>
      </c>
      <c r="X17" s="17">
        <f>X2-X3</f>
        <v>0</v>
      </c>
      <c r="Y17" s="15" t="e">
        <f t="shared" si="2"/>
        <v>#DIV/0!</v>
      </c>
      <c r="Z17" s="17">
        <f>Z2-Z3</f>
        <v>0</v>
      </c>
      <c r="AA17" s="15" t="e">
        <f t="shared" si="3"/>
        <v>#DIV/0!</v>
      </c>
      <c r="AB17" s="31" t="e">
        <f>SUM(AB2-AB3)</f>
        <v>#DIV/0!</v>
      </c>
      <c r="AC17" s="15" t="e">
        <f t="shared" si="15"/>
        <v>#DIV/0!</v>
      </c>
      <c r="AD17" s="17" t="e">
        <f>SUM(AD2-AD3)</f>
        <v>#DIV/0!</v>
      </c>
      <c r="AE17" s="21" t="e">
        <f t="shared" si="16"/>
        <v>#DIV/0!</v>
      </c>
    </row>
    <row r="18" spans="1:31" ht="13.8" thickBot="1" x14ac:dyDescent="0.3">
      <c r="A18" s="14" t="s">
        <v>52</v>
      </c>
      <c r="B18" s="17">
        <f>SUM(B19:B68)</f>
        <v>0</v>
      </c>
      <c r="C18" s="15" t="e">
        <f t="shared" si="0"/>
        <v>#DIV/0!</v>
      </c>
      <c r="D18" s="17"/>
      <c r="E18" s="15" t="e">
        <f t="shared" si="1"/>
        <v>#DIV/0!</v>
      </c>
      <c r="F18" s="57">
        <f>SUM(F19:F68)</f>
        <v>0</v>
      </c>
      <c r="G18" s="15" t="e">
        <f t="shared" si="4"/>
        <v>#DIV/0!</v>
      </c>
      <c r="H18" s="17">
        <f>SUM(H19:H68)</f>
        <v>0</v>
      </c>
      <c r="I18" s="15" t="e">
        <f t="shared" si="5"/>
        <v>#DIV/0!</v>
      </c>
      <c r="J18" s="17">
        <f>SUM(J19:J68)</f>
        <v>0</v>
      </c>
      <c r="K18" s="15" t="e">
        <f t="shared" si="6"/>
        <v>#DIV/0!</v>
      </c>
      <c r="L18" s="17">
        <f>SUM(L19:L68)</f>
        <v>0</v>
      </c>
      <c r="M18" s="15" t="e">
        <f t="shared" si="7"/>
        <v>#DIV/0!</v>
      </c>
      <c r="N18" s="17">
        <f>SUM(N19:N68)</f>
        <v>0</v>
      </c>
      <c r="O18" s="15" t="e">
        <f t="shared" si="8"/>
        <v>#DIV/0!</v>
      </c>
      <c r="P18" s="17">
        <f>SUM(P19:P68)</f>
        <v>0</v>
      </c>
      <c r="Q18" s="15" t="e">
        <f t="shared" si="9"/>
        <v>#DIV/0!</v>
      </c>
      <c r="R18" s="17">
        <f>SUM(R19:R68)</f>
        <v>0</v>
      </c>
      <c r="S18" s="15" t="e">
        <f t="shared" si="10"/>
        <v>#DIV/0!</v>
      </c>
      <c r="T18" s="17">
        <f>SUM(T19:T68)</f>
        <v>0</v>
      </c>
      <c r="U18" s="15" t="e">
        <f t="shared" si="11"/>
        <v>#DIV/0!</v>
      </c>
      <c r="V18" s="17">
        <f>SUM(V19:V68)</f>
        <v>0</v>
      </c>
      <c r="W18" s="15" t="e">
        <f t="shared" si="12"/>
        <v>#DIV/0!</v>
      </c>
      <c r="X18" s="17">
        <f>SUM(X19:X68)</f>
        <v>0</v>
      </c>
      <c r="Y18" s="15" t="e">
        <f t="shared" si="2"/>
        <v>#DIV/0!</v>
      </c>
      <c r="Z18" s="17">
        <f>SUM(Z19:Z68)</f>
        <v>0</v>
      </c>
      <c r="AA18" s="15" t="e">
        <f t="shared" si="3"/>
        <v>#DIV/0!</v>
      </c>
      <c r="AB18" s="17" t="e">
        <f>SUM(AB19:AB68)</f>
        <v>#DIV/0!</v>
      </c>
      <c r="AC18" s="15" t="e">
        <f t="shared" si="15"/>
        <v>#DIV/0!</v>
      </c>
      <c r="AD18" s="31" t="e">
        <f>SUM(AD19:AD68)</f>
        <v>#DIV/0!</v>
      </c>
      <c r="AE18" s="32" t="e">
        <f t="shared" si="16"/>
        <v>#DIV/0!</v>
      </c>
    </row>
    <row r="19" spans="1:31" x14ac:dyDescent="0.25">
      <c r="A19" s="47" t="s">
        <v>62</v>
      </c>
      <c r="B19" s="53"/>
      <c r="C19" s="23" t="e">
        <f t="shared" si="0"/>
        <v>#DIV/0!</v>
      </c>
      <c r="D19" s="46"/>
      <c r="E19" s="23" t="e">
        <f t="shared" si="1"/>
        <v>#DIV/0!</v>
      </c>
      <c r="F19" s="46"/>
      <c r="G19" s="23" t="e">
        <f t="shared" si="4"/>
        <v>#DIV/0!</v>
      </c>
      <c r="H19" s="46"/>
      <c r="I19" s="23" t="e">
        <f t="shared" si="5"/>
        <v>#DIV/0!</v>
      </c>
      <c r="J19" s="46"/>
      <c r="K19" s="23" t="e">
        <f t="shared" si="6"/>
        <v>#DIV/0!</v>
      </c>
      <c r="L19" s="46"/>
      <c r="M19" s="23" t="e">
        <f t="shared" si="7"/>
        <v>#DIV/0!</v>
      </c>
      <c r="N19" s="46"/>
      <c r="O19" s="23" t="e">
        <f t="shared" si="8"/>
        <v>#DIV/0!</v>
      </c>
      <c r="P19" s="46"/>
      <c r="Q19" s="23" t="e">
        <f t="shared" si="9"/>
        <v>#DIV/0!</v>
      </c>
      <c r="R19" s="46"/>
      <c r="S19" s="23" t="e">
        <f t="shared" si="10"/>
        <v>#DIV/0!</v>
      </c>
      <c r="T19" s="46"/>
      <c r="U19" s="23" t="e">
        <f t="shared" si="11"/>
        <v>#DIV/0!</v>
      </c>
      <c r="V19" s="46"/>
      <c r="W19" s="23" t="e">
        <f t="shared" si="12"/>
        <v>#DIV/0!</v>
      </c>
      <c r="X19" s="22"/>
      <c r="Y19" s="23" t="e">
        <f t="shared" si="2"/>
        <v>#DIV/0!</v>
      </c>
      <c r="Z19" s="22"/>
      <c r="AA19" s="23" t="e">
        <f t="shared" si="3"/>
        <v>#DIV/0!</v>
      </c>
      <c r="AB19" s="24" t="e">
        <f t="shared" ref="AB19:AB60" si="17">(D19+F19+H19+J19+L19+N19+P19+R19+T19+V19+X19+Z19)/AF$2</f>
        <v>#DIV/0!</v>
      </c>
      <c r="AC19" s="23" t="e">
        <f t="shared" si="15"/>
        <v>#DIV/0!</v>
      </c>
      <c r="AD19" s="28" t="e">
        <f t="shared" ref="AD19:AD60" si="18">AB19*12</f>
        <v>#DIV/0!</v>
      </c>
      <c r="AE19" s="26" t="e">
        <f t="shared" si="16"/>
        <v>#DIV/0!</v>
      </c>
    </row>
    <row r="20" spans="1:31" x14ac:dyDescent="0.25">
      <c r="A20" s="47" t="s">
        <v>99</v>
      </c>
      <c r="B20" s="52"/>
      <c r="C20" s="23" t="e">
        <f t="shared" ref="C20:C67" si="19">B20/B$2</f>
        <v>#DIV/0!</v>
      </c>
      <c r="D20" s="46"/>
      <c r="E20" s="23" t="e">
        <f t="shared" si="1"/>
        <v>#DIV/0!</v>
      </c>
      <c r="F20" s="46"/>
      <c r="G20" s="23" t="e">
        <f t="shared" ref="G20:G52" si="20">F20/F$2</f>
        <v>#DIV/0!</v>
      </c>
      <c r="H20" s="46"/>
      <c r="I20" s="23" t="e">
        <f t="shared" si="5"/>
        <v>#DIV/0!</v>
      </c>
      <c r="J20" s="46"/>
      <c r="K20" s="23" t="e">
        <f t="shared" si="6"/>
        <v>#DIV/0!</v>
      </c>
      <c r="L20" s="46"/>
      <c r="M20" s="23" t="e">
        <f t="shared" si="7"/>
        <v>#DIV/0!</v>
      </c>
      <c r="N20" s="46"/>
      <c r="O20" s="23" t="e">
        <f t="shared" si="8"/>
        <v>#DIV/0!</v>
      </c>
      <c r="P20" s="46"/>
      <c r="Q20" s="23" t="e">
        <f t="shared" si="9"/>
        <v>#DIV/0!</v>
      </c>
      <c r="R20" s="46"/>
      <c r="S20" s="23" t="e">
        <f t="shared" si="10"/>
        <v>#DIV/0!</v>
      </c>
      <c r="T20" s="46"/>
      <c r="U20" s="23" t="e">
        <f t="shared" si="11"/>
        <v>#DIV/0!</v>
      </c>
      <c r="V20" s="46"/>
      <c r="W20" s="23" t="e">
        <f t="shared" si="12"/>
        <v>#DIV/0!</v>
      </c>
      <c r="X20" s="27"/>
      <c r="Y20" s="23" t="e">
        <f t="shared" si="2"/>
        <v>#DIV/0!</v>
      </c>
      <c r="Z20" s="27"/>
      <c r="AA20" s="23" t="e">
        <f t="shared" si="3"/>
        <v>#DIV/0!</v>
      </c>
      <c r="AB20" s="24" t="e">
        <f t="shared" si="17"/>
        <v>#DIV/0!</v>
      </c>
      <c r="AC20" s="23" t="e">
        <f t="shared" si="15"/>
        <v>#DIV/0!</v>
      </c>
      <c r="AD20" s="28" t="e">
        <f t="shared" si="18"/>
        <v>#DIV/0!</v>
      </c>
      <c r="AE20" s="26" t="e">
        <f t="shared" si="16"/>
        <v>#DIV/0!</v>
      </c>
    </row>
    <row r="21" spans="1:31" x14ac:dyDescent="0.25">
      <c r="A21" s="55" t="s">
        <v>59</v>
      </c>
      <c r="B21" s="52"/>
      <c r="C21" s="23" t="e">
        <f t="shared" si="19"/>
        <v>#DIV/0!</v>
      </c>
      <c r="D21" s="46"/>
      <c r="E21" s="23" t="e">
        <f t="shared" si="1"/>
        <v>#DIV/0!</v>
      </c>
      <c r="F21" s="46"/>
      <c r="G21" s="23" t="e">
        <f t="shared" si="20"/>
        <v>#DIV/0!</v>
      </c>
      <c r="H21" s="46"/>
      <c r="I21" s="23" t="e">
        <f t="shared" si="5"/>
        <v>#DIV/0!</v>
      </c>
      <c r="J21" s="46"/>
      <c r="K21" s="23" t="e">
        <f t="shared" si="6"/>
        <v>#DIV/0!</v>
      </c>
      <c r="L21" s="46"/>
      <c r="M21" s="23" t="e">
        <f t="shared" si="7"/>
        <v>#DIV/0!</v>
      </c>
      <c r="N21" s="46"/>
      <c r="O21" s="23" t="e">
        <f t="shared" si="8"/>
        <v>#DIV/0!</v>
      </c>
      <c r="P21" s="46"/>
      <c r="Q21" s="23" t="e">
        <f t="shared" si="9"/>
        <v>#DIV/0!</v>
      </c>
      <c r="R21" s="46"/>
      <c r="S21" s="23" t="e">
        <f t="shared" si="10"/>
        <v>#DIV/0!</v>
      </c>
      <c r="T21" s="46"/>
      <c r="U21" s="23" t="e">
        <f t="shared" si="11"/>
        <v>#DIV/0!</v>
      </c>
      <c r="V21" s="46"/>
      <c r="W21" s="23" t="e">
        <f t="shared" si="12"/>
        <v>#DIV/0!</v>
      </c>
      <c r="X21" s="27"/>
      <c r="Y21" s="23" t="e">
        <f t="shared" si="2"/>
        <v>#DIV/0!</v>
      </c>
      <c r="Z21" s="27"/>
      <c r="AA21" s="23" t="e">
        <f t="shared" si="3"/>
        <v>#DIV/0!</v>
      </c>
      <c r="AB21" s="24" t="e">
        <f t="shared" si="17"/>
        <v>#DIV/0!</v>
      </c>
      <c r="AC21" s="23" t="e">
        <f t="shared" si="15"/>
        <v>#DIV/0!</v>
      </c>
      <c r="AD21" s="28" t="e">
        <f t="shared" si="18"/>
        <v>#DIV/0!</v>
      </c>
      <c r="AE21" s="26" t="e">
        <f t="shared" si="16"/>
        <v>#DIV/0!</v>
      </c>
    </row>
    <row r="22" spans="1:31" x14ac:dyDescent="0.25">
      <c r="A22" s="29" t="s">
        <v>67</v>
      </c>
      <c r="B22" s="52"/>
      <c r="C22" s="23" t="e">
        <f t="shared" si="19"/>
        <v>#DIV/0!</v>
      </c>
      <c r="D22" s="46"/>
      <c r="E22" s="23" t="e">
        <f t="shared" si="1"/>
        <v>#DIV/0!</v>
      </c>
      <c r="F22" s="46"/>
      <c r="G22" s="23" t="e">
        <f t="shared" si="20"/>
        <v>#DIV/0!</v>
      </c>
      <c r="H22" s="46"/>
      <c r="I22" s="23" t="e">
        <f t="shared" si="5"/>
        <v>#DIV/0!</v>
      </c>
      <c r="J22" s="46"/>
      <c r="K22" s="23" t="e">
        <f t="shared" si="6"/>
        <v>#DIV/0!</v>
      </c>
      <c r="L22" s="46"/>
      <c r="M22" s="23" t="e">
        <f t="shared" si="7"/>
        <v>#DIV/0!</v>
      </c>
      <c r="N22" s="46"/>
      <c r="O22" s="23" t="e">
        <f t="shared" si="8"/>
        <v>#DIV/0!</v>
      </c>
      <c r="P22" s="46"/>
      <c r="Q22" s="23" t="e">
        <f t="shared" si="9"/>
        <v>#DIV/0!</v>
      </c>
      <c r="R22" s="46"/>
      <c r="S22" s="23" t="e">
        <f t="shared" si="10"/>
        <v>#DIV/0!</v>
      </c>
      <c r="T22" s="46"/>
      <c r="U22" s="23" t="e">
        <f t="shared" si="11"/>
        <v>#DIV/0!</v>
      </c>
      <c r="V22" s="46"/>
      <c r="W22" s="23" t="e">
        <f t="shared" si="12"/>
        <v>#DIV/0!</v>
      </c>
      <c r="X22" s="27"/>
      <c r="Y22" s="23" t="e">
        <f t="shared" si="2"/>
        <v>#DIV/0!</v>
      </c>
      <c r="Z22" s="27"/>
      <c r="AA22" s="23" t="e">
        <f t="shared" si="3"/>
        <v>#DIV/0!</v>
      </c>
      <c r="AB22" s="24" t="e">
        <f t="shared" si="17"/>
        <v>#DIV/0!</v>
      </c>
      <c r="AC22" s="23" t="e">
        <f t="shared" si="15"/>
        <v>#DIV/0!</v>
      </c>
      <c r="AD22" s="28" t="e">
        <f t="shared" si="18"/>
        <v>#DIV/0!</v>
      </c>
      <c r="AE22" s="26" t="e">
        <f t="shared" si="16"/>
        <v>#DIV/0!</v>
      </c>
    </row>
    <row r="23" spans="1:31" x14ac:dyDescent="0.25">
      <c r="A23" s="29" t="s">
        <v>68</v>
      </c>
      <c r="B23" s="52"/>
      <c r="C23" s="23" t="e">
        <f t="shared" si="19"/>
        <v>#DIV/0!</v>
      </c>
      <c r="D23" s="46"/>
      <c r="E23" s="23" t="e">
        <f t="shared" si="1"/>
        <v>#DIV/0!</v>
      </c>
      <c r="F23" s="46"/>
      <c r="G23" s="23" t="e">
        <f t="shared" si="20"/>
        <v>#DIV/0!</v>
      </c>
      <c r="H23" s="46"/>
      <c r="I23" s="23" t="e">
        <f t="shared" si="5"/>
        <v>#DIV/0!</v>
      </c>
      <c r="J23" s="46"/>
      <c r="K23" s="23" t="e">
        <f t="shared" si="6"/>
        <v>#DIV/0!</v>
      </c>
      <c r="L23" s="46"/>
      <c r="M23" s="23" t="e">
        <f t="shared" si="7"/>
        <v>#DIV/0!</v>
      </c>
      <c r="N23" s="46"/>
      <c r="O23" s="23" t="e">
        <f t="shared" si="8"/>
        <v>#DIV/0!</v>
      </c>
      <c r="P23" s="46"/>
      <c r="Q23" s="23" t="e">
        <f t="shared" si="9"/>
        <v>#DIV/0!</v>
      </c>
      <c r="R23" s="46"/>
      <c r="S23" s="23" t="e">
        <f t="shared" si="10"/>
        <v>#DIV/0!</v>
      </c>
      <c r="T23" s="46"/>
      <c r="U23" s="23" t="e">
        <f t="shared" si="11"/>
        <v>#DIV/0!</v>
      </c>
      <c r="V23" s="46"/>
      <c r="W23" s="23" t="e">
        <f t="shared" si="12"/>
        <v>#DIV/0!</v>
      </c>
      <c r="X23" s="27"/>
      <c r="Y23" s="23" t="e">
        <f t="shared" si="2"/>
        <v>#DIV/0!</v>
      </c>
      <c r="Z23" s="27"/>
      <c r="AA23" s="23" t="e">
        <f t="shared" si="3"/>
        <v>#DIV/0!</v>
      </c>
      <c r="AB23" s="24" t="e">
        <f t="shared" si="17"/>
        <v>#DIV/0!</v>
      </c>
      <c r="AC23" s="23" t="e">
        <f t="shared" si="15"/>
        <v>#DIV/0!</v>
      </c>
      <c r="AD23" s="28" t="e">
        <f t="shared" si="18"/>
        <v>#DIV/0!</v>
      </c>
      <c r="AE23" s="26" t="e">
        <f t="shared" si="16"/>
        <v>#DIV/0!</v>
      </c>
    </row>
    <row r="24" spans="1:31" x14ac:dyDescent="0.25">
      <c r="A24" s="47" t="s">
        <v>89</v>
      </c>
      <c r="B24" s="52"/>
      <c r="C24" s="23" t="e">
        <f t="shared" si="19"/>
        <v>#DIV/0!</v>
      </c>
      <c r="D24" s="46"/>
      <c r="E24" s="23" t="e">
        <f t="shared" si="1"/>
        <v>#DIV/0!</v>
      </c>
      <c r="F24" s="46"/>
      <c r="G24" s="23" t="e">
        <f t="shared" si="20"/>
        <v>#DIV/0!</v>
      </c>
      <c r="H24" s="46"/>
      <c r="I24" s="23" t="e">
        <f>H24/H$2</f>
        <v>#DIV/0!</v>
      </c>
      <c r="J24" s="46"/>
      <c r="K24" s="23" t="e">
        <f>J24/J$2</f>
        <v>#DIV/0!</v>
      </c>
      <c r="L24" s="46"/>
      <c r="M24" s="23" t="e">
        <f>L24/L$2</f>
        <v>#DIV/0!</v>
      </c>
      <c r="N24" s="46"/>
      <c r="O24" s="23" t="e">
        <f>N24/N$2</f>
        <v>#DIV/0!</v>
      </c>
      <c r="P24" s="46"/>
      <c r="Q24" s="23" t="e">
        <f>P24/P$2</f>
        <v>#DIV/0!</v>
      </c>
      <c r="R24" s="46"/>
      <c r="S24" s="23" t="e">
        <f>R24/R$2</f>
        <v>#DIV/0!</v>
      </c>
      <c r="T24" s="46"/>
      <c r="U24" s="23" t="e">
        <f>T24/T$2</f>
        <v>#DIV/0!</v>
      </c>
      <c r="V24" s="46"/>
      <c r="W24" s="23" t="e">
        <f>V24/V$2</f>
        <v>#DIV/0!</v>
      </c>
      <c r="X24" s="27"/>
      <c r="Y24" s="23" t="e">
        <f>X24/X$2</f>
        <v>#DIV/0!</v>
      </c>
      <c r="Z24" s="27"/>
      <c r="AA24" s="23" t="e">
        <f>Z24/Z$2</f>
        <v>#DIV/0!</v>
      </c>
      <c r="AB24" s="24" t="e">
        <f>(D24+F24+H24+J24+L24+N24+P24+R24+T24+V24+X24+Z24)/AF$2</f>
        <v>#DIV/0!</v>
      </c>
      <c r="AC24" s="23" t="e">
        <f>AB24/AB$2</f>
        <v>#DIV/0!</v>
      </c>
      <c r="AD24" s="28" t="e">
        <f>AB24*12</f>
        <v>#DIV/0!</v>
      </c>
      <c r="AE24" s="26" t="e">
        <f>AD24*100/AD$2</f>
        <v>#DIV/0!</v>
      </c>
    </row>
    <row r="25" spans="1:31" x14ac:dyDescent="0.25">
      <c r="A25" s="29" t="s">
        <v>69</v>
      </c>
      <c r="B25" s="52"/>
      <c r="C25" s="23" t="e">
        <f t="shared" si="19"/>
        <v>#DIV/0!</v>
      </c>
      <c r="D25" s="46"/>
      <c r="E25" s="23" t="e">
        <f t="shared" si="1"/>
        <v>#DIV/0!</v>
      </c>
      <c r="F25" s="46"/>
      <c r="G25" s="23" t="e">
        <f t="shared" si="20"/>
        <v>#DIV/0!</v>
      </c>
      <c r="H25" s="46"/>
      <c r="I25" s="23" t="e">
        <f t="shared" si="5"/>
        <v>#DIV/0!</v>
      </c>
      <c r="J25" s="46"/>
      <c r="K25" s="23" t="e">
        <f t="shared" si="6"/>
        <v>#DIV/0!</v>
      </c>
      <c r="L25" s="46"/>
      <c r="M25" s="23" t="e">
        <f t="shared" si="7"/>
        <v>#DIV/0!</v>
      </c>
      <c r="N25" s="46"/>
      <c r="O25" s="23" t="e">
        <f t="shared" si="8"/>
        <v>#DIV/0!</v>
      </c>
      <c r="P25" s="46"/>
      <c r="Q25" s="23" t="e">
        <f t="shared" si="9"/>
        <v>#DIV/0!</v>
      </c>
      <c r="R25" s="46"/>
      <c r="S25" s="23" t="e">
        <f t="shared" si="10"/>
        <v>#DIV/0!</v>
      </c>
      <c r="T25" s="46"/>
      <c r="U25" s="23" t="e">
        <f t="shared" si="11"/>
        <v>#DIV/0!</v>
      </c>
      <c r="V25" s="46"/>
      <c r="W25" s="23" t="e">
        <f t="shared" si="12"/>
        <v>#DIV/0!</v>
      </c>
      <c r="X25" s="27"/>
      <c r="Y25" s="23" t="e">
        <f t="shared" si="2"/>
        <v>#DIV/0!</v>
      </c>
      <c r="Z25" s="27"/>
      <c r="AA25" s="23" t="e">
        <f t="shared" si="3"/>
        <v>#DIV/0!</v>
      </c>
      <c r="AB25" s="24" t="e">
        <f t="shared" si="17"/>
        <v>#DIV/0!</v>
      </c>
      <c r="AC25" s="23" t="e">
        <f t="shared" si="15"/>
        <v>#DIV/0!</v>
      </c>
      <c r="AD25" s="28" t="e">
        <f t="shared" si="18"/>
        <v>#DIV/0!</v>
      </c>
      <c r="AE25" s="26" t="e">
        <f t="shared" si="16"/>
        <v>#DIV/0!</v>
      </c>
    </row>
    <row r="26" spans="1:31" x14ac:dyDescent="0.25">
      <c r="A26" s="29" t="s">
        <v>72</v>
      </c>
      <c r="B26" s="52"/>
      <c r="C26" s="23" t="e">
        <f t="shared" si="19"/>
        <v>#DIV/0!</v>
      </c>
      <c r="D26" s="46"/>
      <c r="E26" s="23" t="e">
        <f t="shared" si="1"/>
        <v>#DIV/0!</v>
      </c>
      <c r="F26" s="46"/>
      <c r="G26" s="23" t="e">
        <f t="shared" si="20"/>
        <v>#DIV/0!</v>
      </c>
      <c r="H26" s="46"/>
      <c r="I26" s="23" t="e">
        <f>H26/H$2</f>
        <v>#DIV/0!</v>
      </c>
      <c r="J26" s="46"/>
      <c r="K26" s="23" t="e">
        <f>J26/J$2</f>
        <v>#DIV/0!</v>
      </c>
      <c r="L26" s="46"/>
      <c r="M26" s="23" t="e">
        <f>L26/L$2</f>
        <v>#DIV/0!</v>
      </c>
      <c r="N26" s="46"/>
      <c r="O26" s="23" t="e">
        <f>N26/N$2</f>
        <v>#DIV/0!</v>
      </c>
      <c r="P26" s="46"/>
      <c r="Q26" s="23" t="e">
        <f>P26/P$2</f>
        <v>#DIV/0!</v>
      </c>
      <c r="R26" s="46"/>
      <c r="S26" s="23" t="e">
        <f>R26/R$2</f>
        <v>#DIV/0!</v>
      </c>
      <c r="T26" s="46"/>
      <c r="U26" s="23" t="e">
        <f>T26/T$2</f>
        <v>#DIV/0!</v>
      </c>
      <c r="V26" s="46"/>
      <c r="W26" s="23" t="e">
        <f>V26/V$2</f>
        <v>#DIV/0!</v>
      </c>
      <c r="X26" s="27"/>
      <c r="Y26" s="23" t="e">
        <f>X26/X$2</f>
        <v>#DIV/0!</v>
      </c>
      <c r="Z26" s="27"/>
      <c r="AA26" s="23" t="e">
        <f>Z26/Z$2</f>
        <v>#DIV/0!</v>
      </c>
      <c r="AB26" s="24" t="e">
        <f>(D26+F26+H26+J26+L26+N26+P26+R26+T26+V26+X26+Z26)/AF$2</f>
        <v>#DIV/0!</v>
      </c>
      <c r="AC26" s="23" t="e">
        <f>AB26/AB$2</f>
        <v>#DIV/0!</v>
      </c>
      <c r="AD26" s="28" t="e">
        <f>AB26*12</f>
        <v>#DIV/0!</v>
      </c>
      <c r="AE26" s="26" t="e">
        <f>AD26*100/AD$2</f>
        <v>#DIV/0!</v>
      </c>
    </row>
    <row r="27" spans="1:31" x14ac:dyDescent="0.25">
      <c r="A27" s="33" t="s">
        <v>70</v>
      </c>
      <c r="B27" s="52"/>
      <c r="C27" s="23" t="e">
        <f t="shared" si="19"/>
        <v>#DIV/0!</v>
      </c>
      <c r="D27" s="46"/>
      <c r="E27" s="23" t="e">
        <f t="shared" si="1"/>
        <v>#DIV/0!</v>
      </c>
      <c r="F27" s="46"/>
      <c r="G27" s="23" t="e">
        <f t="shared" si="20"/>
        <v>#DIV/0!</v>
      </c>
      <c r="H27" s="46"/>
      <c r="I27" s="23" t="e">
        <f t="shared" si="5"/>
        <v>#DIV/0!</v>
      </c>
      <c r="J27" s="46"/>
      <c r="K27" s="23" t="e">
        <f t="shared" si="6"/>
        <v>#DIV/0!</v>
      </c>
      <c r="L27" s="46"/>
      <c r="M27" s="23" t="e">
        <f t="shared" si="7"/>
        <v>#DIV/0!</v>
      </c>
      <c r="N27" s="46"/>
      <c r="O27" s="23" t="e">
        <f t="shared" si="8"/>
        <v>#DIV/0!</v>
      </c>
      <c r="P27" s="46"/>
      <c r="Q27" s="23" t="e">
        <f t="shared" si="9"/>
        <v>#DIV/0!</v>
      </c>
      <c r="R27" s="46"/>
      <c r="S27" s="23" t="e">
        <f t="shared" si="10"/>
        <v>#DIV/0!</v>
      </c>
      <c r="T27" s="46"/>
      <c r="U27" s="23" t="e">
        <f t="shared" si="11"/>
        <v>#DIV/0!</v>
      </c>
      <c r="V27" s="46"/>
      <c r="W27" s="23" t="e">
        <f t="shared" si="12"/>
        <v>#DIV/0!</v>
      </c>
      <c r="X27" s="27"/>
      <c r="Y27" s="23" t="e">
        <f t="shared" si="2"/>
        <v>#DIV/0!</v>
      </c>
      <c r="Z27" s="27"/>
      <c r="AA27" s="23" t="e">
        <f t="shared" si="3"/>
        <v>#DIV/0!</v>
      </c>
      <c r="AB27" s="24" t="e">
        <f t="shared" si="17"/>
        <v>#DIV/0!</v>
      </c>
      <c r="AC27" s="23" t="e">
        <f t="shared" si="15"/>
        <v>#DIV/0!</v>
      </c>
      <c r="AD27" s="28" t="e">
        <f t="shared" si="18"/>
        <v>#DIV/0!</v>
      </c>
      <c r="AE27" s="26" t="e">
        <f t="shared" si="16"/>
        <v>#DIV/0!</v>
      </c>
    </row>
    <row r="28" spans="1:31" x14ac:dyDescent="0.25">
      <c r="A28" s="51" t="s">
        <v>97</v>
      </c>
      <c r="B28" s="27"/>
      <c r="C28" s="23" t="e">
        <f t="shared" si="19"/>
        <v>#DIV/0!</v>
      </c>
      <c r="D28" s="46"/>
      <c r="E28" s="23" t="e">
        <f t="shared" si="1"/>
        <v>#DIV/0!</v>
      </c>
      <c r="F28" s="46"/>
      <c r="G28" s="23" t="e">
        <f t="shared" si="20"/>
        <v>#DIV/0!</v>
      </c>
      <c r="H28" s="46"/>
      <c r="I28" s="23" t="e">
        <f t="shared" si="5"/>
        <v>#DIV/0!</v>
      </c>
      <c r="J28" s="46"/>
      <c r="K28" s="23" t="e">
        <f t="shared" si="6"/>
        <v>#DIV/0!</v>
      </c>
      <c r="L28" s="46"/>
      <c r="M28" s="23" t="e">
        <f t="shared" si="7"/>
        <v>#DIV/0!</v>
      </c>
      <c r="N28" s="46"/>
      <c r="O28" s="23" t="e">
        <f t="shared" si="8"/>
        <v>#DIV/0!</v>
      </c>
      <c r="P28" s="46"/>
      <c r="Q28" s="23" t="e">
        <f t="shared" si="9"/>
        <v>#DIV/0!</v>
      </c>
      <c r="R28" s="46"/>
      <c r="S28" s="23" t="e">
        <f t="shared" si="10"/>
        <v>#DIV/0!</v>
      </c>
      <c r="T28" s="46"/>
      <c r="U28" s="23" t="e">
        <f t="shared" si="11"/>
        <v>#DIV/0!</v>
      </c>
      <c r="V28" s="46"/>
      <c r="W28" s="23" t="e">
        <f t="shared" si="12"/>
        <v>#DIV/0!</v>
      </c>
      <c r="X28" s="27"/>
      <c r="Y28" s="23" t="e">
        <f t="shared" si="2"/>
        <v>#DIV/0!</v>
      </c>
      <c r="Z28" s="27"/>
      <c r="AA28" s="23" t="e">
        <f t="shared" si="3"/>
        <v>#DIV/0!</v>
      </c>
      <c r="AB28" s="24" t="e">
        <f t="shared" si="17"/>
        <v>#DIV/0!</v>
      </c>
      <c r="AC28" s="23" t="e">
        <f t="shared" si="15"/>
        <v>#DIV/0!</v>
      </c>
      <c r="AD28" s="28" t="e">
        <f t="shared" si="18"/>
        <v>#DIV/0!</v>
      </c>
      <c r="AE28" s="26" t="e">
        <f t="shared" si="16"/>
        <v>#DIV/0!</v>
      </c>
    </row>
    <row r="29" spans="1:31" x14ac:dyDescent="0.25">
      <c r="A29" s="51" t="s">
        <v>90</v>
      </c>
      <c r="B29" s="52"/>
      <c r="C29" s="23" t="e">
        <f t="shared" si="19"/>
        <v>#DIV/0!</v>
      </c>
      <c r="D29" s="46"/>
      <c r="E29" s="23" t="e">
        <f t="shared" si="1"/>
        <v>#DIV/0!</v>
      </c>
      <c r="F29" s="46"/>
      <c r="G29" s="23" t="e">
        <f t="shared" si="20"/>
        <v>#DIV/0!</v>
      </c>
      <c r="H29" s="46"/>
      <c r="I29" s="23" t="e">
        <f t="shared" si="5"/>
        <v>#DIV/0!</v>
      </c>
      <c r="J29" s="46"/>
      <c r="K29" s="23" t="e">
        <f t="shared" si="6"/>
        <v>#DIV/0!</v>
      </c>
      <c r="L29" s="46"/>
      <c r="M29" s="23" t="e">
        <f t="shared" si="7"/>
        <v>#DIV/0!</v>
      </c>
      <c r="N29" s="46"/>
      <c r="O29" s="23" t="e">
        <f t="shared" si="8"/>
        <v>#DIV/0!</v>
      </c>
      <c r="P29" s="46"/>
      <c r="Q29" s="23" t="e">
        <f t="shared" si="9"/>
        <v>#DIV/0!</v>
      </c>
      <c r="R29" s="46"/>
      <c r="S29" s="23" t="e">
        <f t="shared" si="10"/>
        <v>#DIV/0!</v>
      </c>
      <c r="T29" s="46"/>
      <c r="U29" s="23" t="e">
        <f t="shared" si="11"/>
        <v>#DIV/0!</v>
      </c>
      <c r="V29" s="46"/>
      <c r="W29" s="23" t="e">
        <f t="shared" si="12"/>
        <v>#DIV/0!</v>
      </c>
      <c r="X29" s="27"/>
      <c r="Y29" s="23" t="e">
        <f t="shared" si="2"/>
        <v>#DIV/0!</v>
      </c>
      <c r="Z29" s="27"/>
      <c r="AA29" s="23" t="e">
        <f t="shared" si="3"/>
        <v>#DIV/0!</v>
      </c>
      <c r="AB29" s="24" t="e">
        <f t="shared" si="17"/>
        <v>#DIV/0!</v>
      </c>
      <c r="AC29" s="23" t="e">
        <f t="shared" si="15"/>
        <v>#DIV/0!</v>
      </c>
      <c r="AD29" s="28" t="e">
        <f t="shared" si="18"/>
        <v>#DIV/0!</v>
      </c>
      <c r="AE29" s="26" t="e">
        <f t="shared" si="16"/>
        <v>#DIV/0!</v>
      </c>
    </row>
    <row r="30" spans="1:31" x14ac:dyDescent="0.25">
      <c r="A30" s="29" t="s">
        <v>71</v>
      </c>
      <c r="B30" s="52"/>
      <c r="C30" s="23" t="e">
        <f t="shared" si="19"/>
        <v>#DIV/0!</v>
      </c>
      <c r="D30" s="46"/>
      <c r="E30" s="23" t="e">
        <f t="shared" si="1"/>
        <v>#DIV/0!</v>
      </c>
      <c r="F30" s="46"/>
      <c r="G30" s="23" t="e">
        <f t="shared" si="20"/>
        <v>#DIV/0!</v>
      </c>
      <c r="H30" s="46"/>
      <c r="I30" s="23" t="e">
        <f t="shared" si="5"/>
        <v>#DIV/0!</v>
      </c>
      <c r="J30" s="46"/>
      <c r="K30" s="23" t="e">
        <f t="shared" si="6"/>
        <v>#DIV/0!</v>
      </c>
      <c r="L30" s="46"/>
      <c r="M30" s="23" t="e">
        <f t="shared" si="7"/>
        <v>#DIV/0!</v>
      </c>
      <c r="N30" s="46"/>
      <c r="O30" s="23" t="e">
        <f t="shared" si="8"/>
        <v>#DIV/0!</v>
      </c>
      <c r="P30" s="46"/>
      <c r="Q30" s="23" t="e">
        <f t="shared" si="9"/>
        <v>#DIV/0!</v>
      </c>
      <c r="R30" s="46"/>
      <c r="S30" s="23" t="e">
        <f t="shared" si="10"/>
        <v>#DIV/0!</v>
      </c>
      <c r="T30" s="46"/>
      <c r="U30" s="23" t="e">
        <f t="shared" si="11"/>
        <v>#DIV/0!</v>
      </c>
      <c r="V30" s="46"/>
      <c r="W30" s="23" t="e">
        <f t="shared" si="12"/>
        <v>#DIV/0!</v>
      </c>
      <c r="X30" s="27"/>
      <c r="Y30" s="23" t="e">
        <f t="shared" si="2"/>
        <v>#DIV/0!</v>
      </c>
      <c r="Z30" s="27"/>
      <c r="AA30" s="23" t="e">
        <f t="shared" si="3"/>
        <v>#DIV/0!</v>
      </c>
      <c r="AB30" s="24" t="e">
        <f t="shared" si="17"/>
        <v>#DIV/0!</v>
      </c>
      <c r="AC30" s="23" t="e">
        <f t="shared" si="15"/>
        <v>#DIV/0!</v>
      </c>
      <c r="AD30" s="28" t="e">
        <f t="shared" si="18"/>
        <v>#DIV/0!</v>
      </c>
      <c r="AE30" s="26" t="e">
        <f t="shared" si="16"/>
        <v>#DIV/0!</v>
      </c>
    </row>
    <row r="31" spans="1:31" x14ac:dyDescent="0.25">
      <c r="A31" s="29" t="s">
        <v>73</v>
      </c>
      <c r="B31" s="52"/>
      <c r="C31" s="23" t="e">
        <f t="shared" si="19"/>
        <v>#DIV/0!</v>
      </c>
      <c r="D31" s="46"/>
      <c r="E31" s="23" t="e">
        <f t="shared" si="1"/>
        <v>#DIV/0!</v>
      </c>
      <c r="F31" s="46"/>
      <c r="G31" s="23" t="e">
        <f t="shared" si="20"/>
        <v>#DIV/0!</v>
      </c>
      <c r="H31" s="46"/>
      <c r="I31" s="23" t="e">
        <f t="shared" si="5"/>
        <v>#DIV/0!</v>
      </c>
      <c r="J31" s="46"/>
      <c r="K31" s="23" t="e">
        <f t="shared" si="6"/>
        <v>#DIV/0!</v>
      </c>
      <c r="L31" s="46"/>
      <c r="M31" s="23" t="e">
        <f t="shared" si="7"/>
        <v>#DIV/0!</v>
      </c>
      <c r="N31" s="46"/>
      <c r="O31" s="23" t="e">
        <f t="shared" si="8"/>
        <v>#DIV/0!</v>
      </c>
      <c r="P31" s="46"/>
      <c r="Q31" s="23" t="e">
        <f t="shared" si="9"/>
        <v>#DIV/0!</v>
      </c>
      <c r="R31" s="46"/>
      <c r="S31" s="23" t="e">
        <f t="shared" si="10"/>
        <v>#DIV/0!</v>
      </c>
      <c r="T31" s="46"/>
      <c r="U31" s="23" t="e">
        <f t="shared" si="11"/>
        <v>#DIV/0!</v>
      </c>
      <c r="V31" s="46"/>
      <c r="W31" s="23" t="e">
        <f t="shared" si="12"/>
        <v>#DIV/0!</v>
      </c>
      <c r="X31" s="27"/>
      <c r="Y31" s="23" t="e">
        <f t="shared" si="2"/>
        <v>#DIV/0!</v>
      </c>
      <c r="Z31" s="27"/>
      <c r="AA31" s="23" t="e">
        <f t="shared" si="3"/>
        <v>#DIV/0!</v>
      </c>
      <c r="AB31" s="24" t="e">
        <f t="shared" si="17"/>
        <v>#DIV/0!</v>
      </c>
      <c r="AC31" s="23" t="e">
        <f t="shared" si="15"/>
        <v>#DIV/0!</v>
      </c>
      <c r="AD31" s="28" t="e">
        <f t="shared" si="18"/>
        <v>#DIV/0!</v>
      </c>
      <c r="AE31" s="26" t="e">
        <f t="shared" si="16"/>
        <v>#DIV/0!</v>
      </c>
    </row>
    <row r="32" spans="1:31" x14ac:dyDescent="0.25">
      <c r="A32" s="47" t="s">
        <v>74</v>
      </c>
      <c r="B32" s="52"/>
      <c r="C32" s="23"/>
      <c r="D32" s="46"/>
      <c r="E32" s="23"/>
      <c r="F32" s="46"/>
      <c r="G32" s="23"/>
      <c r="H32" s="46"/>
      <c r="I32" s="23"/>
      <c r="J32" s="46"/>
      <c r="K32" s="23"/>
      <c r="L32" s="46"/>
      <c r="M32" s="23"/>
      <c r="N32" s="46"/>
      <c r="O32" s="23"/>
      <c r="P32" s="46"/>
      <c r="Q32" s="23"/>
      <c r="R32" s="46"/>
      <c r="S32" s="23"/>
      <c r="T32" s="46"/>
      <c r="U32" s="23"/>
      <c r="V32" s="46"/>
      <c r="W32" s="23"/>
      <c r="X32" s="27"/>
      <c r="Y32" s="23"/>
      <c r="Z32" s="27"/>
      <c r="AA32" s="23"/>
      <c r="AB32" s="24"/>
      <c r="AC32" s="23"/>
      <c r="AD32" s="28"/>
      <c r="AE32" s="26"/>
    </row>
    <row r="33" spans="1:31" x14ac:dyDescent="0.25">
      <c r="A33" s="29" t="s">
        <v>66</v>
      </c>
      <c r="B33" s="27"/>
      <c r="C33" s="23" t="e">
        <f t="shared" si="19"/>
        <v>#DIV/0!</v>
      </c>
      <c r="D33" s="46"/>
      <c r="E33" s="23" t="e">
        <f t="shared" si="1"/>
        <v>#DIV/0!</v>
      </c>
      <c r="F33" s="46"/>
      <c r="G33" s="23" t="e">
        <f t="shared" si="20"/>
        <v>#DIV/0!</v>
      </c>
      <c r="H33" s="46"/>
      <c r="I33" s="23" t="e">
        <f t="shared" si="5"/>
        <v>#DIV/0!</v>
      </c>
      <c r="J33" s="46"/>
      <c r="K33" s="23" t="e">
        <f t="shared" si="6"/>
        <v>#DIV/0!</v>
      </c>
      <c r="L33" s="46"/>
      <c r="M33" s="23" t="e">
        <f t="shared" si="7"/>
        <v>#DIV/0!</v>
      </c>
      <c r="N33" s="46"/>
      <c r="O33" s="23" t="e">
        <f t="shared" si="8"/>
        <v>#DIV/0!</v>
      </c>
      <c r="P33" s="46"/>
      <c r="Q33" s="23" t="e">
        <f t="shared" si="9"/>
        <v>#DIV/0!</v>
      </c>
      <c r="R33" s="46"/>
      <c r="S33" s="23" t="e">
        <f t="shared" si="10"/>
        <v>#DIV/0!</v>
      </c>
      <c r="T33" s="46"/>
      <c r="U33" s="23" t="e">
        <f t="shared" si="11"/>
        <v>#DIV/0!</v>
      </c>
      <c r="V33" s="46"/>
      <c r="W33" s="23" t="e">
        <f t="shared" si="12"/>
        <v>#DIV/0!</v>
      </c>
      <c r="X33" s="27"/>
      <c r="Y33" s="23" t="e">
        <f t="shared" si="2"/>
        <v>#DIV/0!</v>
      </c>
      <c r="Z33" s="27"/>
      <c r="AA33" s="23" t="e">
        <f t="shared" si="3"/>
        <v>#DIV/0!</v>
      </c>
      <c r="AB33" s="24" t="e">
        <f t="shared" si="17"/>
        <v>#DIV/0!</v>
      </c>
      <c r="AC33" s="23" t="e">
        <f t="shared" si="15"/>
        <v>#DIV/0!</v>
      </c>
      <c r="AD33" s="28" t="e">
        <f t="shared" si="18"/>
        <v>#DIV/0!</v>
      </c>
      <c r="AE33" s="26" t="e">
        <f t="shared" si="16"/>
        <v>#DIV/0!</v>
      </c>
    </row>
    <row r="34" spans="1:31" x14ac:dyDescent="0.25">
      <c r="A34" s="29" t="s">
        <v>54</v>
      </c>
      <c r="B34" s="54"/>
      <c r="C34" s="23" t="e">
        <f t="shared" si="19"/>
        <v>#DIV/0!</v>
      </c>
      <c r="D34" s="46"/>
      <c r="E34" s="23" t="e">
        <f t="shared" si="1"/>
        <v>#DIV/0!</v>
      </c>
      <c r="F34" s="46"/>
      <c r="G34" s="23" t="e">
        <f t="shared" si="20"/>
        <v>#DIV/0!</v>
      </c>
      <c r="H34" s="46"/>
      <c r="I34" s="23" t="e">
        <f>H34/H$2</f>
        <v>#DIV/0!</v>
      </c>
      <c r="J34" s="46"/>
      <c r="K34" s="23" t="e">
        <f>J34/J$2</f>
        <v>#DIV/0!</v>
      </c>
      <c r="L34" s="46"/>
      <c r="M34" s="23" t="e">
        <f>L34/L$2</f>
        <v>#DIV/0!</v>
      </c>
      <c r="N34" s="46"/>
      <c r="O34" s="23" t="e">
        <f>N34/N$2</f>
        <v>#DIV/0!</v>
      </c>
      <c r="P34" s="46"/>
      <c r="Q34" s="23" t="e">
        <f>P34/P$2</f>
        <v>#DIV/0!</v>
      </c>
      <c r="R34" s="46"/>
      <c r="S34" s="23" t="e">
        <f>R34/R$2</f>
        <v>#DIV/0!</v>
      </c>
      <c r="T34" s="46"/>
      <c r="U34" s="23" t="e">
        <f>T34/T$2</f>
        <v>#DIV/0!</v>
      </c>
      <c r="V34" s="46"/>
      <c r="W34" s="23" t="e">
        <f>V34/V$2</f>
        <v>#DIV/0!</v>
      </c>
      <c r="X34" s="27"/>
      <c r="Y34" s="23" t="e">
        <f>X34/X$2</f>
        <v>#DIV/0!</v>
      </c>
      <c r="Z34" s="27"/>
      <c r="AA34" s="23" t="e">
        <f>Z34/Z$2</f>
        <v>#DIV/0!</v>
      </c>
      <c r="AB34" s="24" t="e">
        <f>(D34+F34+H34+J34+L34+N34+P34+R34+T34+V34+X34+Z34)/AF$2</f>
        <v>#DIV/0!</v>
      </c>
      <c r="AC34" s="23" t="e">
        <f>AB34/AB$2</f>
        <v>#DIV/0!</v>
      </c>
      <c r="AD34" s="28" t="e">
        <f>AB34*12</f>
        <v>#DIV/0!</v>
      </c>
      <c r="AE34" s="26" t="e">
        <f>AD34*100/AD$2</f>
        <v>#DIV/0!</v>
      </c>
    </row>
    <row r="35" spans="1:31" x14ac:dyDescent="0.25">
      <c r="A35" s="29" t="s">
        <v>63</v>
      </c>
      <c r="B35" s="52"/>
      <c r="C35" s="23" t="e">
        <f t="shared" si="19"/>
        <v>#DIV/0!</v>
      </c>
      <c r="D35" s="46"/>
      <c r="E35" s="23" t="e">
        <f t="shared" si="1"/>
        <v>#DIV/0!</v>
      </c>
      <c r="F35" s="46"/>
      <c r="G35" s="23" t="e">
        <f t="shared" si="20"/>
        <v>#DIV/0!</v>
      </c>
      <c r="H35" s="46"/>
      <c r="I35" s="23" t="e">
        <f t="shared" si="5"/>
        <v>#DIV/0!</v>
      </c>
      <c r="J35" s="46"/>
      <c r="K35" s="23" t="e">
        <f t="shared" si="6"/>
        <v>#DIV/0!</v>
      </c>
      <c r="L35" s="46"/>
      <c r="M35" s="23" t="e">
        <f t="shared" si="7"/>
        <v>#DIV/0!</v>
      </c>
      <c r="N35" s="46"/>
      <c r="O35" s="23" t="e">
        <f t="shared" si="8"/>
        <v>#DIV/0!</v>
      </c>
      <c r="P35" s="46"/>
      <c r="Q35" s="23" t="e">
        <f t="shared" si="9"/>
        <v>#DIV/0!</v>
      </c>
      <c r="R35" s="46"/>
      <c r="S35" s="23" t="e">
        <f t="shared" si="10"/>
        <v>#DIV/0!</v>
      </c>
      <c r="T35" s="46"/>
      <c r="U35" s="23" t="e">
        <f t="shared" si="11"/>
        <v>#DIV/0!</v>
      </c>
      <c r="V35" s="46"/>
      <c r="W35" s="23" t="e">
        <f t="shared" si="12"/>
        <v>#DIV/0!</v>
      </c>
      <c r="X35" s="27"/>
      <c r="Y35" s="23" t="e">
        <f t="shared" si="2"/>
        <v>#DIV/0!</v>
      </c>
      <c r="Z35" s="27"/>
      <c r="AA35" s="23" t="e">
        <f t="shared" ref="AA35:AA80" si="21">Z35/Z$2</f>
        <v>#DIV/0!</v>
      </c>
      <c r="AB35" s="24" t="e">
        <f>(D35+F35+H35+J35+L35+N35+P35+R35+T35+V35+X35+Z35)/AF$2</f>
        <v>#DIV/0!</v>
      </c>
      <c r="AC35" s="23" t="e">
        <f>AB35/AB$2</f>
        <v>#DIV/0!</v>
      </c>
      <c r="AD35" s="28" t="e">
        <f>AB35*12</f>
        <v>#DIV/0!</v>
      </c>
      <c r="AE35" s="26" t="e">
        <f>AD35*100/AD$2</f>
        <v>#DIV/0!</v>
      </c>
    </row>
    <row r="36" spans="1:31" x14ac:dyDescent="0.25">
      <c r="A36" s="51" t="s">
        <v>94</v>
      </c>
      <c r="B36" s="52"/>
      <c r="C36" s="23" t="e">
        <f t="shared" si="19"/>
        <v>#DIV/0!</v>
      </c>
      <c r="D36" s="46"/>
      <c r="E36" s="23" t="e">
        <f t="shared" ref="E36:E67" si="22">D36/D$2</f>
        <v>#DIV/0!</v>
      </c>
      <c r="F36" s="46"/>
      <c r="G36" s="23" t="e">
        <f t="shared" si="20"/>
        <v>#DIV/0!</v>
      </c>
      <c r="H36" s="46"/>
      <c r="I36" s="23" t="e">
        <f t="shared" si="5"/>
        <v>#DIV/0!</v>
      </c>
      <c r="J36" s="46"/>
      <c r="K36" s="23" t="e">
        <f t="shared" si="6"/>
        <v>#DIV/0!</v>
      </c>
      <c r="L36" s="46"/>
      <c r="M36" s="23" t="e">
        <f t="shared" si="7"/>
        <v>#DIV/0!</v>
      </c>
      <c r="N36" s="46"/>
      <c r="O36" s="23" t="e">
        <f t="shared" si="8"/>
        <v>#DIV/0!</v>
      </c>
      <c r="P36" s="46"/>
      <c r="Q36" s="23" t="e">
        <f t="shared" si="9"/>
        <v>#DIV/0!</v>
      </c>
      <c r="R36" s="46"/>
      <c r="S36" s="23" t="e">
        <f t="shared" si="10"/>
        <v>#DIV/0!</v>
      </c>
      <c r="T36" s="46"/>
      <c r="U36" s="23" t="e">
        <f t="shared" si="11"/>
        <v>#DIV/0!</v>
      </c>
      <c r="V36" s="46"/>
      <c r="W36" s="23" t="e">
        <f t="shared" si="12"/>
        <v>#DIV/0!</v>
      </c>
      <c r="X36" s="27"/>
      <c r="Y36" s="23" t="e">
        <f t="shared" si="2"/>
        <v>#DIV/0!</v>
      </c>
      <c r="Z36" s="27"/>
      <c r="AA36" s="23" t="e">
        <f t="shared" si="21"/>
        <v>#DIV/0!</v>
      </c>
      <c r="AB36" s="24" t="e">
        <f t="shared" si="17"/>
        <v>#DIV/0!</v>
      </c>
      <c r="AC36" s="23" t="e">
        <f t="shared" si="15"/>
        <v>#DIV/0!</v>
      </c>
      <c r="AD36" s="28" t="e">
        <f t="shared" si="18"/>
        <v>#DIV/0!</v>
      </c>
      <c r="AE36" s="26" t="e">
        <f t="shared" si="16"/>
        <v>#DIV/0!</v>
      </c>
    </row>
    <row r="37" spans="1:31" x14ac:dyDescent="0.25">
      <c r="A37" s="29" t="s">
        <v>76</v>
      </c>
      <c r="B37" s="54"/>
      <c r="C37" s="23" t="e">
        <f t="shared" si="19"/>
        <v>#DIV/0!</v>
      </c>
      <c r="D37" s="46"/>
      <c r="E37" s="23" t="e">
        <f t="shared" si="22"/>
        <v>#DIV/0!</v>
      </c>
      <c r="F37" s="46"/>
      <c r="G37" s="23" t="e">
        <f t="shared" si="20"/>
        <v>#DIV/0!</v>
      </c>
      <c r="H37" s="46"/>
      <c r="I37" s="23" t="e">
        <f t="shared" si="5"/>
        <v>#DIV/0!</v>
      </c>
      <c r="J37" s="46"/>
      <c r="K37" s="23" t="e">
        <f t="shared" si="6"/>
        <v>#DIV/0!</v>
      </c>
      <c r="L37" s="46"/>
      <c r="M37" s="23" t="e">
        <f t="shared" si="7"/>
        <v>#DIV/0!</v>
      </c>
      <c r="N37" s="46"/>
      <c r="O37" s="23" t="e">
        <f t="shared" si="8"/>
        <v>#DIV/0!</v>
      </c>
      <c r="P37" s="46"/>
      <c r="Q37" s="23" t="e">
        <f t="shared" si="9"/>
        <v>#DIV/0!</v>
      </c>
      <c r="R37" s="46"/>
      <c r="S37" s="23" t="e">
        <f t="shared" si="10"/>
        <v>#DIV/0!</v>
      </c>
      <c r="T37" s="46"/>
      <c r="U37" s="23" t="e">
        <f t="shared" si="11"/>
        <v>#DIV/0!</v>
      </c>
      <c r="V37" s="46"/>
      <c r="W37" s="23" t="e">
        <f t="shared" si="12"/>
        <v>#DIV/0!</v>
      </c>
      <c r="X37" s="27"/>
      <c r="Y37" s="23" t="e">
        <f t="shared" si="2"/>
        <v>#DIV/0!</v>
      </c>
      <c r="Z37" s="27"/>
      <c r="AA37" s="23" t="e">
        <f t="shared" si="21"/>
        <v>#DIV/0!</v>
      </c>
      <c r="AB37" s="24" t="e">
        <f t="shared" si="17"/>
        <v>#DIV/0!</v>
      </c>
      <c r="AC37" s="23" t="e">
        <f t="shared" si="15"/>
        <v>#DIV/0!</v>
      </c>
      <c r="AD37" s="28" t="e">
        <f t="shared" si="18"/>
        <v>#DIV/0!</v>
      </c>
      <c r="AE37" s="26" t="e">
        <f t="shared" si="16"/>
        <v>#DIV/0!</v>
      </c>
    </row>
    <row r="38" spans="1:31" x14ac:dyDescent="0.25">
      <c r="A38" s="29" t="s">
        <v>64</v>
      </c>
      <c r="B38" s="52"/>
      <c r="C38" s="23" t="e">
        <f t="shared" si="19"/>
        <v>#DIV/0!</v>
      </c>
      <c r="D38" s="46"/>
      <c r="E38" s="23" t="e">
        <f t="shared" si="22"/>
        <v>#DIV/0!</v>
      </c>
      <c r="F38" s="46"/>
      <c r="G38" s="23" t="e">
        <f t="shared" si="20"/>
        <v>#DIV/0!</v>
      </c>
      <c r="H38" s="46"/>
      <c r="I38" s="23" t="e">
        <f t="shared" si="5"/>
        <v>#DIV/0!</v>
      </c>
      <c r="J38" s="46"/>
      <c r="K38" s="23" t="e">
        <f t="shared" si="6"/>
        <v>#DIV/0!</v>
      </c>
      <c r="L38" s="46"/>
      <c r="M38" s="23" t="e">
        <f t="shared" si="7"/>
        <v>#DIV/0!</v>
      </c>
      <c r="N38" s="46"/>
      <c r="O38" s="23" t="e">
        <f t="shared" si="8"/>
        <v>#DIV/0!</v>
      </c>
      <c r="P38" s="46"/>
      <c r="Q38" s="23" t="e">
        <f t="shared" si="9"/>
        <v>#DIV/0!</v>
      </c>
      <c r="R38" s="46"/>
      <c r="S38" s="23" t="e">
        <f t="shared" si="10"/>
        <v>#DIV/0!</v>
      </c>
      <c r="T38" s="46"/>
      <c r="U38" s="23" t="e">
        <f t="shared" si="11"/>
        <v>#DIV/0!</v>
      </c>
      <c r="V38" s="46"/>
      <c r="W38" s="23" t="e">
        <f t="shared" si="12"/>
        <v>#DIV/0!</v>
      </c>
      <c r="X38" s="27"/>
      <c r="Y38" s="23" t="e">
        <f t="shared" si="2"/>
        <v>#DIV/0!</v>
      </c>
      <c r="Z38" s="27"/>
      <c r="AA38" s="23" t="e">
        <f t="shared" si="21"/>
        <v>#DIV/0!</v>
      </c>
      <c r="AB38" s="24" t="e">
        <f t="shared" si="17"/>
        <v>#DIV/0!</v>
      </c>
      <c r="AC38" s="23" t="e">
        <f t="shared" si="15"/>
        <v>#DIV/0!</v>
      </c>
      <c r="AD38" s="28" t="e">
        <f t="shared" si="18"/>
        <v>#DIV/0!</v>
      </c>
      <c r="AE38" s="26" t="e">
        <f t="shared" si="16"/>
        <v>#DIV/0!</v>
      </c>
    </row>
    <row r="39" spans="1:31" x14ac:dyDescent="0.25">
      <c r="A39" s="33" t="s">
        <v>98</v>
      </c>
      <c r="B39" s="52"/>
      <c r="C39" s="23" t="e">
        <f t="shared" si="19"/>
        <v>#DIV/0!</v>
      </c>
      <c r="D39" s="46"/>
      <c r="E39" s="23" t="e">
        <f t="shared" si="22"/>
        <v>#DIV/0!</v>
      </c>
      <c r="F39" s="46"/>
      <c r="G39" s="23" t="e">
        <f t="shared" si="20"/>
        <v>#DIV/0!</v>
      </c>
      <c r="H39" s="46"/>
      <c r="I39" s="23" t="e">
        <f t="shared" si="5"/>
        <v>#DIV/0!</v>
      </c>
      <c r="J39" s="46"/>
      <c r="K39" s="23" t="e">
        <f t="shared" si="6"/>
        <v>#DIV/0!</v>
      </c>
      <c r="L39" s="46"/>
      <c r="M39" s="23" t="e">
        <f t="shared" si="7"/>
        <v>#DIV/0!</v>
      </c>
      <c r="N39" s="46"/>
      <c r="O39" s="23" t="e">
        <f t="shared" si="8"/>
        <v>#DIV/0!</v>
      </c>
      <c r="P39" s="46"/>
      <c r="Q39" s="23" t="e">
        <f t="shared" si="9"/>
        <v>#DIV/0!</v>
      </c>
      <c r="R39" s="46"/>
      <c r="S39" s="23" t="e">
        <f t="shared" si="10"/>
        <v>#DIV/0!</v>
      </c>
      <c r="T39" s="46"/>
      <c r="U39" s="23" t="e">
        <f t="shared" si="11"/>
        <v>#DIV/0!</v>
      </c>
      <c r="V39" s="46"/>
      <c r="W39" s="23" t="e">
        <f t="shared" si="12"/>
        <v>#DIV/0!</v>
      </c>
      <c r="X39" s="27"/>
      <c r="Y39" s="23" t="e">
        <f t="shared" si="2"/>
        <v>#DIV/0!</v>
      </c>
      <c r="Z39" s="27"/>
      <c r="AA39" s="23" t="e">
        <f t="shared" si="21"/>
        <v>#DIV/0!</v>
      </c>
      <c r="AB39" s="24" t="e">
        <f t="shared" si="17"/>
        <v>#DIV/0!</v>
      </c>
      <c r="AC39" s="23" t="e">
        <f t="shared" si="15"/>
        <v>#DIV/0!</v>
      </c>
      <c r="AD39" s="28" t="e">
        <f t="shared" si="18"/>
        <v>#DIV/0!</v>
      </c>
      <c r="AE39" s="26" t="e">
        <f t="shared" si="16"/>
        <v>#DIV/0!</v>
      </c>
    </row>
    <row r="40" spans="1:31" x14ac:dyDescent="0.25">
      <c r="A40" s="47" t="s">
        <v>83</v>
      </c>
      <c r="B40" s="52"/>
      <c r="C40" s="23" t="e">
        <f t="shared" si="19"/>
        <v>#DIV/0!</v>
      </c>
      <c r="D40" s="46"/>
      <c r="E40" s="23" t="e">
        <f t="shared" si="22"/>
        <v>#DIV/0!</v>
      </c>
      <c r="F40" s="46"/>
      <c r="G40" s="23" t="e">
        <f t="shared" si="20"/>
        <v>#DIV/0!</v>
      </c>
      <c r="H40" s="46"/>
      <c r="I40" s="23" t="e">
        <f t="shared" si="5"/>
        <v>#DIV/0!</v>
      </c>
      <c r="J40" s="46"/>
      <c r="K40" s="23" t="e">
        <f t="shared" si="6"/>
        <v>#DIV/0!</v>
      </c>
      <c r="L40" s="46"/>
      <c r="M40" s="23" t="e">
        <f t="shared" si="7"/>
        <v>#DIV/0!</v>
      </c>
      <c r="N40" s="46"/>
      <c r="O40" s="23" t="e">
        <f t="shared" si="8"/>
        <v>#DIV/0!</v>
      </c>
      <c r="P40" s="46"/>
      <c r="Q40" s="23" t="e">
        <f t="shared" si="9"/>
        <v>#DIV/0!</v>
      </c>
      <c r="R40" s="46"/>
      <c r="S40" s="23" t="e">
        <f t="shared" si="10"/>
        <v>#DIV/0!</v>
      </c>
      <c r="T40" s="46"/>
      <c r="U40" s="23" t="e">
        <f t="shared" si="11"/>
        <v>#DIV/0!</v>
      </c>
      <c r="V40" s="46"/>
      <c r="W40" s="23" t="e">
        <f t="shared" si="12"/>
        <v>#DIV/0!</v>
      </c>
      <c r="X40" s="27"/>
      <c r="Y40" s="23" t="e">
        <f t="shared" si="2"/>
        <v>#DIV/0!</v>
      </c>
      <c r="Z40" s="27"/>
      <c r="AA40" s="23" t="e">
        <f t="shared" si="21"/>
        <v>#DIV/0!</v>
      </c>
      <c r="AB40" s="24" t="e">
        <f t="shared" si="17"/>
        <v>#DIV/0!</v>
      </c>
      <c r="AC40" s="23" t="e">
        <f t="shared" si="15"/>
        <v>#DIV/0!</v>
      </c>
      <c r="AD40" s="28" t="e">
        <f t="shared" si="18"/>
        <v>#DIV/0!</v>
      </c>
      <c r="AE40" s="26" t="e">
        <f t="shared" si="16"/>
        <v>#DIV/0!</v>
      </c>
    </row>
    <row r="41" spans="1:31" x14ac:dyDescent="0.25">
      <c r="A41" s="51" t="s">
        <v>95</v>
      </c>
      <c r="B41" s="52"/>
      <c r="C41" s="23" t="e">
        <f t="shared" si="19"/>
        <v>#DIV/0!</v>
      </c>
      <c r="D41" s="48"/>
      <c r="E41" s="23" t="e">
        <f t="shared" si="22"/>
        <v>#DIV/0!</v>
      </c>
      <c r="F41" s="48"/>
      <c r="G41" s="23" t="e">
        <f t="shared" si="20"/>
        <v>#DIV/0!</v>
      </c>
      <c r="H41" s="48"/>
      <c r="I41" s="23" t="e">
        <f>H41/H$2</f>
        <v>#DIV/0!</v>
      </c>
      <c r="J41" s="48"/>
      <c r="K41" s="23" t="e">
        <f>J41/J$2</f>
        <v>#DIV/0!</v>
      </c>
      <c r="L41" s="48"/>
      <c r="M41" s="23" t="e">
        <f>L41/L$2</f>
        <v>#DIV/0!</v>
      </c>
      <c r="N41" s="48"/>
      <c r="O41" s="23" t="e">
        <f>N41/N$2</f>
        <v>#DIV/0!</v>
      </c>
      <c r="P41" s="48"/>
      <c r="Q41" s="23" t="e">
        <f>P41/P$2</f>
        <v>#DIV/0!</v>
      </c>
      <c r="R41" s="48"/>
      <c r="S41" s="23" t="e">
        <f>R41/R$2</f>
        <v>#DIV/0!</v>
      </c>
      <c r="T41" s="48"/>
      <c r="U41" s="23" t="e">
        <f>T41/T$2</f>
        <v>#DIV/0!</v>
      </c>
      <c r="V41" s="48"/>
      <c r="W41" s="23" t="e">
        <f>V41/V$2</f>
        <v>#DIV/0!</v>
      </c>
      <c r="X41" s="27"/>
      <c r="Y41" s="23" t="e">
        <f>X41/X$2</f>
        <v>#DIV/0!</v>
      </c>
      <c r="Z41" s="27"/>
      <c r="AA41" s="23" t="e">
        <f>Z41/Z$2</f>
        <v>#DIV/0!</v>
      </c>
      <c r="AB41" s="24" t="e">
        <f>(D41+F41+H41+J41+L41+N41+P41+R41+T41+V41+X41+Z41)/AF$2</f>
        <v>#DIV/0!</v>
      </c>
      <c r="AC41" s="23" t="e">
        <f>AB41/AB$2</f>
        <v>#DIV/0!</v>
      </c>
      <c r="AD41" s="28" t="e">
        <f>AB41*12</f>
        <v>#DIV/0!</v>
      </c>
      <c r="AE41" s="26" t="e">
        <f>AD41*100/AD$2</f>
        <v>#DIV/0!</v>
      </c>
    </row>
    <row r="42" spans="1:31" x14ac:dyDescent="0.25">
      <c r="A42" s="29" t="s">
        <v>77</v>
      </c>
      <c r="B42" s="52"/>
      <c r="C42" s="23" t="e">
        <f t="shared" si="19"/>
        <v>#DIV/0!</v>
      </c>
      <c r="D42" s="46"/>
      <c r="E42" s="23" t="e">
        <f t="shared" si="22"/>
        <v>#DIV/0!</v>
      </c>
      <c r="F42" s="46"/>
      <c r="G42" s="23" t="e">
        <f t="shared" si="20"/>
        <v>#DIV/0!</v>
      </c>
      <c r="H42" s="46"/>
      <c r="I42" s="23" t="e">
        <f t="shared" si="5"/>
        <v>#DIV/0!</v>
      </c>
      <c r="J42" s="46"/>
      <c r="K42" s="23" t="e">
        <f t="shared" si="6"/>
        <v>#DIV/0!</v>
      </c>
      <c r="L42" s="46"/>
      <c r="M42" s="23" t="e">
        <f t="shared" si="7"/>
        <v>#DIV/0!</v>
      </c>
      <c r="N42" s="46"/>
      <c r="O42" s="23" t="e">
        <f t="shared" si="8"/>
        <v>#DIV/0!</v>
      </c>
      <c r="P42" s="46"/>
      <c r="Q42" s="23" t="e">
        <f t="shared" si="9"/>
        <v>#DIV/0!</v>
      </c>
      <c r="R42" s="46"/>
      <c r="S42" s="23" t="e">
        <f t="shared" si="10"/>
        <v>#DIV/0!</v>
      </c>
      <c r="T42" s="46"/>
      <c r="U42" s="23" t="e">
        <f t="shared" si="11"/>
        <v>#DIV/0!</v>
      </c>
      <c r="V42" s="46"/>
      <c r="W42" s="23" t="e">
        <f t="shared" si="12"/>
        <v>#DIV/0!</v>
      </c>
      <c r="X42" s="27"/>
      <c r="Y42" s="23" t="e">
        <f t="shared" si="2"/>
        <v>#DIV/0!</v>
      </c>
      <c r="Z42" s="27"/>
      <c r="AA42" s="23" t="e">
        <f t="shared" si="21"/>
        <v>#DIV/0!</v>
      </c>
      <c r="AB42" s="24" t="e">
        <f t="shared" si="17"/>
        <v>#DIV/0!</v>
      </c>
      <c r="AC42" s="23" t="e">
        <f t="shared" si="15"/>
        <v>#DIV/0!</v>
      </c>
      <c r="AD42" s="28" t="e">
        <f t="shared" si="18"/>
        <v>#DIV/0!</v>
      </c>
      <c r="AE42" s="26" t="e">
        <f t="shared" si="16"/>
        <v>#DIV/0!</v>
      </c>
    </row>
    <row r="43" spans="1:31" x14ac:dyDescent="0.25">
      <c r="A43" s="61" t="s">
        <v>78</v>
      </c>
      <c r="B43" s="52"/>
      <c r="C43" s="23" t="e">
        <f t="shared" si="19"/>
        <v>#DIV/0!</v>
      </c>
      <c r="D43" s="46"/>
      <c r="E43" s="23" t="e">
        <f t="shared" si="22"/>
        <v>#DIV/0!</v>
      </c>
      <c r="F43" s="46"/>
      <c r="G43" s="23" t="e">
        <f t="shared" si="20"/>
        <v>#DIV/0!</v>
      </c>
      <c r="H43" s="46"/>
      <c r="I43" s="23" t="e">
        <f t="shared" si="5"/>
        <v>#DIV/0!</v>
      </c>
      <c r="J43" s="46"/>
      <c r="K43" s="23" t="e">
        <f t="shared" si="6"/>
        <v>#DIV/0!</v>
      </c>
      <c r="L43" s="46"/>
      <c r="M43" s="23" t="e">
        <f t="shared" si="7"/>
        <v>#DIV/0!</v>
      </c>
      <c r="N43" s="46"/>
      <c r="O43" s="23" t="e">
        <f t="shared" si="8"/>
        <v>#DIV/0!</v>
      </c>
      <c r="P43" s="46"/>
      <c r="Q43" s="23" t="e">
        <f t="shared" si="9"/>
        <v>#DIV/0!</v>
      </c>
      <c r="R43" s="46"/>
      <c r="S43" s="23" t="e">
        <f t="shared" si="10"/>
        <v>#DIV/0!</v>
      </c>
      <c r="T43" s="46"/>
      <c r="U43" s="23" t="e">
        <f t="shared" si="11"/>
        <v>#DIV/0!</v>
      </c>
      <c r="V43" s="46"/>
      <c r="W43" s="23" t="e">
        <f t="shared" si="12"/>
        <v>#DIV/0!</v>
      </c>
      <c r="X43" s="27"/>
      <c r="Y43" s="23" t="e">
        <f t="shared" si="2"/>
        <v>#DIV/0!</v>
      </c>
      <c r="Z43" s="27"/>
      <c r="AA43" s="23" t="e">
        <f t="shared" si="21"/>
        <v>#DIV/0!</v>
      </c>
      <c r="AB43" s="24" t="e">
        <f t="shared" si="17"/>
        <v>#DIV/0!</v>
      </c>
      <c r="AC43" s="23" t="e">
        <f t="shared" si="15"/>
        <v>#DIV/0!</v>
      </c>
      <c r="AD43" s="28" t="e">
        <f t="shared" si="18"/>
        <v>#DIV/0!</v>
      </c>
      <c r="AE43" s="26" t="e">
        <f t="shared" si="16"/>
        <v>#DIV/0!</v>
      </c>
    </row>
    <row r="44" spans="1:31" x14ac:dyDescent="0.25">
      <c r="A44" s="47" t="s">
        <v>96</v>
      </c>
      <c r="B44" s="52"/>
      <c r="C44" s="23" t="e">
        <f t="shared" si="19"/>
        <v>#DIV/0!</v>
      </c>
      <c r="D44" s="46"/>
      <c r="E44" s="23" t="e">
        <f t="shared" si="22"/>
        <v>#DIV/0!</v>
      </c>
      <c r="F44" s="46"/>
      <c r="G44" s="23" t="e">
        <f t="shared" si="20"/>
        <v>#DIV/0!</v>
      </c>
      <c r="H44" s="46"/>
      <c r="I44" s="23" t="e">
        <f t="shared" si="5"/>
        <v>#DIV/0!</v>
      </c>
      <c r="J44" s="46"/>
      <c r="K44" s="23" t="e">
        <f t="shared" si="6"/>
        <v>#DIV/0!</v>
      </c>
      <c r="L44" s="46"/>
      <c r="M44" s="23" t="e">
        <f t="shared" si="7"/>
        <v>#DIV/0!</v>
      </c>
      <c r="N44" s="46"/>
      <c r="O44" s="23" t="e">
        <f t="shared" si="8"/>
        <v>#DIV/0!</v>
      </c>
      <c r="P44" s="46"/>
      <c r="Q44" s="23" t="e">
        <f t="shared" si="9"/>
        <v>#DIV/0!</v>
      </c>
      <c r="R44" s="46"/>
      <c r="S44" s="23" t="e">
        <f t="shared" si="10"/>
        <v>#DIV/0!</v>
      </c>
      <c r="T44" s="46"/>
      <c r="U44" s="23" t="e">
        <f t="shared" si="11"/>
        <v>#DIV/0!</v>
      </c>
      <c r="V44" s="46"/>
      <c r="W44" s="23" t="e">
        <f t="shared" si="12"/>
        <v>#DIV/0!</v>
      </c>
      <c r="X44" s="27"/>
      <c r="Y44" s="23" t="e">
        <f t="shared" si="2"/>
        <v>#DIV/0!</v>
      </c>
      <c r="Z44" s="27"/>
      <c r="AA44" s="23" t="e">
        <f t="shared" si="21"/>
        <v>#DIV/0!</v>
      </c>
      <c r="AB44" s="24" t="e">
        <f t="shared" si="17"/>
        <v>#DIV/0!</v>
      </c>
      <c r="AC44" s="23" t="e">
        <f t="shared" si="15"/>
        <v>#DIV/0!</v>
      </c>
      <c r="AD44" s="28" t="e">
        <f t="shared" si="18"/>
        <v>#DIV/0!</v>
      </c>
      <c r="AE44" s="26" t="e">
        <f t="shared" si="16"/>
        <v>#DIV/0!</v>
      </c>
    </row>
    <row r="45" spans="1:31" x14ac:dyDescent="0.25">
      <c r="A45" s="29" t="s">
        <v>65</v>
      </c>
      <c r="B45" s="52"/>
      <c r="C45" s="23" t="e">
        <f t="shared" si="19"/>
        <v>#DIV/0!</v>
      </c>
      <c r="D45" s="46"/>
      <c r="E45" s="23" t="e">
        <f t="shared" si="22"/>
        <v>#DIV/0!</v>
      </c>
      <c r="F45" s="46"/>
      <c r="G45" s="23" t="e">
        <f t="shared" si="20"/>
        <v>#DIV/0!</v>
      </c>
      <c r="H45" s="46"/>
      <c r="I45" s="23" t="e">
        <f t="shared" si="5"/>
        <v>#DIV/0!</v>
      </c>
      <c r="J45" s="46"/>
      <c r="K45" s="23" t="e">
        <f t="shared" si="6"/>
        <v>#DIV/0!</v>
      </c>
      <c r="L45" s="46"/>
      <c r="M45" s="23" t="e">
        <f t="shared" si="7"/>
        <v>#DIV/0!</v>
      </c>
      <c r="N45" s="46"/>
      <c r="O45" s="23" t="e">
        <f t="shared" si="8"/>
        <v>#DIV/0!</v>
      </c>
      <c r="P45" s="46"/>
      <c r="Q45" s="23" t="e">
        <f t="shared" si="9"/>
        <v>#DIV/0!</v>
      </c>
      <c r="R45" s="46"/>
      <c r="S45" s="23" t="e">
        <f t="shared" si="10"/>
        <v>#DIV/0!</v>
      </c>
      <c r="T45" s="46"/>
      <c r="U45" s="23" t="e">
        <f t="shared" si="11"/>
        <v>#DIV/0!</v>
      </c>
      <c r="V45" s="46"/>
      <c r="W45" s="23" t="e">
        <f t="shared" si="12"/>
        <v>#DIV/0!</v>
      </c>
      <c r="X45" s="27"/>
      <c r="Y45" s="23" t="e">
        <f t="shared" si="2"/>
        <v>#DIV/0!</v>
      </c>
      <c r="Z45" s="27"/>
      <c r="AA45" s="23" t="e">
        <f t="shared" si="21"/>
        <v>#DIV/0!</v>
      </c>
      <c r="AB45" s="24" t="e">
        <f t="shared" si="17"/>
        <v>#DIV/0!</v>
      </c>
      <c r="AC45" s="23" t="e">
        <f t="shared" si="15"/>
        <v>#DIV/0!</v>
      </c>
      <c r="AD45" s="28" t="e">
        <f t="shared" si="18"/>
        <v>#DIV/0!</v>
      </c>
      <c r="AE45" s="26" t="e">
        <f t="shared" si="16"/>
        <v>#DIV/0!</v>
      </c>
    </row>
    <row r="46" spans="1:31" x14ac:dyDescent="0.25">
      <c r="A46" s="55" t="s">
        <v>82</v>
      </c>
      <c r="B46" s="52"/>
      <c r="C46" s="23" t="e">
        <f t="shared" si="19"/>
        <v>#DIV/0!</v>
      </c>
      <c r="D46" s="46"/>
      <c r="E46" s="23" t="e">
        <f t="shared" si="22"/>
        <v>#DIV/0!</v>
      </c>
      <c r="F46" s="46"/>
      <c r="G46" s="23" t="e">
        <f t="shared" si="20"/>
        <v>#DIV/0!</v>
      </c>
      <c r="H46" s="46"/>
      <c r="I46" s="23" t="e">
        <f t="shared" si="5"/>
        <v>#DIV/0!</v>
      </c>
      <c r="J46" s="46"/>
      <c r="K46" s="23" t="e">
        <f t="shared" si="6"/>
        <v>#DIV/0!</v>
      </c>
      <c r="L46" s="46"/>
      <c r="M46" s="23" t="e">
        <f t="shared" si="7"/>
        <v>#DIV/0!</v>
      </c>
      <c r="N46" s="46"/>
      <c r="O46" s="23" t="e">
        <f t="shared" si="8"/>
        <v>#DIV/0!</v>
      </c>
      <c r="P46" s="46"/>
      <c r="Q46" s="23" t="e">
        <f t="shared" si="9"/>
        <v>#DIV/0!</v>
      </c>
      <c r="R46" s="46"/>
      <c r="S46" s="23" t="e">
        <f t="shared" si="10"/>
        <v>#DIV/0!</v>
      </c>
      <c r="T46" s="46"/>
      <c r="U46" s="23" t="e">
        <f t="shared" si="11"/>
        <v>#DIV/0!</v>
      </c>
      <c r="V46" s="46"/>
      <c r="W46" s="23" t="e">
        <f t="shared" si="12"/>
        <v>#DIV/0!</v>
      </c>
      <c r="X46" s="27"/>
      <c r="Y46" s="23" t="e">
        <f t="shared" si="2"/>
        <v>#DIV/0!</v>
      </c>
      <c r="Z46" s="27"/>
      <c r="AA46" s="23" t="e">
        <f t="shared" si="21"/>
        <v>#DIV/0!</v>
      </c>
      <c r="AB46" s="24" t="e">
        <f t="shared" si="17"/>
        <v>#DIV/0!</v>
      </c>
      <c r="AC46" s="23" t="e">
        <f t="shared" si="15"/>
        <v>#DIV/0!</v>
      </c>
      <c r="AD46" s="28" t="e">
        <f t="shared" si="18"/>
        <v>#DIV/0!</v>
      </c>
      <c r="AE46" s="26" t="e">
        <f t="shared" si="16"/>
        <v>#DIV/0!</v>
      </c>
    </row>
    <row r="47" spans="1:31" x14ac:dyDescent="0.25">
      <c r="A47" s="51" t="s">
        <v>91</v>
      </c>
      <c r="B47" s="52"/>
      <c r="C47" s="23" t="e">
        <f t="shared" si="19"/>
        <v>#DIV/0!</v>
      </c>
      <c r="D47" s="46"/>
      <c r="E47" s="23" t="e">
        <f t="shared" si="22"/>
        <v>#DIV/0!</v>
      </c>
      <c r="F47" s="46"/>
      <c r="G47" s="23" t="e">
        <f t="shared" si="20"/>
        <v>#DIV/0!</v>
      </c>
      <c r="H47" s="46"/>
      <c r="I47" s="23" t="e">
        <f t="shared" si="5"/>
        <v>#DIV/0!</v>
      </c>
      <c r="J47" s="46"/>
      <c r="K47" s="23" t="e">
        <f t="shared" si="6"/>
        <v>#DIV/0!</v>
      </c>
      <c r="L47" s="46"/>
      <c r="M47" s="23" t="e">
        <f t="shared" si="7"/>
        <v>#DIV/0!</v>
      </c>
      <c r="N47" s="46"/>
      <c r="O47" s="23" t="e">
        <f t="shared" si="8"/>
        <v>#DIV/0!</v>
      </c>
      <c r="P47" s="46"/>
      <c r="Q47" s="23" t="e">
        <f t="shared" si="9"/>
        <v>#DIV/0!</v>
      </c>
      <c r="R47" s="46"/>
      <c r="S47" s="23" t="e">
        <f t="shared" si="10"/>
        <v>#DIV/0!</v>
      </c>
      <c r="T47" s="46"/>
      <c r="U47" s="23" t="e">
        <f t="shared" si="11"/>
        <v>#DIV/0!</v>
      </c>
      <c r="V47" s="46"/>
      <c r="W47" s="23" t="e">
        <f t="shared" si="12"/>
        <v>#DIV/0!</v>
      </c>
      <c r="X47" s="27"/>
      <c r="Y47" s="23" t="e">
        <f t="shared" si="2"/>
        <v>#DIV/0!</v>
      </c>
      <c r="Z47" s="27"/>
      <c r="AA47" s="23" t="e">
        <f t="shared" si="21"/>
        <v>#DIV/0!</v>
      </c>
      <c r="AB47" s="24" t="e">
        <f t="shared" si="17"/>
        <v>#DIV/0!</v>
      </c>
      <c r="AC47" s="23" t="e">
        <f t="shared" si="15"/>
        <v>#DIV/0!</v>
      </c>
      <c r="AD47" s="28" t="e">
        <f t="shared" si="18"/>
        <v>#DIV/0!</v>
      </c>
      <c r="AE47" s="26" t="e">
        <f t="shared" si="16"/>
        <v>#DIV/0!</v>
      </c>
    </row>
    <row r="48" spans="1:31" x14ac:dyDescent="0.25">
      <c r="A48" s="47" t="s">
        <v>92</v>
      </c>
      <c r="B48" s="52"/>
      <c r="C48" s="23" t="e">
        <f t="shared" si="19"/>
        <v>#DIV/0!</v>
      </c>
      <c r="D48" s="46"/>
      <c r="E48" s="23" t="e">
        <f t="shared" si="22"/>
        <v>#DIV/0!</v>
      </c>
      <c r="F48" s="46"/>
      <c r="G48" s="23" t="e">
        <f t="shared" si="20"/>
        <v>#DIV/0!</v>
      </c>
      <c r="H48" s="46"/>
      <c r="I48" s="23" t="e">
        <f t="shared" si="5"/>
        <v>#DIV/0!</v>
      </c>
      <c r="J48" s="46"/>
      <c r="K48" s="23" t="e">
        <f t="shared" si="6"/>
        <v>#DIV/0!</v>
      </c>
      <c r="L48" s="46"/>
      <c r="M48" s="23" t="e">
        <f t="shared" si="7"/>
        <v>#DIV/0!</v>
      </c>
      <c r="N48" s="46"/>
      <c r="O48" s="23" t="e">
        <f t="shared" si="8"/>
        <v>#DIV/0!</v>
      </c>
      <c r="P48" s="46"/>
      <c r="Q48" s="23" t="e">
        <f t="shared" si="9"/>
        <v>#DIV/0!</v>
      </c>
      <c r="R48" s="46"/>
      <c r="S48" s="23" t="e">
        <f t="shared" si="10"/>
        <v>#DIV/0!</v>
      </c>
      <c r="T48" s="46"/>
      <c r="U48" s="23" t="e">
        <f t="shared" si="11"/>
        <v>#DIV/0!</v>
      </c>
      <c r="V48" s="46"/>
      <c r="W48" s="23" t="e">
        <f t="shared" si="12"/>
        <v>#DIV/0!</v>
      </c>
      <c r="X48" s="27"/>
      <c r="Y48" s="23" t="e">
        <f t="shared" si="2"/>
        <v>#DIV/0!</v>
      </c>
      <c r="Z48" s="27"/>
      <c r="AA48" s="23" t="e">
        <f t="shared" si="21"/>
        <v>#DIV/0!</v>
      </c>
      <c r="AB48" s="24" t="e">
        <f t="shared" si="17"/>
        <v>#DIV/0!</v>
      </c>
      <c r="AC48" s="23" t="e">
        <f t="shared" si="15"/>
        <v>#DIV/0!</v>
      </c>
      <c r="AD48" s="28" t="e">
        <f t="shared" si="18"/>
        <v>#DIV/0!</v>
      </c>
      <c r="AE48" s="26" t="e">
        <f t="shared" si="16"/>
        <v>#DIV/0!</v>
      </c>
    </row>
    <row r="49" spans="1:31" x14ac:dyDescent="0.25">
      <c r="A49" s="29" t="s">
        <v>55</v>
      </c>
      <c r="B49" s="52"/>
      <c r="C49" s="23" t="e">
        <f t="shared" si="19"/>
        <v>#DIV/0!</v>
      </c>
      <c r="D49" s="46"/>
      <c r="E49" s="23" t="e">
        <f t="shared" si="22"/>
        <v>#DIV/0!</v>
      </c>
      <c r="F49" s="46"/>
      <c r="G49" s="23" t="e">
        <f t="shared" si="20"/>
        <v>#DIV/0!</v>
      </c>
      <c r="H49" s="46"/>
      <c r="I49" s="23" t="e">
        <f t="shared" si="5"/>
        <v>#DIV/0!</v>
      </c>
      <c r="J49" s="46"/>
      <c r="K49" s="23" t="e">
        <f t="shared" si="6"/>
        <v>#DIV/0!</v>
      </c>
      <c r="L49" s="46"/>
      <c r="M49" s="23" t="e">
        <f t="shared" si="7"/>
        <v>#DIV/0!</v>
      </c>
      <c r="N49" s="46"/>
      <c r="O49" s="23" t="e">
        <f t="shared" si="8"/>
        <v>#DIV/0!</v>
      </c>
      <c r="P49" s="46"/>
      <c r="Q49" s="23" t="e">
        <f t="shared" si="9"/>
        <v>#DIV/0!</v>
      </c>
      <c r="R49" s="46"/>
      <c r="S49" s="23" t="e">
        <f t="shared" si="10"/>
        <v>#DIV/0!</v>
      </c>
      <c r="T49" s="46"/>
      <c r="U49" s="23" t="e">
        <f t="shared" si="11"/>
        <v>#DIV/0!</v>
      </c>
      <c r="V49" s="46"/>
      <c r="W49" s="23" t="e">
        <f t="shared" si="12"/>
        <v>#DIV/0!</v>
      </c>
      <c r="X49" s="27"/>
      <c r="Y49" s="23" t="e">
        <f t="shared" si="2"/>
        <v>#DIV/0!</v>
      </c>
      <c r="Z49" s="27"/>
      <c r="AA49" s="23" t="e">
        <f t="shared" si="21"/>
        <v>#DIV/0!</v>
      </c>
      <c r="AB49" s="24" t="e">
        <f t="shared" si="17"/>
        <v>#DIV/0!</v>
      </c>
      <c r="AC49" s="23" t="e">
        <f t="shared" si="15"/>
        <v>#DIV/0!</v>
      </c>
      <c r="AD49" s="28" t="e">
        <f t="shared" si="18"/>
        <v>#DIV/0!</v>
      </c>
      <c r="AE49" s="26" t="e">
        <f t="shared" si="16"/>
        <v>#DIV/0!</v>
      </c>
    </row>
    <row r="50" spans="1:31" x14ac:dyDescent="0.25">
      <c r="A50" s="29" t="s">
        <v>79</v>
      </c>
      <c r="B50" s="48"/>
      <c r="C50" s="23" t="e">
        <f t="shared" si="19"/>
        <v>#DIV/0!</v>
      </c>
      <c r="D50" s="46"/>
      <c r="E50" s="23" t="e">
        <f t="shared" si="22"/>
        <v>#DIV/0!</v>
      </c>
      <c r="F50" s="46"/>
      <c r="G50" s="23" t="e">
        <f t="shared" si="20"/>
        <v>#DIV/0!</v>
      </c>
      <c r="H50" s="46"/>
      <c r="I50" s="23" t="e">
        <f t="shared" si="5"/>
        <v>#DIV/0!</v>
      </c>
      <c r="J50" s="46"/>
      <c r="K50" s="23" t="e">
        <f t="shared" si="6"/>
        <v>#DIV/0!</v>
      </c>
      <c r="L50" s="46"/>
      <c r="M50" s="23" t="e">
        <f t="shared" si="7"/>
        <v>#DIV/0!</v>
      </c>
      <c r="N50" s="46"/>
      <c r="O50" s="23" t="e">
        <f t="shared" si="8"/>
        <v>#DIV/0!</v>
      </c>
      <c r="P50" s="46"/>
      <c r="Q50" s="23" t="e">
        <f t="shared" si="9"/>
        <v>#DIV/0!</v>
      </c>
      <c r="R50" s="46"/>
      <c r="S50" s="23" t="e">
        <f t="shared" si="10"/>
        <v>#DIV/0!</v>
      </c>
      <c r="T50" s="46"/>
      <c r="U50" s="23" t="e">
        <f t="shared" si="11"/>
        <v>#DIV/0!</v>
      </c>
      <c r="V50" s="46"/>
      <c r="W50" s="23" t="e">
        <f t="shared" si="12"/>
        <v>#DIV/0!</v>
      </c>
      <c r="X50" s="27"/>
      <c r="Y50" s="23" t="e">
        <f t="shared" si="2"/>
        <v>#DIV/0!</v>
      </c>
      <c r="Z50" s="27"/>
      <c r="AA50" s="23" t="e">
        <f t="shared" si="21"/>
        <v>#DIV/0!</v>
      </c>
      <c r="AB50" s="24" t="e">
        <f t="shared" si="17"/>
        <v>#DIV/0!</v>
      </c>
      <c r="AC50" s="23" t="e">
        <f t="shared" si="15"/>
        <v>#DIV/0!</v>
      </c>
      <c r="AD50" s="28" t="e">
        <f t="shared" si="18"/>
        <v>#DIV/0!</v>
      </c>
      <c r="AE50" s="26" t="e">
        <f t="shared" si="16"/>
        <v>#DIV/0!</v>
      </c>
    </row>
    <row r="51" spans="1:31" x14ac:dyDescent="0.25">
      <c r="A51" s="47" t="s">
        <v>93</v>
      </c>
      <c r="B51" s="27"/>
      <c r="C51" s="23" t="e">
        <f t="shared" si="19"/>
        <v>#DIV/0!</v>
      </c>
      <c r="D51" s="46"/>
      <c r="E51" s="23" t="e">
        <f t="shared" si="22"/>
        <v>#DIV/0!</v>
      </c>
      <c r="F51" s="46"/>
      <c r="G51" s="23" t="e">
        <f t="shared" si="20"/>
        <v>#DIV/0!</v>
      </c>
      <c r="H51" s="46"/>
      <c r="I51" s="23" t="e">
        <f t="shared" si="5"/>
        <v>#DIV/0!</v>
      </c>
      <c r="J51" s="46"/>
      <c r="K51" s="23" t="e">
        <f t="shared" si="6"/>
        <v>#DIV/0!</v>
      </c>
      <c r="L51" s="46"/>
      <c r="M51" s="23" t="e">
        <f t="shared" si="7"/>
        <v>#DIV/0!</v>
      </c>
      <c r="N51" s="46"/>
      <c r="O51" s="23" t="e">
        <f t="shared" si="8"/>
        <v>#DIV/0!</v>
      </c>
      <c r="P51" s="46"/>
      <c r="Q51" s="23" t="e">
        <f t="shared" si="9"/>
        <v>#DIV/0!</v>
      </c>
      <c r="R51" s="46"/>
      <c r="S51" s="23" t="e">
        <f t="shared" si="10"/>
        <v>#DIV/0!</v>
      </c>
      <c r="T51" s="46"/>
      <c r="U51" s="23" t="e">
        <f t="shared" si="11"/>
        <v>#DIV/0!</v>
      </c>
      <c r="V51" s="46"/>
      <c r="W51" s="23" t="e">
        <f t="shared" si="12"/>
        <v>#DIV/0!</v>
      </c>
      <c r="X51" s="27"/>
      <c r="Y51" s="23" t="e">
        <f t="shared" si="2"/>
        <v>#DIV/0!</v>
      </c>
      <c r="Z51" s="27"/>
      <c r="AA51" s="23" t="e">
        <f t="shared" si="21"/>
        <v>#DIV/0!</v>
      </c>
      <c r="AB51" s="24" t="e">
        <f t="shared" si="17"/>
        <v>#DIV/0!</v>
      </c>
      <c r="AC51" s="23" t="e">
        <f t="shared" si="15"/>
        <v>#DIV/0!</v>
      </c>
      <c r="AD51" s="28" t="e">
        <f t="shared" si="18"/>
        <v>#DIV/0!</v>
      </c>
      <c r="AE51" s="26" t="e">
        <f t="shared" si="16"/>
        <v>#DIV/0!</v>
      </c>
    </row>
    <row r="52" spans="1:31" x14ac:dyDescent="0.25">
      <c r="A52" s="29" t="s">
        <v>60</v>
      </c>
      <c r="B52" s="52"/>
      <c r="C52" s="23" t="e">
        <f t="shared" si="19"/>
        <v>#DIV/0!</v>
      </c>
      <c r="D52" s="48"/>
      <c r="E52" s="23" t="e">
        <f t="shared" si="22"/>
        <v>#DIV/0!</v>
      </c>
      <c r="F52" s="48"/>
      <c r="G52" s="23" t="e">
        <f t="shared" si="20"/>
        <v>#DIV/0!</v>
      </c>
      <c r="H52" s="48"/>
      <c r="I52" s="23" t="e">
        <f t="shared" si="5"/>
        <v>#DIV/0!</v>
      </c>
      <c r="J52" s="48"/>
      <c r="K52" s="23" t="e">
        <f t="shared" si="6"/>
        <v>#DIV/0!</v>
      </c>
      <c r="L52" s="48"/>
      <c r="M52" s="23" t="e">
        <f t="shared" si="7"/>
        <v>#DIV/0!</v>
      </c>
      <c r="N52" s="48"/>
      <c r="O52" s="23" t="e">
        <f t="shared" si="8"/>
        <v>#DIV/0!</v>
      </c>
      <c r="P52" s="48"/>
      <c r="Q52" s="23" t="e">
        <f t="shared" si="9"/>
        <v>#DIV/0!</v>
      </c>
      <c r="R52" s="48"/>
      <c r="S52" s="23" t="e">
        <f t="shared" si="10"/>
        <v>#DIV/0!</v>
      </c>
      <c r="T52" s="48"/>
      <c r="U52" s="23" t="e">
        <f t="shared" si="11"/>
        <v>#DIV/0!</v>
      </c>
      <c r="V52" s="48"/>
      <c r="W52" s="23" t="e">
        <f t="shared" si="12"/>
        <v>#DIV/0!</v>
      </c>
      <c r="X52" s="27"/>
      <c r="Y52" s="23" t="e">
        <f t="shared" si="2"/>
        <v>#DIV/0!</v>
      </c>
      <c r="Z52" s="27"/>
      <c r="AA52" s="23" t="e">
        <f t="shared" si="21"/>
        <v>#DIV/0!</v>
      </c>
      <c r="AB52" s="24" t="e">
        <f t="shared" si="17"/>
        <v>#DIV/0!</v>
      </c>
      <c r="AC52" s="23" t="e">
        <f t="shared" si="15"/>
        <v>#DIV/0!</v>
      </c>
      <c r="AD52" s="28" t="e">
        <f t="shared" si="18"/>
        <v>#DIV/0!</v>
      </c>
      <c r="AE52" s="26" t="e">
        <f t="shared" si="16"/>
        <v>#DIV/0!</v>
      </c>
    </row>
    <row r="53" spans="1:31" x14ac:dyDescent="0.25">
      <c r="A53" s="29"/>
      <c r="B53" s="52"/>
      <c r="C53" s="23" t="e">
        <f t="shared" si="19"/>
        <v>#DIV/0!</v>
      </c>
      <c r="D53" s="46"/>
      <c r="E53" s="23" t="e">
        <f t="shared" si="22"/>
        <v>#DIV/0!</v>
      </c>
      <c r="F53" s="46"/>
      <c r="G53" s="23" t="e">
        <f t="shared" ref="G53:G69" si="23">F53/F$2</f>
        <v>#DIV/0!</v>
      </c>
      <c r="H53" s="46"/>
      <c r="I53" s="23" t="e">
        <f t="shared" si="5"/>
        <v>#DIV/0!</v>
      </c>
      <c r="J53" s="46"/>
      <c r="K53" s="23" t="e">
        <f t="shared" si="6"/>
        <v>#DIV/0!</v>
      </c>
      <c r="L53" s="46"/>
      <c r="M53" s="23" t="e">
        <f t="shared" si="7"/>
        <v>#DIV/0!</v>
      </c>
      <c r="N53" s="46"/>
      <c r="O53" s="23" t="e">
        <f t="shared" si="8"/>
        <v>#DIV/0!</v>
      </c>
      <c r="P53" s="46"/>
      <c r="Q53" s="23" t="e">
        <f t="shared" si="9"/>
        <v>#DIV/0!</v>
      </c>
      <c r="R53" s="46"/>
      <c r="S53" s="23" t="e">
        <f t="shared" si="10"/>
        <v>#DIV/0!</v>
      </c>
      <c r="T53" s="46"/>
      <c r="U53" s="23" t="e">
        <f t="shared" si="11"/>
        <v>#DIV/0!</v>
      </c>
      <c r="V53" s="46"/>
      <c r="W53" s="23" t="e">
        <f t="shared" si="12"/>
        <v>#DIV/0!</v>
      </c>
      <c r="X53" s="27"/>
      <c r="Y53" s="23" t="e">
        <f t="shared" si="2"/>
        <v>#DIV/0!</v>
      </c>
      <c r="Z53" s="27"/>
      <c r="AA53" s="23" t="e">
        <f t="shared" si="21"/>
        <v>#DIV/0!</v>
      </c>
      <c r="AB53" s="24" t="e">
        <f t="shared" si="17"/>
        <v>#DIV/0!</v>
      </c>
      <c r="AC53" s="23" t="e">
        <f t="shared" si="15"/>
        <v>#DIV/0!</v>
      </c>
      <c r="AD53" s="28" t="e">
        <f t="shared" si="18"/>
        <v>#DIV/0!</v>
      </c>
      <c r="AE53" s="26" t="e">
        <f t="shared" si="16"/>
        <v>#DIV/0!</v>
      </c>
    </row>
    <row r="54" spans="1:31" x14ac:dyDescent="0.25">
      <c r="A54" s="47"/>
      <c r="B54" s="52"/>
      <c r="C54" s="23" t="e">
        <f t="shared" si="19"/>
        <v>#DIV/0!</v>
      </c>
      <c r="D54" s="46"/>
      <c r="E54" s="23" t="e">
        <f t="shared" si="22"/>
        <v>#DIV/0!</v>
      </c>
      <c r="F54" s="46"/>
      <c r="G54" s="23" t="e">
        <f t="shared" si="23"/>
        <v>#DIV/0!</v>
      </c>
      <c r="H54" s="46"/>
      <c r="I54" s="23" t="e">
        <f t="shared" si="5"/>
        <v>#DIV/0!</v>
      </c>
      <c r="J54" s="46"/>
      <c r="K54" s="23" t="e">
        <f t="shared" si="6"/>
        <v>#DIV/0!</v>
      </c>
      <c r="L54" s="46"/>
      <c r="M54" s="23" t="e">
        <f t="shared" si="7"/>
        <v>#DIV/0!</v>
      </c>
      <c r="N54" s="46"/>
      <c r="O54" s="23" t="e">
        <f t="shared" si="8"/>
        <v>#DIV/0!</v>
      </c>
      <c r="P54" s="46"/>
      <c r="Q54" s="23" t="e">
        <f t="shared" si="9"/>
        <v>#DIV/0!</v>
      </c>
      <c r="R54" s="46"/>
      <c r="S54" s="23" t="e">
        <f t="shared" si="10"/>
        <v>#DIV/0!</v>
      </c>
      <c r="T54" s="46"/>
      <c r="U54" s="23" t="e">
        <f t="shared" si="11"/>
        <v>#DIV/0!</v>
      </c>
      <c r="V54" s="46"/>
      <c r="W54" s="23" t="e">
        <f t="shared" si="12"/>
        <v>#DIV/0!</v>
      </c>
      <c r="X54" s="27"/>
      <c r="Y54" s="23" t="e">
        <f t="shared" si="2"/>
        <v>#DIV/0!</v>
      </c>
      <c r="Z54" s="27"/>
      <c r="AA54" s="23" t="e">
        <f t="shared" si="21"/>
        <v>#DIV/0!</v>
      </c>
      <c r="AB54" s="24" t="e">
        <f t="shared" si="17"/>
        <v>#DIV/0!</v>
      </c>
      <c r="AC54" s="23" t="e">
        <f t="shared" si="15"/>
        <v>#DIV/0!</v>
      </c>
      <c r="AD54" s="28" t="e">
        <f t="shared" si="18"/>
        <v>#DIV/0!</v>
      </c>
      <c r="AE54" s="26" t="e">
        <f t="shared" si="16"/>
        <v>#DIV/0!</v>
      </c>
    </row>
    <row r="55" spans="1:31" x14ac:dyDescent="0.25">
      <c r="A55" s="29"/>
      <c r="B55" s="52"/>
      <c r="C55" s="23" t="e">
        <f t="shared" si="19"/>
        <v>#DIV/0!</v>
      </c>
      <c r="D55" s="46"/>
      <c r="E55" s="23" t="e">
        <f t="shared" si="22"/>
        <v>#DIV/0!</v>
      </c>
      <c r="F55" s="46"/>
      <c r="G55" s="23" t="e">
        <f t="shared" si="23"/>
        <v>#DIV/0!</v>
      </c>
      <c r="H55" s="46"/>
      <c r="I55" s="23" t="e">
        <f t="shared" si="5"/>
        <v>#DIV/0!</v>
      </c>
      <c r="J55" s="46"/>
      <c r="K55" s="23" t="e">
        <f t="shared" si="6"/>
        <v>#DIV/0!</v>
      </c>
      <c r="L55" s="46"/>
      <c r="M55" s="23" t="e">
        <f t="shared" si="7"/>
        <v>#DIV/0!</v>
      </c>
      <c r="N55" s="46"/>
      <c r="O55" s="23" t="e">
        <f t="shared" si="8"/>
        <v>#DIV/0!</v>
      </c>
      <c r="P55" s="46"/>
      <c r="Q55" s="23" t="e">
        <f t="shared" si="9"/>
        <v>#DIV/0!</v>
      </c>
      <c r="R55" s="46"/>
      <c r="S55" s="23" t="e">
        <f t="shared" si="10"/>
        <v>#DIV/0!</v>
      </c>
      <c r="T55" s="46"/>
      <c r="U55" s="23" t="e">
        <f t="shared" si="11"/>
        <v>#DIV/0!</v>
      </c>
      <c r="V55" s="46"/>
      <c r="W55" s="23" t="e">
        <f t="shared" si="12"/>
        <v>#DIV/0!</v>
      </c>
      <c r="X55" s="27"/>
      <c r="Y55" s="23" t="e">
        <f t="shared" si="2"/>
        <v>#DIV/0!</v>
      </c>
      <c r="Z55" s="27"/>
      <c r="AA55" s="23" t="e">
        <f t="shared" si="21"/>
        <v>#DIV/0!</v>
      </c>
      <c r="AB55" s="24" t="e">
        <f t="shared" si="17"/>
        <v>#DIV/0!</v>
      </c>
      <c r="AC55" s="23" t="e">
        <f t="shared" si="15"/>
        <v>#DIV/0!</v>
      </c>
      <c r="AD55" s="28" t="e">
        <f t="shared" si="18"/>
        <v>#DIV/0!</v>
      </c>
      <c r="AE55" s="26" t="e">
        <f t="shared" si="16"/>
        <v>#DIV/0!</v>
      </c>
    </row>
    <row r="56" spans="1:31" x14ac:dyDescent="0.25">
      <c r="A56" s="29"/>
      <c r="B56" s="27"/>
      <c r="C56" s="23" t="e">
        <f t="shared" si="19"/>
        <v>#DIV/0!</v>
      </c>
      <c r="D56" s="46"/>
      <c r="E56" s="23" t="e">
        <f t="shared" si="22"/>
        <v>#DIV/0!</v>
      </c>
      <c r="F56" s="46"/>
      <c r="G56" s="23" t="e">
        <f t="shared" si="23"/>
        <v>#DIV/0!</v>
      </c>
      <c r="H56" s="46"/>
      <c r="I56" s="23" t="e">
        <f t="shared" si="5"/>
        <v>#DIV/0!</v>
      </c>
      <c r="J56" s="46"/>
      <c r="K56" s="23" t="e">
        <f t="shared" si="6"/>
        <v>#DIV/0!</v>
      </c>
      <c r="L56" s="46"/>
      <c r="M56" s="23" t="e">
        <f t="shared" si="7"/>
        <v>#DIV/0!</v>
      </c>
      <c r="N56" s="46"/>
      <c r="O56" s="23" t="e">
        <f t="shared" si="8"/>
        <v>#DIV/0!</v>
      </c>
      <c r="P56" s="46"/>
      <c r="Q56" s="23" t="e">
        <f t="shared" si="9"/>
        <v>#DIV/0!</v>
      </c>
      <c r="R56" s="46"/>
      <c r="S56" s="23" t="e">
        <f t="shared" si="10"/>
        <v>#DIV/0!</v>
      </c>
      <c r="T56" s="46"/>
      <c r="U56" s="23" t="e">
        <f t="shared" si="11"/>
        <v>#DIV/0!</v>
      </c>
      <c r="V56" s="46"/>
      <c r="W56" s="23" t="e">
        <f t="shared" si="12"/>
        <v>#DIV/0!</v>
      </c>
      <c r="X56" s="27"/>
      <c r="Y56" s="23" t="e">
        <f t="shared" si="2"/>
        <v>#DIV/0!</v>
      </c>
      <c r="Z56" s="27"/>
      <c r="AA56" s="23" t="e">
        <f t="shared" si="21"/>
        <v>#DIV/0!</v>
      </c>
      <c r="AB56" s="24" t="e">
        <f t="shared" si="17"/>
        <v>#DIV/0!</v>
      </c>
      <c r="AC56" s="23" t="e">
        <f t="shared" si="15"/>
        <v>#DIV/0!</v>
      </c>
      <c r="AD56" s="28" t="e">
        <f t="shared" si="18"/>
        <v>#DIV/0!</v>
      </c>
      <c r="AE56" s="26" t="e">
        <f t="shared" si="16"/>
        <v>#DIV/0!</v>
      </c>
    </row>
    <row r="57" spans="1:31" x14ac:dyDescent="0.25">
      <c r="A57" s="47"/>
      <c r="B57" s="27"/>
      <c r="C57" s="23" t="e">
        <f t="shared" si="19"/>
        <v>#DIV/0!</v>
      </c>
      <c r="D57" s="46"/>
      <c r="E57" s="23" t="e">
        <f t="shared" si="22"/>
        <v>#DIV/0!</v>
      </c>
      <c r="F57" s="46"/>
      <c r="G57" s="23" t="e">
        <f t="shared" si="23"/>
        <v>#DIV/0!</v>
      </c>
      <c r="H57" s="46"/>
      <c r="I57" s="23" t="e">
        <f t="shared" si="5"/>
        <v>#DIV/0!</v>
      </c>
      <c r="J57" s="46"/>
      <c r="K57" s="23" t="e">
        <f t="shared" si="6"/>
        <v>#DIV/0!</v>
      </c>
      <c r="L57" s="46"/>
      <c r="M57" s="23" t="e">
        <f t="shared" si="7"/>
        <v>#DIV/0!</v>
      </c>
      <c r="N57" s="46"/>
      <c r="O57" s="23" t="e">
        <f t="shared" si="8"/>
        <v>#DIV/0!</v>
      </c>
      <c r="P57" s="46"/>
      <c r="Q57" s="23" t="e">
        <f t="shared" si="9"/>
        <v>#DIV/0!</v>
      </c>
      <c r="R57" s="46"/>
      <c r="S57" s="23" t="e">
        <f t="shared" si="10"/>
        <v>#DIV/0!</v>
      </c>
      <c r="T57" s="46"/>
      <c r="U57" s="23" t="e">
        <f t="shared" si="11"/>
        <v>#DIV/0!</v>
      </c>
      <c r="V57" s="46"/>
      <c r="W57" s="23" t="e">
        <f t="shared" si="12"/>
        <v>#DIV/0!</v>
      </c>
      <c r="X57" s="27"/>
      <c r="Y57" s="23" t="e">
        <f t="shared" si="2"/>
        <v>#DIV/0!</v>
      </c>
      <c r="Z57" s="27"/>
      <c r="AA57" s="23" t="e">
        <f t="shared" si="21"/>
        <v>#DIV/0!</v>
      </c>
      <c r="AB57" s="24" t="e">
        <f t="shared" si="17"/>
        <v>#DIV/0!</v>
      </c>
      <c r="AC57" s="23" t="e">
        <f t="shared" si="15"/>
        <v>#DIV/0!</v>
      </c>
      <c r="AD57" s="28" t="e">
        <f t="shared" si="18"/>
        <v>#DIV/0!</v>
      </c>
      <c r="AE57" s="26" t="e">
        <f t="shared" si="16"/>
        <v>#DIV/0!</v>
      </c>
    </row>
    <row r="58" spans="1:31" x14ac:dyDescent="0.25">
      <c r="A58" s="29"/>
      <c r="B58" s="27"/>
      <c r="C58" s="23" t="e">
        <f t="shared" si="19"/>
        <v>#DIV/0!</v>
      </c>
      <c r="D58" s="46"/>
      <c r="E58" s="23" t="e">
        <f t="shared" si="22"/>
        <v>#DIV/0!</v>
      </c>
      <c r="F58" s="46"/>
      <c r="G58" s="23" t="e">
        <f t="shared" si="23"/>
        <v>#DIV/0!</v>
      </c>
      <c r="H58" s="46"/>
      <c r="I58" s="23" t="e">
        <f t="shared" si="5"/>
        <v>#DIV/0!</v>
      </c>
      <c r="J58" s="46"/>
      <c r="K58" s="23" t="e">
        <f t="shared" si="6"/>
        <v>#DIV/0!</v>
      </c>
      <c r="L58" s="46"/>
      <c r="M58" s="23" t="e">
        <f t="shared" si="7"/>
        <v>#DIV/0!</v>
      </c>
      <c r="N58" s="46"/>
      <c r="O58" s="23" t="e">
        <f t="shared" si="8"/>
        <v>#DIV/0!</v>
      </c>
      <c r="P58" s="46"/>
      <c r="Q58" s="23" t="e">
        <f t="shared" si="9"/>
        <v>#DIV/0!</v>
      </c>
      <c r="R58" s="46"/>
      <c r="S58" s="23" t="e">
        <f t="shared" si="10"/>
        <v>#DIV/0!</v>
      </c>
      <c r="T58" s="46"/>
      <c r="U58" s="23" t="e">
        <f t="shared" si="11"/>
        <v>#DIV/0!</v>
      </c>
      <c r="V58" s="46"/>
      <c r="W58" s="23" t="e">
        <f t="shared" si="12"/>
        <v>#DIV/0!</v>
      </c>
      <c r="X58" s="27"/>
      <c r="Y58" s="23" t="e">
        <f t="shared" si="2"/>
        <v>#DIV/0!</v>
      </c>
      <c r="Z58" s="27"/>
      <c r="AA58" s="23" t="e">
        <f t="shared" si="21"/>
        <v>#DIV/0!</v>
      </c>
      <c r="AB58" s="24" t="e">
        <f t="shared" si="17"/>
        <v>#DIV/0!</v>
      </c>
      <c r="AC58" s="23" t="e">
        <f t="shared" si="15"/>
        <v>#DIV/0!</v>
      </c>
      <c r="AD58" s="28" t="e">
        <f t="shared" si="18"/>
        <v>#DIV/0!</v>
      </c>
      <c r="AE58" s="26" t="e">
        <f t="shared" si="16"/>
        <v>#DIV/0!</v>
      </c>
    </row>
    <row r="59" spans="1:31" x14ac:dyDescent="0.25">
      <c r="A59" s="33"/>
      <c r="B59" s="27"/>
      <c r="C59" s="23" t="e">
        <f t="shared" si="19"/>
        <v>#DIV/0!</v>
      </c>
      <c r="D59" s="46"/>
      <c r="E59" s="23" t="e">
        <f t="shared" si="22"/>
        <v>#DIV/0!</v>
      </c>
      <c r="F59" s="46"/>
      <c r="G59" s="23" t="e">
        <f t="shared" si="23"/>
        <v>#DIV/0!</v>
      </c>
      <c r="H59" s="46"/>
      <c r="I59" s="23" t="e">
        <f t="shared" si="5"/>
        <v>#DIV/0!</v>
      </c>
      <c r="J59" s="46"/>
      <c r="K59" s="23" t="e">
        <f t="shared" si="6"/>
        <v>#DIV/0!</v>
      </c>
      <c r="L59" s="46"/>
      <c r="M59" s="23" t="e">
        <f t="shared" si="7"/>
        <v>#DIV/0!</v>
      </c>
      <c r="N59" s="46"/>
      <c r="O59" s="23" t="e">
        <f t="shared" si="8"/>
        <v>#DIV/0!</v>
      </c>
      <c r="P59" s="46"/>
      <c r="Q59" s="23" t="e">
        <f t="shared" si="9"/>
        <v>#DIV/0!</v>
      </c>
      <c r="R59" s="46"/>
      <c r="S59" s="23" t="e">
        <f t="shared" si="10"/>
        <v>#DIV/0!</v>
      </c>
      <c r="T59" s="46"/>
      <c r="U59" s="23" t="e">
        <f t="shared" si="11"/>
        <v>#DIV/0!</v>
      </c>
      <c r="V59" s="46"/>
      <c r="W59" s="23" t="e">
        <f t="shared" si="12"/>
        <v>#DIV/0!</v>
      </c>
      <c r="X59" s="27"/>
      <c r="Y59" s="23" t="e">
        <f t="shared" si="2"/>
        <v>#DIV/0!</v>
      </c>
      <c r="Z59" s="27"/>
      <c r="AA59" s="23" t="e">
        <f t="shared" si="21"/>
        <v>#DIV/0!</v>
      </c>
      <c r="AB59" s="24" t="e">
        <f t="shared" si="17"/>
        <v>#DIV/0!</v>
      </c>
      <c r="AC59" s="23" t="e">
        <f t="shared" si="15"/>
        <v>#DIV/0!</v>
      </c>
      <c r="AD59" s="28" t="e">
        <f t="shared" si="18"/>
        <v>#DIV/0!</v>
      </c>
      <c r="AE59" s="26" t="e">
        <f t="shared" si="16"/>
        <v>#DIV/0!</v>
      </c>
    </row>
    <row r="60" spans="1:31" x14ac:dyDescent="0.25">
      <c r="A60" s="33"/>
      <c r="B60" s="46"/>
      <c r="C60" s="23" t="e">
        <f t="shared" si="19"/>
        <v>#DIV/0!</v>
      </c>
      <c r="D60" s="46"/>
      <c r="E60" s="23" t="e">
        <f t="shared" si="22"/>
        <v>#DIV/0!</v>
      </c>
      <c r="F60" s="46"/>
      <c r="G60" s="23" t="e">
        <f t="shared" si="23"/>
        <v>#DIV/0!</v>
      </c>
      <c r="H60" s="46"/>
      <c r="I60" s="23" t="e">
        <f>H60/H$2</f>
        <v>#DIV/0!</v>
      </c>
      <c r="J60" s="46"/>
      <c r="K60" s="23" t="e">
        <f t="shared" si="6"/>
        <v>#DIV/0!</v>
      </c>
      <c r="L60" s="46"/>
      <c r="M60" s="23" t="e">
        <f t="shared" si="7"/>
        <v>#DIV/0!</v>
      </c>
      <c r="N60" s="46"/>
      <c r="O60" s="23" t="e">
        <f t="shared" si="8"/>
        <v>#DIV/0!</v>
      </c>
      <c r="P60" s="46"/>
      <c r="Q60" s="23" t="e">
        <f t="shared" si="9"/>
        <v>#DIV/0!</v>
      </c>
      <c r="R60" s="46"/>
      <c r="S60" s="23" t="e">
        <f t="shared" si="10"/>
        <v>#DIV/0!</v>
      </c>
      <c r="T60" s="46"/>
      <c r="U60" s="23" t="e">
        <f t="shared" si="11"/>
        <v>#DIV/0!</v>
      </c>
      <c r="V60" s="46"/>
      <c r="W60" s="23" t="e">
        <f t="shared" si="12"/>
        <v>#DIV/0!</v>
      </c>
      <c r="X60" s="27"/>
      <c r="Y60" s="23" t="e">
        <f t="shared" si="2"/>
        <v>#DIV/0!</v>
      </c>
      <c r="Z60" s="27"/>
      <c r="AA60" s="23" t="e">
        <f t="shared" si="21"/>
        <v>#DIV/0!</v>
      </c>
      <c r="AB60" s="24" t="e">
        <f t="shared" si="17"/>
        <v>#DIV/0!</v>
      </c>
      <c r="AC60" s="23" t="e">
        <f t="shared" si="15"/>
        <v>#DIV/0!</v>
      </c>
      <c r="AD60" s="28" t="e">
        <f t="shared" si="18"/>
        <v>#DIV/0!</v>
      </c>
      <c r="AE60" s="26" t="e">
        <f t="shared" si="16"/>
        <v>#DIV/0!</v>
      </c>
    </row>
    <row r="61" spans="1:31" x14ac:dyDescent="0.25">
      <c r="A61" s="47"/>
      <c r="B61" s="27"/>
      <c r="C61" s="23" t="e">
        <f t="shared" si="19"/>
        <v>#DIV/0!</v>
      </c>
      <c r="D61" s="46"/>
      <c r="E61" s="23" t="e">
        <f t="shared" si="22"/>
        <v>#DIV/0!</v>
      </c>
      <c r="F61" s="46"/>
      <c r="G61" s="23" t="e">
        <f t="shared" si="23"/>
        <v>#DIV/0!</v>
      </c>
      <c r="H61" s="46"/>
      <c r="I61" s="23" t="e">
        <f t="shared" ref="I61:I69" si="24">H61/H$2</f>
        <v>#DIV/0!</v>
      </c>
      <c r="J61" s="46"/>
      <c r="K61" s="23" t="e">
        <f t="shared" ref="K61:K69" si="25">J61/J$2</f>
        <v>#DIV/0!</v>
      </c>
      <c r="L61" s="46"/>
      <c r="M61" s="23" t="e">
        <f t="shared" ref="M61:M69" si="26">L61/L$2</f>
        <v>#DIV/0!</v>
      </c>
      <c r="N61" s="46"/>
      <c r="O61" s="23" t="e">
        <f t="shared" ref="O61:O69" si="27">N61/N$2</f>
        <v>#DIV/0!</v>
      </c>
      <c r="P61" s="46"/>
      <c r="Q61" s="23" t="e">
        <f t="shared" ref="Q61:Q69" si="28">P61/P$2</f>
        <v>#DIV/0!</v>
      </c>
      <c r="R61" s="46"/>
      <c r="S61" s="23" t="e">
        <f t="shared" ref="S61:S69" si="29">R61/R$2</f>
        <v>#DIV/0!</v>
      </c>
      <c r="T61" s="46"/>
      <c r="U61" s="23" t="e">
        <f t="shared" ref="U61:U69" si="30">T61/T$2</f>
        <v>#DIV/0!</v>
      </c>
      <c r="V61" s="46"/>
      <c r="W61" s="23" t="e">
        <f t="shared" ref="W61:W69" si="31">V61/V$2</f>
        <v>#DIV/0!</v>
      </c>
      <c r="X61" s="27"/>
      <c r="Y61" s="23" t="e">
        <f t="shared" ref="Y61:Y69" si="32">X61/X$2</f>
        <v>#DIV/0!</v>
      </c>
      <c r="Z61" s="27"/>
      <c r="AA61" s="23" t="e">
        <f t="shared" si="21"/>
        <v>#DIV/0!</v>
      </c>
      <c r="AB61" s="24" t="e">
        <f t="shared" ref="AB61:AB68" si="33">(D61+F61+H61+J61+L61+N61+P61+R61+T61+V61+X61+Z61)/AF$2</f>
        <v>#DIV/0!</v>
      </c>
      <c r="AC61" s="23" t="e">
        <f t="shared" si="15"/>
        <v>#DIV/0!</v>
      </c>
      <c r="AD61" s="28" t="e">
        <f t="shared" ref="AD61:AD68" si="34">AB61*12</f>
        <v>#DIV/0!</v>
      </c>
      <c r="AE61" s="26" t="e">
        <f t="shared" si="16"/>
        <v>#DIV/0!</v>
      </c>
    </row>
    <row r="62" spans="1:31" x14ac:dyDescent="0.25">
      <c r="A62" s="29"/>
      <c r="B62" s="27"/>
      <c r="C62" s="23" t="e">
        <f t="shared" si="19"/>
        <v>#DIV/0!</v>
      </c>
      <c r="D62" s="46"/>
      <c r="E62" s="23" t="e">
        <f t="shared" si="22"/>
        <v>#DIV/0!</v>
      </c>
      <c r="F62" s="46"/>
      <c r="G62" s="23" t="e">
        <f t="shared" si="23"/>
        <v>#DIV/0!</v>
      </c>
      <c r="H62" s="46"/>
      <c r="I62" s="23" t="e">
        <f t="shared" si="24"/>
        <v>#DIV/0!</v>
      </c>
      <c r="J62" s="46"/>
      <c r="K62" s="23" t="e">
        <f t="shared" si="25"/>
        <v>#DIV/0!</v>
      </c>
      <c r="L62" s="46"/>
      <c r="M62" s="23" t="e">
        <f t="shared" si="26"/>
        <v>#DIV/0!</v>
      </c>
      <c r="N62" s="46"/>
      <c r="O62" s="23" t="e">
        <f t="shared" si="27"/>
        <v>#DIV/0!</v>
      </c>
      <c r="P62" s="46"/>
      <c r="Q62" s="23" t="e">
        <f t="shared" si="28"/>
        <v>#DIV/0!</v>
      </c>
      <c r="R62" s="46"/>
      <c r="S62" s="23" t="e">
        <f t="shared" si="29"/>
        <v>#DIV/0!</v>
      </c>
      <c r="T62" s="46"/>
      <c r="U62" s="23" t="e">
        <f t="shared" si="30"/>
        <v>#DIV/0!</v>
      </c>
      <c r="V62" s="46"/>
      <c r="W62" s="23" t="e">
        <f t="shared" si="31"/>
        <v>#DIV/0!</v>
      </c>
      <c r="X62" s="27"/>
      <c r="Y62" s="23" t="e">
        <f t="shared" si="32"/>
        <v>#DIV/0!</v>
      </c>
      <c r="Z62" s="27"/>
      <c r="AA62" s="23" t="e">
        <f t="shared" ref="AA62:AA67" si="35">Z62/Z$2</f>
        <v>#DIV/0!</v>
      </c>
      <c r="AB62" s="24" t="e">
        <f t="shared" si="33"/>
        <v>#DIV/0!</v>
      </c>
      <c r="AC62" s="23" t="e">
        <f t="shared" ref="AC62:AC67" si="36">AB62/AB$2</f>
        <v>#DIV/0!</v>
      </c>
      <c r="AD62" s="28" t="e">
        <f t="shared" si="34"/>
        <v>#DIV/0!</v>
      </c>
      <c r="AE62" s="26" t="e">
        <f t="shared" ref="AE62:AE67" si="37">AD62*100/AD$2</f>
        <v>#DIV/0!</v>
      </c>
    </row>
    <row r="63" spans="1:31" x14ac:dyDescent="0.25">
      <c r="A63" s="30"/>
      <c r="B63" s="27"/>
      <c r="C63" s="23" t="e">
        <f t="shared" si="19"/>
        <v>#DIV/0!</v>
      </c>
      <c r="D63" s="46"/>
      <c r="E63" s="23" t="e">
        <f t="shared" si="22"/>
        <v>#DIV/0!</v>
      </c>
      <c r="F63" s="46"/>
      <c r="G63" s="23" t="e">
        <f t="shared" si="23"/>
        <v>#DIV/0!</v>
      </c>
      <c r="H63" s="46"/>
      <c r="I63" s="23" t="e">
        <f t="shared" si="24"/>
        <v>#DIV/0!</v>
      </c>
      <c r="J63" s="46"/>
      <c r="K63" s="23" t="e">
        <f t="shared" si="25"/>
        <v>#DIV/0!</v>
      </c>
      <c r="L63" s="46"/>
      <c r="M63" s="23" t="e">
        <f t="shared" si="26"/>
        <v>#DIV/0!</v>
      </c>
      <c r="N63" s="46"/>
      <c r="O63" s="23" t="e">
        <f t="shared" si="27"/>
        <v>#DIV/0!</v>
      </c>
      <c r="P63" s="46"/>
      <c r="Q63" s="23" t="e">
        <f t="shared" si="28"/>
        <v>#DIV/0!</v>
      </c>
      <c r="R63" s="46"/>
      <c r="S63" s="23" t="e">
        <f t="shared" si="29"/>
        <v>#DIV/0!</v>
      </c>
      <c r="T63" s="46"/>
      <c r="U63" s="23" t="e">
        <f t="shared" si="30"/>
        <v>#DIV/0!</v>
      </c>
      <c r="V63" s="46"/>
      <c r="W63" s="23" t="e">
        <f t="shared" si="31"/>
        <v>#DIV/0!</v>
      </c>
      <c r="X63" s="27"/>
      <c r="Y63" s="23" t="e">
        <f t="shared" si="32"/>
        <v>#DIV/0!</v>
      </c>
      <c r="Z63" s="27"/>
      <c r="AA63" s="23" t="e">
        <f t="shared" si="35"/>
        <v>#DIV/0!</v>
      </c>
      <c r="AB63" s="24" t="e">
        <f t="shared" si="33"/>
        <v>#DIV/0!</v>
      </c>
      <c r="AC63" s="23" t="e">
        <f t="shared" si="36"/>
        <v>#DIV/0!</v>
      </c>
      <c r="AD63" s="28" t="e">
        <f t="shared" si="34"/>
        <v>#DIV/0!</v>
      </c>
      <c r="AE63" s="26" t="e">
        <f t="shared" si="37"/>
        <v>#DIV/0!</v>
      </c>
    </row>
    <row r="64" spans="1:31" x14ac:dyDescent="0.25">
      <c r="A64" s="29"/>
      <c r="B64" s="27"/>
      <c r="C64" s="23" t="e">
        <f t="shared" si="19"/>
        <v>#DIV/0!</v>
      </c>
      <c r="D64" s="46"/>
      <c r="E64" s="23" t="e">
        <f t="shared" si="22"/>
        <v>#DIV/0!</v>
      </c>
      <c r="F64" s="46"/>
      <c r="G64" s="23" t="e">
        <f t="shared" si="23"/>
        <v>#DIV/0!</v>
      </c>
      <c r="H64" s="46"/>
      <c r="I64" s="23" t="e">
        <f t="shared" si="24"/>
        <v>#DIV/0!</v>
      </c>
      <c r="J64" s="46"/>
      <c r="K64" s="23" t="e">
        <f t="shared" si="25"/>
        <v>#DIV/0!</v>
      </c>
      <c r="L64" s="46"/>
      <c r="M64" s="23" t="e">
        <f t="shared" si="26"/>
        <v>#DIV/0!</v>
      </c>
      <c r="N64" s="46"/>
      <c r="O64" s="23" t="e">
        <f t="shared" si="27"/>
        <v>#DIV/0!</v>
      </c>
      <c r="P64" s="46"/>
      <c r="Q64" s="23" t="e">
        <f t="shared" si="28"/>
        <v>#DIV/0!</v>
      </c>
      <c r="R64" s="46"/>
      <c r="S64" s="23" t="e">
        <f t="shared" si="29"/>
        <v>#DIV/0!</v>
      </c>
      <c r="T64" s="46"/>
      <c r="U64" s="23" t="e">
        <f t="shared" si="30"/>
        <v>#DIV/0!</v>
      </c>
      <c r="V64" s="46"/>
      <c r="W64" s="23" t="e">
        <f t="shared" si="31"/>
        <v>#DIV/0!</v>
      </c>
      <c r="X64" s="27"/>
      <c r="Y64" s="23" t="e">
        <f t="shared" si="32"/>
        <v>#DIV/0!</v>
      </c>
      <c r="Z64" s="27"/>
      <c r="AA64" s="23" t="e">
        <f t="shared" si="35"/>
        <v>#DIV/0!</v>
      </c>
      <c r="AB64" s="24" t="e">
        <f t="shared" si="33"/>
        <v>#DIV/0!</v>
      </c>
      <c r="AC64" s="23" t="e">
        <f t="shared" si="36"/>
        <v>#DIV/0!</v>
      </c>
      <c r="AD64" s="28" t="e">
        <f t="shared" si="34"/>
        <v>#DIV/0!</v>
      </c>
      <c r="AE64" s="26" t="e">
        <f t="shared" si="37"/>
        <v>#DIV/0!</v>
      </c>
    </row>
    <row r="65" spans="1:32" x14ac:dyDescent="0.25">
      <c r="A65" s="30"/>
      <c r="B65" s="27"/>
      <c r="C65" s="23" t="e">
        <f t="shared" si="19"/>
        <v>#DIV/0!</v>
      </c>
      <c r="D65" s="46"/>
      <c r="E65" s="23" t="e">
        <f t="shared" si="22"/>
        <v>#DIV/0!</v>
      </c>
      <c r="F65" s="46"/>
      <c r="G65" s="23" t="e">
        <f t="shared" si="23"/>
        <v>#DIV/0!</v>
      </c>
      <c r="H65" s="46"/>
      <c r="I65" s="23" t="e">
        <f t="shared" si="24"/>
        <v>#DIV/0!</v>
      </c>
      <c r="J65" s="46"/>
      <c r="K65" s="23" t="e">
        <f t="shared" si="25"/>
        <v>#DIV/0!</v>
      </c>
      <c r="L65" s="46"/>
      <c r="M65" s="23" t="e">
        <f t="shared" si="26"/>
        <v>#DIV/0!</v>
      </c>
      <c r="N65" s="46"/>
      <c r="O65" s="23" t="e">
        <f t="shared" si="27"/>
        <v>#DIV/0!</v>
      </c>
      <c r="P65" s="46"/>
      <c r="Q65" s="23" t="e">
        <f t="shared" si="28"/>
        <v>#DIV/0!</v>
      </c>
      <c r="R65" s="46"/>
      <c r="S65" s="23" t="e">
        <f t="shared" si="29"/>
        <v>#DIV/0!</v>
      </c>
      <c r="T65" s="46"/>
      <c r="U65" s="23" t="e">
        <f t="shared" si="30"/>
        <v>#DIV/0!</v>
      </c>
      <c r="V65" s="46"/>
      <c r="W65" s="23" t="e">
        <f t="shared" si="31"/>
        <v>#DIV/0!</v>
      </c>
      <c r="X65" s="27"/>
      <c r="Y65" s="23" t="e">
        <f t="shared" si="32"/>
        <v>#DIV/0!</v>
      </c>
      <c r="Z65" s="27"/>
      <c r="AA65" s="23" t="e">
        <f t="shared" si="35"/>
        <v>#DIV/0!</v>
      </c>
      <c r="AB65" s="24" t="e">
        <f t="shared" si="33"/>
        <v>#DIV/0!</v>
      </c>
      <c r="AC65" s="23" t="e">
        <f t="shared" si="36"/>
        <v>#DIV/0!</v>
      </c>
      <c r="AD65" s="28" t="e">
        <f t="shared" si="34"/>
        <v>#DIV/0!</v>
      </c>
      <c r="AE65" s="26" t="e">
        <f t="shared" si="37"/>
        <v>#DIV/0!</v>
      </c>
    </row>
    <row r="66" spans="1:32" x14ac:dyDescent="0.25">
      <c r="A66" s="29"/>
      <c r="B66" s="27"/>
      <c r="C66" s="23" t="e">
        <f t="shared" si="19"/>
        <v>#DIV/0!</v>
      </c>
      <c r="D66" s="46"/>
      <c r="E66" s="23" t="e">
        <f t="shared" si="22"/>
        <v>#DIV/0!</v>
      </c>
      <c r="F66" s="46"/>
      <c r="G66" s="23" t="e">
        <f t="shared" si="23"/>
        <v>#DIV/0!</v>
      </c>
      <c r="H66" s="46"/>
      <c r="I66" s="23" t="e">
        <f t="shared" si="24"/>
        <v>#DIV/0!</v>
      </c>
      <c r="J66" s="46"/>
      <c r="K66" s="23" t="e">
        <f t="shared" si="25"/>
        <v>#DIV/0!</v>
      </c>
      <c r="L66" s="46"/>
      <c r="M66" s="23" t="e">
        <f t="shared" si="26"/>
        <v>#DIV/0!</v>
      </c>
      <c r="N66" s="46"/>
      <c r="O66" s="23" t="e">
        <f t="shared" si="27"/>
        <v>#DIV/0!</v>
      </c>
      <c r="P66" s="46"/>
      <c r="Q66" s="23" t="e">
        <f t="shared" si="28"/>
        <v>#DIV/0!</v>
      </c>
      <c r="R66" s="46"/>
      <c r="S66" s="23" t="e">
        <f t="shared" si="29"/>
        <v>#DIV/0!</v>
      </c>
      <c r="T66" s="46"/>
      <c r="U66" s="23" t="e">
        <f t="shared" si="30"/>
        <v>#DIV/0!</v>
      </c>
      <c r="V66" s="46"/>
      <c r="W66" s="23" t="e">
        <f t="shared" si="31"/>
        <v>#DIV/0!</v>
      </c>
      <c r="X66" s="27"/>
      <c r="Y66" s="23" t="e">
        <f t="shared" si="32"/>
        <v>#DIV/0!</v>
      </c>
      <c r="Z66" s="27"/>
      <c r="AA66" s="23" t="e">
        <f t="shared" si="35"/>
        <v>#DIV/0!</v>
      </c>
      <c r="AB66" s="24" t="e">
        <f t="shared" si="33"/>
        <v>#DIV/0!</v>
      </c>
      <c r="AC66" s="23" t="e">
        <f t="shared" si="36"/>
        <v>#DIV/0!</v>
      </c>
      <c r="AD66" s="28" t="e">
        <f t="shared" si="34"/>
        <v>#DIV/0!</v>
      </c>
      <c r="AE66" s="26" t="e">
        <f t="shared" si="37"/>
        <v>#DIV/0!</v>
      </c>
    </row>
    <row r="67" spans="1:32" x14ac:dyDescent="0.25">
      <c r="A67" s="29"/>
      <c r="B67" s="27"/>
      <c r="C67" s="23" t="e">
        <f t="shared" si="19"/>
        <v>#DIV/0!</v>
      </c>
      <c r="D67" s="46"/>
      <c r="E67" s="23" t="e">
        <f t="shared" si="22"/>
        <v>#DIV/0!</v>
      </c>
      <c r="F67" s="46"/>
      <c r="G67" s="23" t="e">
        <f t="shared" si="23"/>
        <v>#DIV/0!</v>
      </c>
      <c r="H67" s="46"/>
      <c r="I67" s="23" t="e">
        <f t="shared" si="24"/>
        <v>#DIV/0!</v>
      </c>
      <c r="J67" s="46"/>
      <c r="K67" s="23" t="e">
        <f t="shared" si="25"/>
        <v>#DIV/0!</v>
      </c>
      <c r="L67" s="46"/>
      <c r="M67" s="23" t="e">
        <f t="shared" si="26"/>
        <v>#DIV/0!</v>
      </c>
      <c r="N67" s="46"/>
      <c r="O67" s="23" t="e">
        <f t="shared" si="27"/>
        <v>#DIV/0!</v>
      </c>
      <c r="P67" s="46"/>
      <c r="Q67" s="23" t="e">
        <f t="shared" si="28"/>
        <v>#DIV/0!</v>
      </c>
      <c r="R67" s="46"/>
      <c r="S67" s="23" t="e">
        <f t="shared" si="29"/>
        <v>#DIV/0!</v>
      </c>
      <c r="T67" s="46"/>
      <c r="U67" s="23" t="e">
        <f t="shared" si="30"/>
        <v>#DIV/0!</v>
      </c>
      <c r="V67" s="46"/>
      <c r="W67" s="23" t="e">
        <f t="shared" si="31"/>
        <v>#DIV/0!</v>
      </c>
      <c r="X67" s="27"/>
      <c r="Y67" s="23" t="e">
        <f t="shared" si="32"/>
        <v>#DIV/0!</v>
      </c>
      <c r="Z67" s="27"/>
      <c r="AA67" s="23" t="e">
        <f t="shared" si="35"/>
        <v>#DIV/0!</v>
      </c>
      <c r="AB67" s="24" t="e">
        <f t="shared" si="33"/>
        <v>#DIV/0!</v>
      </c>
      <c r="AC67" s="23" t="e">
        <f t="shared" si="36"/>
        <v>#DIV/0!</v>
      </c>
      <c r="AD67" s="28" t="e">
        <f t="shared" si="34"/>
        <v>#DIV/0!</v>
      </c>
      <c r="AE67" s="26" t="e">
        <f t="shared" si="37"/>
        <v>#DIV/0!</v>
      </c>
    </row>
    <row r="68" spans="1:32" ht="13.8" thickBot="1" x14ac:dyDescent="0.3">
      <c r="A68" s="29"/>
      <c r="B68" s="27"/>
      <c r="C68" s="23" t="e">
        <f t="shared" ref="C68:C82" si="38">B68/B$2</f>
        <v>#DIV/0!</v>
      </c>
      <c r="D68" s="46"/>
      <c r="E68" s="23" t="e">
        <f>D68/D$2</f>
        <v>#DIV/0!</v>
      </c>
      <c r="F68" s="46"/>
      <c r="G68" s="23" t="e">
        <f t="shared" si="23"/>
        <v>#DIV/0!</v>
      </c>
      <c r="H68" s="46"/>
      <c r="I68" s="23" t="e">
        <f t="shared" si="24"/>
        <v>#DIV/0!</v>
      </c>
      <c r="J68" s="46"/>
      <c r="K68" s="23" t="e">
        <f t="shared" si="25"/>
        <v>#DIV/0!</v>
      </c>
      <c r="L68" s="46"/>
      <c r="M68" s="23" t="e">
        <f t="shared" si="26"/>
        <v>#DIV/0!</v>
      </c>
      <c r="N68" s="46"/>
      <c r="O68" s="23" t="e">
        <f t="shared" si="27"/>
        <v>#DIV/0!</v>
      </c>
      <c r="P68" s="46"/>
      <c r="Q68" s="23" t="e">
        <f t="shared" si="28"/>
        <v>#DIV/0!</v>
      </c>
      <c r="R68" s="46"/>
      <c r="S68" s="23" t="e">
        <f t="shared" si="29"/>
        <v>#DIV/0!</v>
      </c>
      <c r="T68" s="46"/>
      <c r="U68" s="23" t="e">
        <f t="shared" si="30"/>
        <v>#DIV/0!</v>
      </c>
      <c r="V68" s="46"/>
      <c r="W68" s="23" t="e">
        <f t="shared" si="31"/>
        <v>#DIV/0!</v>
      </c>
      <c r="X68" s="27"/>
      <c r="Y68" s="23" t="e">
        <f t="shared" si="32"/>
        <v>#DIV/0!</v>
      </c>
      <c r="Z68" s="27"/>
      <c r="AA68" s="23" t="e">
        <f t="shared" si="21"/>
        <v>#DIV/0!</v>
      </c>
      <c r="AB68" s="24" t="e">
        <f t="shared" si="33"/>
        <v>#DIV/0!</v>
      </c>
      <c r="AC68" s="23" t="e">
        <f t="shared" si="15"/>
        <v>#DIV/0!</v>
      </c>
      <c r="AD68" s="28" t="e">
        <f t="shared" si="34"/>
        <v>#DIV/0!</v>
      </c>
      <c r="AE68" s="26" t="e">
        <f t="shared" si="16"/>
        <v>#DIV/0!</v>
      </c>
    </row>
    <row r="69" spans="1:32" ht="13.8" thickBot="1" x14ac:dyDescent="0.3">
      <c r="A69" s="14" t="s">
        <v>85</v>
      </c>
      <c r="B69" s="17">
        <f>SUM(B70:B80)</f>
        <v>0</v>
      </c>
      <c r="C69" s="15" t="e">
        <f t="shared" si="38"/>
        <v>#DIV/0!</v>
      </c>
      <c r="D69" s="17"/>
      <c r="E69" s="15" t="e">
        <f t="shared" ref="E69:E80" si="39">D69/D$2</f>
        <v>#DIV/0!</v>
      </c>
      <c r="F69" s="17">
        <f>SUM(F70:F80)</f>
        <v>0</v>
      </c>
      <c r="G69" s="15" t="e">
        <f t="shared" si="23"/>
        <v>#DIV/0!</v>
      </c>
      <c r="H69" s="17">
        <f>SUM(H70:H80)</f>
        <v>0</v>
      </c>
      <c r="I69" s="15" t="e">
        <f t="shared" si="24"/>
        <v>#DIV/0!</v>
      </c>
      <c r="J69" s="17">
        <f>SUM(J70:J80)</f>
        <v>0</v>
      </c>
      <c r="K69" s="15" t="e">
        <f t="shared" si="25"/>
        <v>#DIV/0!</v>
      </c>
      <c r="L69" s="17">
        <f>SUM(L70:L80)</f>
        <v>0</v>
      </c>
      <c r="M69" s="15" t="e">
        <f t="shared" si="26"/>
        <v>#DIV/0!</v>
      </c>
      <c r="N69" s="17">
        <f>SUM(N70:N80)</f>
        <v>0</v>
      </c>
      <c r="O69" s="15" t="e">
        <f t="shared" si="27"/>
        <v>#DIV/0!</v>
      </c>
      <c r="P69" s="17">
        <f>SUM(P70:P80)</f>
        <v>0</v>
      </c>
      <c r="Q69" s="15" t="e">
        <f t="shared" si="28"/>
        <v>#DIV/0!</v>
      </c>
      <c r="R69" s="17">
        <f>SUM(R70:R80)</f>
        <v>0</v>
      </c>
      <c r="S69" s="15" t="e">
        <f t="shared" si="29"/>
        <v>#DIV/0!</v>
      </c>
      <c r="T69" s="17">
        <f>SUM(T70:T80)</f>
        <v>0</v>
      </c>
      <c r="U69" s="15" t="e">
        <f t="shared" si="30"/>
        <v>#DIV/0!</v>
      </c>
      <c r="V69" s="17">
        <f>SUM(V70:V80)</f>
        <v>0</v>
      </c>
      <c r="W69" s="15" t="e">
        <f t="shared" si="31"/>
        <v>#DIV/0!</v>
      </c>
      <c r="X69" s="31">
        <f>SUM(X70:X80)</f>
        <v>0</v>
      </c>
      <c r="Y69" s="15" t="e">
        <f t="shared" si="32"/>
        <v>#DIV/0!</v>
      </c>
      <c r="Z69" s="31">
        <f>SUM(Z70:Z80)</f>
        <v>0</v>
      </c>
      <c r="AA69" s="15" t="e">
        <f t="shared" si="21"/>
        <v>#DIV/0!</v>
      </c>
      <c r="AB69" s="31" t="e">
        <f>SUM(AB70:AB80)</f>
        <v>#DIV/0!</v>
      </c>
      <c r="AC69" s="15" t="e">
        <f t="shared" si="15"/>
        <v>#DIV/0!</v>
      </c>
      <c r="AD69" s="17" t="e">
        <f>SUM(AD70:AD80)</f>
        <v>#DIV/0!</v>
      </c>
      <c r="AE69" s="21" t="e">
        <f t="shared" si="16"/>
        <v>#DIV/0!</v>
      </c>
    </row>
    <row r="70" spans="1:32" x14ac:dyDescent="0.25">
      <c r="A70" s="47" t="s">
        <v>100</v>
      </c>
      <c r="B70" s="52"/>
      <c r="C70" s="23" t="e">
        <f t="shared" si="38"/>
        <v>#DIV/0!</v>
      </c>
      <c r="D70" s="52"/>
      <c r="E70" s="23" t="e">
        <f t="shared" si="39"/>
        <v>#DIV/0!</v>
      </c>
      <c r="F70" s="52"/>
      <c r="G70" s="23" t="e">
        <f t="shared" ref="G70:G75" si="40">F70/F$2</f>
        <v>#DIV/0!</v>
      </c>
      <c r="H70" s="52"/>
      <c r="I70" s="23" t="e">
        <f t="shared" ref="I70:I75" si="41">H70/H$2</f>
        <v>#DIV/0!</v>
      </c>
      <c r="J70" s="52"/>
      <c r="K70" s="23" t="e">
        <f t="shared" ref="K70:K75" si="42">J70/J$2</f>
        <v>#DIV/0!</v>
      </c>
      <c r="L70" s="52"/>
      <c r="M70" s="23" t="e">
        <f t="shared" ref="M70:M75" si="43">L70/L$2</f>
        <v>#DIV/0!</v>
      </c>
      <c r="N70" s="52"/>
      <c r="O70" s="23" t="e">
        <f t="shared" ref="O70:O75" si="44">N70/N$2</f>
        <v>#DIV/0!</v>
      </c>
      <c r="P70" s="52"/>
      <c r="Q70" s="23" t="e">
        <f t="shared" ref="Q70:Q75" si="45">P70/P$2</f>
        <v>#DIV/0!</v>
      </c>
      <c r="R70" s="52"/>
      <c r="S70" s="23" t="e">
        <f t="shared" ref="S70:S75" si="46">R70/R$2</f>
        <v>#DIV/0!</v>
      </c>
      <c r="T70" s="52"/>
      <c r="U70" s="23" t="e">
        <f t="shared" ref="U70:U75" si="47">T70/T$2</f>
        <v>#DIV/0!</v>
      </c>
      <c r="V70" s="52"/>
      <c r="W70" s="23" t="e">
        <f t="shared" ref="W70:W75" si="48">V70/V$2</f>
        <v>#DIV/0!</v>
      </c>
      <c r="X70" s="27"/>
      <c r="Y70" s="23" t="e">
        <f t="shared" ref="Y70:Y75" si="49">X70/X$2</f>
        <v>#DIV/0!</v>
      </c>
      <c r="Z70" s="27"/>
      <c r="AA70" s="23" t="e">
        <f t="shared" si="21"/>
        <v>#DIV/0!</v>
      </c>
      <c r="AB70" s="24" t="e">
        <f>(D70+F70+H70+J70+L70+N70+P70+R70+T70+V70+X70+Z70)/AF$2</f>
        <v>#DIV/0!</v>
      </c>
      <c r="AC70" s="23" t="e">
        <f t="shared" si="15"/>
        <v>#DIV/0!</v>
      </c>
      <c r="AD70" s="28" t="e">
        <f>AB70*12</f>
        <v>#DIV/0!</v>
      </c>
      <c r="AE70" s="26" t="e">
        <f t="shared" si="16"/>
        <v>#DIV/0!</v>
      </c>
      <c r="AF70" s="34"/>
    </row>
    <row r="71" spans="1:32" x14ac:dyDescent="0.25">
      <c r="A71" s="47" t="s">
        <v>81</v>
      </c>
      <c r="B71" s="52"/>
      <c r="C71" s="23" t="e">
        <f t="shared" si="38"/>
        <v>#DIV/0!</v>
      </c>
      <c r="D71" s="52"/>
      <c r="E71" s="23" t="e">
        <f t="shared" si="39"/>
        <v>#DIV/0!</v>
      </c>
      <c r="F71" s="52"/>
      <c r="G71" s="23" t="e">
        <f t="shared" si="40"/>
        <v>#DIV/0!</v>
      </c>
      <c r="H71" s="52"/>
      <c r="I71" s="23" t="e">
        <f t="shared" si="41"/>
        <v>#DIV/0!</v>
      </c>
      <c r="J71" s="52"/>
      <c r="K71" s="23" t="e">
        <f t="shared" si="42"/>
        <v>#DIV/0!</v>
      </c>
      <c r="L71" s="52"/>
      <c r="M71" s="23" t="e">
        <f t="shared" si="43"/>
        <v>#DIV/0!</v>
      </c>
      <c r="N71" s="52"/>
      <c r="O71" s="23" t="e">
        <f t="shared" si="44"/>
        <v>#DIV/0!</v>
      </c>
      <c r="P71" s="52"/>
      <c r="Q71" s="23" t="e">
        <f t="shared" si="45"/>
        <v>#DIV/0!</v>
      </c>
      <c r="R71" s="52"/>
      <c r="S71" s="23" t="e">
        <f t="shared" si="46"/>
        <v>#DIV/0!</v>
      </c>
      <c r="T71" s="52"/>
      <c r="U71" s="23" t="e">
        <f t="shared" si="47"/>
        <v>#DIV/0!</v>
      </c>
      <c r="V71" s="52"/>
      <c r="W71" s="23" t="e">
        <f t="shared" si="48"/>
        <v>#DIV/0!</v>
      </c>
      <c r="X71" s="27"/>
      <c r="Y71" s="23" t="e">
        <f t="shared" si="49"/>
        <v>#DIV/0!</v>
      </c>
      <c r="Z71" s="27"/>
      <c r="AA71" s="23" t="e">
        <f t="shared" si="21"/>
        <v>#DIV/0!</v>
      </c>
      <c r="AB71" s="24" t="e">
        <f>(D71+F71+H71+J71+L71+N71+P71+R71+T71+V71+X71+Z71)/AF$2</f>
        <v>#DIV/0!</v>
      </c>
      <c r="AC71" s="23" t="e">
        <f t="shared" si="15"/>
        <v>#DIV/0!</v>
      </c>
      <c r="AD71" s="28" t="e">
        <f>AB71*12</f>
        <v>#DIV/0!</v>
      </c>
      <c r="AE71" s="26" t="e">
        <f t="shared" si="16"/>
        <v>#DIV/0!</v>
      </c>
      <c r="AF71" s="34"/>
    </row>
    <row r="72" spans="1:32" x14ac:dyDescent="0.25">
      <c r="A72" s="47" t="s">
        <v>80</v>
      </c>
      <c r="B72" s="52"/>
      <c r="C72" s="23" t="e">
        <f t="shared" si="38"/>
        <v>#DIV/0!</v>
      </c>
      <c r="D72" s="27"/>
      <c r="E72" s="23" t="e">
        <f t="shared" si="39"/>
        <v>#DIV/0!</v>
      </c>
      <c r="F72" s="27"/>
      <c r="G72" s="23" t="e">
        <f t="shared" si="40"/>
        <v>#DIV/0!</v>
      </c>
      <c r="H72" s="27"/>
      <c r="I72" s="23" t="e">
        <f t="shared" si="41"/>
        <v>#DIV/0!</v>
      </c>
      <c r="J72" s="27"/>
      <c r="K72" s="23" t="e">
        <f t="shared" si="42"/>
        <v>#DIV/0!</v>
      </c>
      <c r="L72" s="27"/>
      <c r="M72" s="23" t="e">
        <f t="shared" si="43"/>
        <v>#DIV/0!</v>
      </c>
      <c r="N72" s="27"/>
      <c r="O72" s="23" t="e">
        <f t="shared" si="44"/>
        <v>#DIV/0!</v>
      </c>
      <c r="P72" s="27"/>
      <c r="Q72" s="23" t="e">
        <f t="shared" si="45"/>
        <v>#DIV/0!</v>
      </c>
      <c r="R72" s="27"/>
      <c r="S72" s="23" t="e">
        <f t="shared" si="46"/>
        <v>#DIV/0!</v>
      </c>
      <c r="T72" s="27"/>
      <c r="U72" s="23" t="e">
        <f t="shared" si="47"/>
        <v>#DIV/0!</v>
      </c>
      <c r="V72" s="27"/>
      <c r="W72" s="23" t="e">
        <f t="shared" si="48"/>
        <v>#DIV/0!</v>
      </c>
      <c r="X72" s="27"/>
      <c r="Y72" s="23" t="e">
        <f t="shared" si="49"/>
        <v>#DIV/0!</v>
      </c>
      <c r="Z72" s="27"/>
      <c r="AA72" s="23" t="e">
        <f t="shared" si="21"/>
        <v>#DIV/0!</v>
      </c>
      <c r="AB72" s="24" t="e">
        <f>(D72+F72+H72+J72+L72+N72+P72+R72+T72+V72+X72+Z72)/AF$2</f>
        <v>#DIV/0!</v>
      </c>
      <c r="AC72" s="23" t="e">
        <f t="shared" si="15"/>
        <v>#DIV/0!</v>
      </c>
      <c r="AD72" s="28" t="e">
        <f>AB72*12</f>
        <v>#DIV/0!</v>
      </c>
      <c r="AE72" s="26" t="e">
        <f t="shared" si="16"/>
        <v>#DIV/0!</v>
      </c>
      <c r="AF72" s="34"/>
    </row>
    <row r="73" spans="1:32" x14ac:dyDescent="0.25">
      <c r="A73" s="51" t="s">
        <v>84</v>
      </c>
      <c r="B73" s="52"/>
      <c r="C73" s="23" t="e">
        <f t="shared" si="38"/>
        <v>#DIV/0!</v>
      </c>
      <c r="D73" s="27"/>
      <c r="E73" s="23" t="e">
        <f t="shared" si="39"/>
        <v>#DIV/0!</v>
      </c>
      <c r="F73" s="27"/>
      <c r="G73" s="23" t="e">
        <f t="shared" si="40"/>
        <v>#DIV/0!</v>
      </c>
      <c r="H73" s="27"/>
      <c r="I73" s="23" t="e">
        <f t="shared" si="41"/>
        <v>#DIV/0!</v>
      </c>
      <c r="J73" s="27"/>
      <c r="K73" s="23" t="e">
        <f t="shared" si="42"/>
        <v>#DIV/0!</v>
      </c>
      <c r="L73" s="27"/>
      <c r="M73" s="23" t="e">
        <f t="shared" si="43"/>
        <v>#DIV/0!</v>
      </c>
      <c r="N73" s="27"/>
      <c r="O73" s="23" t="e">
        <f t="shared" si="44"/>
        <v>#DIV/0!</v>
      </c>
      <c r="P73" s="27"/>
      <c r="Q73" s="23" t="e">
        <f t="shared" si="45"/>
        <v>#DIV/0!</v>
      </c>
      <c r="R73" s="27"/>
      <c r="S73" s="23" t="e">
        <f t="shared" si="46"/>
        <v>#DIV/0!</v>
      </c>
      <c r="T73" s="27"/>
      <c r="U73" s="23" t="e">
        <f t="shared" si="47"/>
        <v>#DIV/0!</v>
      </c>
      <c r="V73" s="27"/>
      <c r="W73" s="23" t="e">
        <f t="shared" si="48"/>
        <v>#DIV/0!</v>
      </c>
      <c r="X73" s="27"/>
      <c r="Y73" s="23" t="e">
        <f t="shared" si="49"/>
        <v>#DIV/0!</v>
      </c>
      <c r="Z73" s="27"/>
      <c r="AA73" s="23" t="e">
        <f t="shared" si="21"/>
        <v>#DIV/0!</v>
      </c>
      <c r="AB73" s="24" t="e">
        <f>(D73+F73+H73+J73+L73+N73+P73+R73+T73+V73+X73+Z73)/AF$2</f>
        <v>#DIV/0!</v>
      </c>
      <c r="AC73" s="23" t="e">
        <f t="shared" si="15"/>
        <v>#DIV/0!</v>
      </c>
      <c r="AD73" s="28" t="e">
        <f>AB73*12</f>
        <v>#DIV/0!</v>
      </c>
      <c r="AE73" s="26" t="e">
        <f t="shared" si="16"/>
        <v>#DIV/0!</v>
      </c>
      <c r="AF73" s="34"/>
    </row>
    <row r="74" spans="1:32" x14ac:dyDescent="0.25">
      <c r="A74" s="29"/>
      <c r="B74" s="52"/>
      <c r="C74" s="23" t="e">
        <f t="shared" si="38"/>
        <v>#DIV/0!</v>
      </c>
      <c r="D74" s="27"/>
      <c r="E74" s="23" t="e">
        <f t="shared" si="39"/>
        <v>#DIV/0!</v>
      </c>
      <c r="F74" s="27"/>
      <c r="G74" s="23" t="e">
        <f t="shared" si="40"/>
        <v>#DIV/0!</v>
      </c>
      <c r="H74" s="27"/>
      <c r="I74" s="23" t="e">
        <f t="shared" si="41"/>
        <v>#DIV/0!</v>
      </c>
      <c r="J74" s="27"/>
      <c r="K74" s="23" t="e">
        <f t="shared" si="42"/>
        <v>#DIV/0!</v>
      </c>
      <c r="L74" s="27"/>
      <c r="M74" s="23" t="e">
        <f t="shared" si="43"/>
        <v>#DIV/0!</v>
      </c>
      <c r="N74" s="27"/>
      <c r="O74" s="23" t="e">
        <f t="shared" si="44"/>
        <v>#DIV/0!</v>
      </c>
      <c r="P74" s="27"/>
      <c r="Q74" s="23" t="e">
        <f t="shared" si="45"/>
        <v>#DIV/0!</v>
      </c>
      <c r="R74" s="27"/>
      <c r="S74" s="23" t="e">
        <f t="shared" si="46"/>
        <v>#DIV/0!</v>
      </c>
      <c r="T74" s="27"/>
      <c r="U74" s="23" t="e">
        <f t="shared" si="47"/>
        <v>#DIV/0!</v>
      </c>
      <c r="V74" s="27"/>
      <c r="W74" s="23" t="e">
        <f t="shared" si="48"/>
        <v>#DIV/0!</v>
      </c>
      <c r="X74" s="27"/>
      <c r="Y74" s="23" t="e">
        <f t="shared" si="49"/>
        <v>#DIV/0!</v>
      </c>
      <c r="Z74" s="27"/>
      <c r="AA74" s="23" t="e">
        <f t="shared" si="21"/>
        <v>#DIV/0!</v>
      </c>
      <c r="AB74" s="24" t="e">
        <f>(D74+F74+H74+J74+L74+N74+P74+R74+T74+V74+X74+Z74)/AF$2</f>
        <v>#DIV/0!</v>
      </c>
      <c r="AC74" s="23" t="e">
        <f t="shared" si="15"/>
        <v>#DIV/0!</v>
      </c>
      <c r="AD74" s="28" t="e">
        <f>AB74*12</f>
        <v>#DIV/0!</v>
      </c>
      <c r="AE74" s="26" t="e">
        <f t="shared" si="16"/>
        <v>#DIV/0!</v>
      </c>
      <c r="AF74" s="34"/>
    </row>
    <row r="75" spans="1:32" x14ac:dyDescent="0.25">
      <c r="A75" s="29"/>
      <c r="B75" s="52"/>
      <c r="C75" s="23" t="e">
        <f t="shared" si="38"/>
        <v>#DIV/0!</v>
      </c>
      <c r="D75" s="27"/>
      <c r="E75" s="23" t="e">
        <f t="shared" si="39"/>
        <v>#DIV/0!</v>
      </c>
      <c r="F75" s="27"/>
      <c r="G75" s="23" t="e">
        <f t="shared" si="40"/>
        <v>#DIV/0!</v>
      </c>
      <c r="H75" s="27"/>
      <c r="I75" s="23" t="e">
        <f t="shared" si="41"/>
        <v>#DIV/0!</v>
      </c>
      <c r="J75" s="27"/>
      <c r="K75" s="23" t="e">
        <f t="shared" si="42"/>
        <v>#DIV/0!</v>
      </c>
      <c r="L75" s="27"/>
      <c r="M75" s="23" t="e">
        <f t="shared" si="43"/>
        <v>#DIV/0!</v>
      </c>
      <c r="N75" s="27"/>
      <c r="O75" s="23" t="e">
        <f t="shared" si="44"/>
        <v>#DIV/0!</v>
      </c>
      <c r="P75" s="27"/>
      <c r="Q75" s="23" t="e">
        <f t="shared" si="45"/>
        <v>#DIV/0!</v>
      </c>
      <c r="R75" s="27"/>
      <c r="S75" s="23" t="e">
        <f t="shared" si="46"/>
        <v>#DIV/0!</v>
      </c>
      <c r="T75" s="27"/>
      <c r="U75" s="23" t="e">
        <f t="shared" si="47"/>
        <v>#DIV/0!</v>
      </c>
      <c r="V75" s="27"/>
      <c r="W75" s="23" t="e">
        <f t="shared" si="48"/>
        <v>#DIV/0!</v>
      </c>
      <c r="X75" s="27"/>
      <c r="Y75" s="23" t="e">
        <f t="shared" si="49"/>
        <v>#DIV/0!</v>
      </c>
      <c r="Z75" s="27"/>
      <c r="AA75" s="23" t="e">
        <f t="shared" si="21"/>
        <v>#DIV/0!</v>
      </c>
      <c r="AB75" s="24" t="e">
        <f t="shared" ref="AB75:AB80" si="50">(D75+F75+H75+J75+L75+N75+P75+R75+T75+V75+X75+Z75)/AF$2</f>
        <v>#DIV/0!</v>
      </c>
      <c r="AC75" s="23" t="e">
        <f t="shared" si="15"/>
        <v>#DIV/0!</v>
      </c>
      <c r="AD75" s="28" t="e">
        <f t="shared" ref="AD75:AD80" si="51">AB75*12</f>
        <v>#DIV/0!</v>
      </c>
      <c r="AE75" s="26" t="e">
        <f t="shared" si="16"/>
        <v>#DIV/0!</v>
      </c>
      <c r="AF75" s="34"/>
    </row>
    <row r="76" spans="1:32" x14ac:dyDescent="0.25">
      <c r="A76" s="29"/>
      <c r="B76" s="27"/>
      <c r="C76" s="23" t="e">
        <f t="shared" si="38"/>
        <v>#DIV/0!</v>
      </c>
      <c r="D76" s="27"/>
      <c r="E76" s="23" t="e">
        <f t="shared" si="39"/>
        <v>#DIV/0!</v>
      </c>
      <c r="F76" s="27"/>
      <c r="G76" s="23" t="e">
        <f>F76/F$2</f>
        <v>#DIV/0!</v>
      </c>
      <c r="H76" s="27"/>
      <c r="I76" s="23" t="e">
        <f>H76/H$2</f>
        <v>#DIV/0!</v>
      </c>
      <c r="J76" s="27"/>
      <c r="K76" s="23" t="e">
        <f>J76/J$2</f>
        <v>#DIV/0!</v>
      </c>
      <c r="L76" s="27"/>
      <c r="M76" s="23" t="e">
        <f>L76/L$2</f>
        <v>#DIV/0!</v>
      </c>
      <c r="N76" s="27"/>
      <c r="O76" s="23" t="e">
        <f>N76/N$2</f>
        <v>#DIV/0!</v>
      </c>
      <c r="P76" s="27"/>
      <c r="Q76" s="23" t="e">
        <f>P76/P$2</f>
        <v>#DIV/0!</v>
      </c>
      <c r="R76" s="27"/>
      <c r="S76" s="23" t="e">
        <f>R76/R$2</f>
        <v>#DIV/0!</v>
      </c>
      <c r="T76" s="27"/>
      <c r="U76" s="23" t="e">
        <f>T76/T$2</f>
        <v>#DIV/0!</v>
      </c>
      <c r="V76" s="27"/>
      <c r="W76" s="23" t="e">
        <f>V76/V$2</f>
        <v>#DIV/0!</v>
      </c>
      <c r="X76" s="27"/>
      <c r="Y76" s="23" t="e">
        <f>X76/X$2</f>
        <v>#DIV/0!</v>
      </c>
      <c r="Z76" s="27"/>
      <c r="AA76" s="23" t="e">
        <f t="shared" si="21"/>
        <v>#DIV/0!</v>
      </c>
      <c r="AB76" s="24" t="e">
        <f t="shared" si="50"/>
        <v>#DIV/0!</v>
      </c>
      <c r="AC76" s="23" t="e">
        <f>AB76/AB$2</f>
        <v>#DIV/0!</v>
      </c>
      <c r="AD76" s="28" t="e">
        <f t="shared" si="51"/>
        <v>#DIV/0!</v>
      </c>
      <c r="AE76" s="26" t="e">
        <f>AD76*100/AD$2</f>
        <v>#DIV/0!</v>
      </c>
      <c r="AF76" s="34"/>
    </row>
    <row r="77" spans="1:32" x14ac:dyDescent="0.25">
      <c r="A77" s="29"/>
      <c r="B77" s="27"/>
      <c r="C77" s="23" t="e">
        <f t="shared" si="38"/>
        <v>#DIV/0!</v>
      </c>
      <c r="D77" s="27"/>
      <c r="E77" s="23" t="e">
        <f t="shared" si="39"/>
        <v>#DIV/0!</v>
      </c>
      <c r="F77" s="27"/>
      <c r="G77" s="23" t="e">
        <f>F77/F$2</f>
        <v>#DIV/0!</v>
      </c>
      <c r="H77" s="27"/>
      <c r="I77" s="23" t="e">
        <f>H77/H$2</f>
        <v>#DIV/0!</v>
      </c>
      <c r="J77" s="27"/>
      <c r="K77" s="23" t="e">
        <f>J77/J$2</f>
        <v>#DIV/0!</v>
      </c>
      <c r="L77" s="27"/>
      <c r="M77" s="23" t="e">
        <f>L77/L$2</f>
        <v>#DIV/0!</v>
      </c>
      <c r="N77" s="27"/>
      <c r="O77" s="23" t="e">
        <f>N77/N$2</f>
        <v>#DIV/0!</v>
      </c>
      <c r="P77" s="27"/>
      <c r="Q77" s="23" t="e">
        <f>P77/P$2</f>
        <v>#DIV/0!</v>
      </c>
      <c r="R77" s="27"/>
      <c r="S77" s="23" t="e">
        <f>R77/R$2</f>
        <v>#DIV/0!</v>
      </c>
      <c r="T77" s="27"/>
      <c r="U77" s="23" t="e">
        <f>T77/T$2</f>
        <v>#DIV/0!</v>
      </c>
      <c r="V77" s="27"/>
      <c r="W77" s="23" t="e">
        <f>V77/V$2</f>
        <v>#DIV/0!</v>
      </c>
      <c r="X77" s="27"/>
      <c r="Y77" s="23" t="e">
        <f>X77/X$2</f>
        <v>#DIV/0!</v>
      </c>
      <c r="Z77" s="27"/>
      <c r="AA77" s="23" t="e">
        <f t="shared" si="21"/>
        <v>#DIV/0!</v>
      </c>
      <c r="AB77" s="24" t="e">
        <f t="shared" si="50"/>
        <v>#DIV/0!</v>
      </c>
      <c r="AC77" s="23" t="e">
        <f>AB77/AB$2</f>
        <v>#DIV/0!</v>
      </c>
      <c r="AD77" s="28" t="e">
        <f t="shared" si="51"/>
        <v>#DIV/0!</v>
      </c>
      <c r="AE77" s="26" t="e">
        <f>AD77*100/AD$2</f>
        <v>#DIV/0!</v>
      </c>
      <c r="AF77" s="34"/>
    </row>
    <row r="78" spans="1:32" x14ac:dyDescent="0.25">
      <c r="A78" s="30"/>
      <c r="B78" s="27"/>
      <c r="C78" s="23" t="e">
        <f t="shared" si="38"/>
        <v>#DIV/0!</v>
      </c>
      <c r="D78" s="27"/>
      <c r="E78" s="23" t="e">
        <f t="shared" si="39"/>
        <v>#DIV/0!</v>
      </c>
      <c r="F78" s="27"/>
      <c r="G78" s="23" t="e">
        <f>F78/F$2</f>
        <v>#DIV/0!</v>
      </c>
      <c r="H78" s="27"/>
      <c r="I78" s="23" t="e">
        <f>H78/H$2</f>
        <v>#DIV/0!</v>
      </c>
      <c r="J78" s="27"/>
      <c r="K78" s="23" t="e">
        <f>J78/J$2</f>
        <v>#DIV/0!</v>
      </c>
      <c r="L78" s="27"/>
      <c r="M78" s="23" t="e">
        <f>L78/L$2</f>
        <v>#DIV/0!</v>
      </c>
      <c r="N78" s="27"/>
      <c r="O78" s="23" t="e">
        <f>N78/N$2</f>
        <v>#DIV/0!</v>
      </c>
      <c r="P78" s="27"/>
      <c r="Q78" s="23" t="e">
        <f>P78/P$2</f>
        <v>#DIV/0!</v>
      </c>
      <c r="R78" s="27"/>
      <c r="S78" s="23" t="e">
        <f>R78/R$2</f>
        <v>#DIV/0!</v>
      </c>
      <c r="T78" s="27"/>
      <c r="U78" s="23" t="e">
        <f>T78/T$2</f>
        <v>#DIV/0!</v>
      </c>
      <c r="V78" s="27"/>
      <c r="W78" s="23" t="e">
        <f>V78/V$2</f>
        <v>#DIV/0!</v>
      </c>
      <c r="X78" s="27"/>
      <c r="Y78" s="23" t="e">
        <f>X78/X$2</f>
        <v>#DIV/0!</v>
      </c>
      <c r="Z78" s="27"/>
      <c r="AA78" s="23" t="e">
        <f t="shared" si="21"/>
        <v>#DIV/0!</v>
      </c>
      <c r="AB78" s="24" t="e">
        <f t="shared" si="50"/>
        <v>#DIV/0!</v>
      </c>
      <c r="AC78" s="23" t="e">
        <f>AB78/AB$2</f>
        <v>#DIV/0!</v>
      </c>
      <c r="AD78" s="28" t="e">
        <f t="shared" si="51"/>
        <v>#DIV/0!</v>
      </c>
      <c r="AE78" s="26" t="e">
        <f>AD78*100/AD$2</f>
        <v>#DIV/0!</v>
      </c>
      <c r="AF78" s="34"/>
    </row>
    <row r="79" spans="1:32" x14ac:dyDescent="0.25">
      <c r="A79" s="30"/>
      <c r="B79" s="27"/>
      <c r="C79" s="23" t="e">
        <f t="shared" si="38"/>
        <v>#DIV/0!</v>
      </c>
      <c r="D79" s="27"/>
      <c r="E79" s="23" t="e">
        <f t="shared" si="39"/>
        <v>#DIV/0!</v>
      </c>
      <c r="F79" s="27"/>
      <c r="G79" s="23" t="e">
        <f>F79/F$2</f>
        <v>#DIV/0!</v>
      </c>
      <c r="H79" s="27"/>
      <c r="I79" s="23" t="e">
        <f>H79/H$2</f>
        <v>#DIV/0!</v>
      </c>
      <c r="J79" s="27"/>
      <c r="K79" s="23" t="e">
        <f>J79/J$2</f>
        <v>#DIV/0!</v>
      </c>
      <c r="L79" s="27"/>
      <c r="M79" s="23" t="e">
        <f>L79/L$2</f>
        <v>#DIV/0!</v>
      </c>
      <c r="N79" s="27"/>
      <c r="O79" s="23" t="e">
        <f>N79/N$2</f>
        <v>#DIV/0!</v>
      </c>
      <c r="P79" s="27"/>
      <c r="Q79" s="23" t="e">
        <f>P79/P$2</f>
        <v>#DIV/0!</v>
      </c>
      <c r="R79" s="27"/>
      <c r="S79" s="23" t="e">
        <f>R79/R$2</f>
        <v>#DIV/0!</v>
      </c>
      <c r="T79" s="27"/>
      <c r="U79" s="23" t="e">
        <f>T79/T$2</f>
        <v>#DIV/0!</v>
      </c>
      <c r="V79" s="27"/>
      <c r="W79" s="23" t="e">
        <f>V79/V$2</f>
        <v>#DIV/0!</v>
      </c>
      <c r="X79" s="27"/>
      <c r="Y79" s="23" t="e">
        <f>X79/X$2</f>
        <v>#DIV/0!</v>
      </c>
      <c r="Z79" s="27"/>
      <c r="AA79" s="23" t="e">
        <f t="shared" si="21"/>
        <v>#DIV/0!</v>
      </c>
      <c r="AB79" s="24" t="e">
        <f t="shared" si="50"/>
        <v>#DIV/0!</v>
      </c>
      <c r="AC79" s="23" t="e">
        <f>AB79/AB$2</f>
        <v>#DIV/0!</v>
      </c>
      <c r="AD79" s="28" t="e">
        <f t="shared" si="51"/>
        <v>#DIV/0!</v>
      </c>
      <c r="AE79" s="26" t="e">
        <f>AD79*100/AD$2</f>
        <v>#DIV/0!</v>
      </c>
      <c r="AF79" s="34"/>
    </row>
    <row r="80" spans="1:32" ht="13.8" thickBot="1" x14ac:dyDescent="0.3">
      <c r="A80" s="30"/>
      <c r="B80" s="27"/>
      <c r="C80" s="23" t="e">
        <f t="shared" si="38"/>
        <v>#DIV/0!</v>
      </c>
      <c r="D80" s="27"/>
      <c r="E80" s="23" t="e">
        <f t="shared" si="39"/>
        <v>#DIV/0!</v>
      </c>
      <c r="F80" s="27"/>
      <c r="G80" s="23" t="e">
        <f>F80/F$2</f>
        <v>#DIV/0!</v>
      </c>
      <c r="H80" s="27"/>
      <c r="I80" s="23" t="e">
        <f>H80/H$2</f>
        <v>#DIV/0!</v>
      </c>
      <c r="J80" s="27"/>
      <c r="K80" s="23" t="e">
        <f>J80/J$2</f>
        <v>#DIV/0!</v>
      </c>
      <c r="L80" s="27"/>
      <c r="M80" s="23" t="e">
        <f>L80/L$2</f>
        <v>#DIV/0!</v>
      </c>
      <c r="N80" s="27"/>
      <c r="O80" s="23" t="e">
        <f>N80/N$2</f>
        <v>#DIV/0!</v>
      </c>
      <c r="P80" s="27"/>
      <c r="Q80" s="23" t="e">
        <f>P80/P$2</f>
        <v>#DIV/0!</v>
      </c>
      <c r="R80" s="27"/>
      <c r="S80" s="23" t="e">
        <f>R80/R$2</f>
        <v>#DIV/0!</v>
      </c>
      <c r="T80" s="27"/>
      <c r="U80" s="23" t="e">
        <f>T80/T$2</f>
        <v>#DIV/0!</v>
      </c>
      <c r="V80" s="27"/>
      <c r="W80" s="23" t="e">
        <f>V80/V$2</f>
        <v>#DIV/0!</v>
      </c>
      <c r="X80" s="27"/>
      <c r="Y80" s="23" t="e">
        <f>X80/X$2</f>
        <v>#DIV/0!</v>
      </c>
      <c r="Z80" s="27"/>
      <c r="AA80" s="23" t="e">
        <f t="shared" si="21"/>
        <v>#DIV/0!</v>
      </c>
      <c r="AB80" s="24" t="e">
        <f t="shared" si="50"/>
        <v>#DIV/0!</v>
      </c>
      <c r="AC80" s="23" t="e">
        <f>AB80/AB$2</f>
        <v>#DIV/0!</v>
      </c>
      <c r="AD80" s="28" t="e">
        <f t="shared" si="51"/>
        <v>#DIV/0!</v>
      </c>
      <c r="AE80" s="26" t="e">
        <f>AD80*100/AD$2</f>
        <v>#DIV/0!</v>
      </c>
      <c r="AF80" s="34"/>
    </row>
    <row r="81" spans="1:31" ht="13.8" thickBot="1" x14ac:dyDescent="0.3">
      <c r="A81" s="35" t="s">
        <v>86</v>
      </c>
      <c r="B81" s="17">
        <f>B2-B3-B18-B69</f>
        <v>0</v>
      </c>
      <c r="C81" s="15" t="e">
        <f t="shared" si="38"/>
        <v>#DIV/0!</v>
      </c>
      <c r="D81" s="31">
        <f>D2-D3-D18-D69</f>
        <v>0</v>
      </c>
      <c r="E81" s="15" t="e">
        <f t="shared" ref="E81:S82" si="52">D81/D$2</f>
        <v>#DIV/0!</v>
      </c>
      <c r="F81" s="31">
        <f>F2-F3-F18-F69</f>
        <v>0</v>
      </c>
      <c r="G81" s="15" t="e">
        <f t="shared" si="52"/>
        <v>#DIV/0!</v>
      </c>
      <c r="H81" s="31">
        <f>H2-H3-H18-H69</f>
        <v>0</v>
      </c>
      <c r="I81" s="15" t="e">
        <f t="shared" si="52"/>
        <v>#DIV/0!</v>
      </c>
      <c r="J81" s="31">
        <f>J2-J3-J18-J69</f>
        <v>0</v>
      </c>
      <c r="K81" s="15" t="e">
        <f t="shared" si="52"/>
        <v>#DIV/0!</v>
      </c>
      <c r="L81" s="31">
        <f>L2-L3-L18-L69</f>
        <v>0</v>
      </c>
      <c r="M81" s="15" t="e">
        <f t="shared" si="52"/>
        <v>#DIV/0!</v>
      </c>
      <c r="N81" s="31">
        <f>N2-N3-N18-N69</f>
        <v>0</v>
      </c>
      <c r="O81" s="15" t="e">
        <f t="shared" si="52"/>
        <v>#DIV/0!</v>
      </c>
      <c r="P81" s="31">
        <f>P2-P3-P18-P69</f>
        <v>0</v>
      </c>
      <c r="Q81" s="15" t="e">
        <f t="shared" si="52"/>
        <v>#DIV/0!</v>
      </c>
      <c r="R81" s="31">
        <f>R2-R3-R18-R69</f>
        <v>0</v>
      </c>
      <c r="S81" s="15" t="e">
        <f t="shared" si="52"/>
        <v>#DIV/0!</v>
      </c>
      <c r="T81" s="31">
        <f>T2-T3-T18-T69</f>
        <v>0</v>
      </c>
      <c r="U81" s="15" t="e">
        <f t="shared" ref="U81:AE82" si="53">T81/T$2</f>
        <v>#DIV/0!</v>
      </c>
      <c r="V81" s="31">
        <f>V2-V3-V18-V69</f>
        <v>0</v>
      </c>
      <c r="W81" s="15" t="e">
        <f t="shared" si="53"/>
        <v>#DIV/0!</v>
      </c>
      <c r="X81" s="31">
        <f>X2-X3-X18-X69</f>
        <v>0</v>
      </c>
      <c r="Y81" s="15" t="e">
        <f t="shared" si="53"/>
        <v>#DIV/0!</v>
      </c>
      <c r="Z81" s="31">
        <f>Z2-Z3-Z18-Z69</f>
        <v>0</v>
      </c>
      <c r="AA81" s="15" t="e">
        <f t="shared" si="53"/>
        <v>#DIV/0!</v>
      </c>
      <c r="AB81" s="31" t="e">
        <f>AB2-AB3-AB18-AB69</f>
        <v>#DIV/0!</v>
      </c>
      <c r="AC81" s="15" t="e">
        <f t="shared" si="53"/>
        <v>#DIV/0!</v>
      </c>
      <c r="AD81" s="31" t="e">
        <f>AD2-AD3-AD18-AD69</f>
        <v>#DIV/0!</v>
      </c>
      <c r="AE81" s="15" t="e">
        <f t="shared" si="53"/>
        <v>#DIV/0!</v>
      </c>
    </row>
    <row r="82" spans="1:31" ht="13.8" thickBot="1" x14ac:dyDescent="0.3">
      <c r="A82" s="35" t="s">
        <v>87</v>
      </c>
      <c r="B82" s="17">
        <f>B2-B3-B18</f>
        <v>0</v>
      </c>
      <c r="C82" s="15" t="e">
        <f t="shared" si="38"/>
        <v>#DIV/0!</v>
      </c>
      <c r="D82" s="31">
        <f>D2-D3-D18</f>
        <v>0</v>
      </c>
      <c r="E82" s="15" t="e">
        <f t="shared" si="52"/>
        <v>#DIV/0!</v>
      </c>
      <c r="F82" s="31">
        <f>F2-F3-F18</f>
        <v>0</v>
      </c>
      <c r="G82" s="15" t="e">
        <f t="shared" si="52"/>
        <v>#DIV/0!</v>
      </c>
      <c r="H82" s="31">
        <f>H2-H3-H18</f>
        <v>0</v>
      </c>
      <c r="I82" s="15" t="e">
        <f t="shared" si="52"/>
        <v>#DIV/0!</v>
      </c>
      <c r="J82" s="31">
        <f>J2-J3-J18</f>
        <v>0</v>
      </c>
      <c r="K82" s="15" t="e">
        <f t="shared" si="52"/>
        <v>#DIV/0!</v>
      </c>
      <c r="L82" s="31">
        <f>L2-L3-L18</f>
        <v>0</v>
      </c>
      <c r="M82" s="15" t="e">
        <f t="shared" si="52"/>
        <v>#DIV/0!</v>
      </c>
      <c r="N82" s="31">
        <f>N2-N3-N18</f>
        <v>0</v>
      </c>
      <c r="O82" s="15" t="e">
        <f t="shared" si="52"/>
        <v>#DIV/0!</v>
      </c>
      <c r="P82" s="31">
        <f>P2-P3-P18</f>
        <v>0</v>
      </c>
      <c r="Q82" s="15" t="e">
        <f t="shared" si="52"/>
        <v>#DIV/0!</v>
      </c>
      <c r="R82" s="31">
        <f>R2-R3-R18</f>
        <v>0</v>
      </c>
      <c r="S82" s="15" t="e">
        <f t="shared" si="52"/>
        <v>#DIV/0!</v>
      </c>
      <c r="T82" s="31">
        <f>T2-T3-T18</f>
        <v>0</v>
      </c>
      <c r="U82" s="15" t="e">
        <f t="shared" si="53"/>
        <v>#DIV/0!</v>
      </c>
      <c r="V82" s="31">
        <f>V2-V3-V18</f>
        <v>0</v>
      </c>
      <c r="W82" s="15" t="e">
        <f t="shared" si="53"/>
        <v>#DIV/0!</v>
      </c>
      <c r="X82" s="31">
        <f>X2-X3-X18</f>
        <v>0</v>
      </c>
      <c r="Y82" s="15" t="e">
        <f t="shared" si="53"/>
        <v>#DIV/0!</v>
      </c>
      <c r="Z82" s="31">
        <f>Z2-Z3-Z18</f>
        <v>0</v>
      </c>
      <c r="AA82" s="15" t="e">
        <f t="shared" si="53"/>
        <v>#DIV/0!</v>
      </c>
      <c r="AB82" s="31" t="e">
        <f>AB2-AB3-AB18</f>
        <v>#DIV/0!</v>
      </c>
      <c r="AC82" s="15" t="e">
        <f t="shared" si="53"/>
        <v>#DIV/0!</v>
      </c>
      <c r="AD82" s="31" t="e">
        <f>AD2-AD3-AD18</f>
        <v>#DIV/0!</v>
      </c>
      <c r="AE82" s="15" t="e">
        <f t="shared" si="53"/>
        <v>#DIV/0!</v>
      </c>
    </row>
    <row r="83" spans="1:31" ht="13.8" thickBot="1" x14ac:dyDescent="0.3">
      <c r="B83" s="36"/>
      <c r="C83" s="37"/>
      <c r="D83" s="36"/>
      <c r="E83" s="37"/>
      <c r="F83" s="36"/>
      <c r="G83" s="37"/>
      <c r="H83" s="36"/>
      <c r="I83" s="38"/>
      <c r="J83" s="36"/>
      <c r="K83" s="38"/>
      <c r="L83" s="36"/>
      <c r="M83" s="38"/>
      <c r="N83" s="36"/>
      <c r="O83" s="38"/>
      <c r="P83" s="36"/>
      <c r="Q83" s="38"/>
      <c r="R83" s="36"/>
      <c r="S83" s="38"/>
      <c r="T83" s="36"/>
      <c r="U83" s="38"/>
      <c r="V83" s="36"/>
      <c r="W83" s="38"/>
      <c r="X83" s="36"/>
      <c r="Y83" s="38"/>
      <c r="Z83" s="36"/>
      <c r="AA83" s="39"/>
      <c r="AB83" s="40"/>
      <c r="AC83" s="38"/>
      <c r="AD83" s="38"/>
      <c r="AE83" s="38"/>
    </row>
    <row r="84" spans="1:31" ht="13.8" thickBot="1" x14ac:dyDescent="0.3">
      <c r="A84" s="41" t="s">
        <v>56</v>
      </c>
      <c r="B84" s="42" t="e">
        <f>B18/C17</f>
        <v>#DIV/0!</v>
      </c>
      <c r="C84" s="43"/>
      <c r="D84" s="42" t="e">
        <f>D18/E17</f>
        <v>#DIV/0!</v>
      </c>
      <c r="E84" s="43"/>
      <c r="F84" s="42" t="e">
        <f>F18/G17</f>
        <v>#DIV/0!</v>
      </c>
      <c r="G84" s="43"/>
      <c r="H84" s="42" t="e">
        <f>H18/I17</f>
        <v>#DIV/0!</v>
      </c>
      <c r="I84" s="42"/>
      <c r="J84" s="42" t="e">
        <f>J18/K17</f>
        <v>#DIV/0!</v>
      </c>
      <c r="K84" s="42"/>
      <c r="L84" s="42" t="e">
        <f>L18/M17</f>
        <v>#DIV/0!</v>
      </c>
      <c r="M84" s="42"/>
      <c r="N84" s="42" t="e">
        <f>N18/O17</f>
        <v>#DIV/0!</v>
      </c>
      <c r="O84" s="42"/>
      <c r="P84" s="42" t="e">
        <f>P18/Q17</f>
        <v>#DIV/0!</v>
      </c>
      <c r="Q84" s="42"/>
      <c r="R84" s="42" t="e">
        <f>R18/S17</f>
        <v>#DIV/0!</v>
      </c>
      <c r="S84" s="42"/>
      <c r="T84" s="42" t="e">
        <f>T18/U17</f>
        <v>#DIV/0!</v>
      </c>
      <c r="U84" s="42"/>
      <c r="V84" s="42" t="e">
        <f>V18/W17</f>
        <v>#DIV/0!</v>
      </c>
      <c r="W84" s="42"/>
      <c r="X84" s="42" t="e">
        <f>X18/Y17</f>
        <v>#DIV/0!</v>
      </c>
      <c r="Y84" s="42"/>
      <c r="Z84" s="42" t="e">
        <f>Z18/AA17</f>
        <v>#DIV/0!</v>
      </c>
      <c r="AA84" s="44"/>
      <c r="AB84" s="42" t="e">
        <f>AB18/AC17</f>
        <v>#DIV/0!</v>
      </c>
      <c r="AC84" s="42"/>
      <c r="AD84" s="42" t="e">
        <f>AD18/AE17*100</f>
        <v>#DIV/0!</v>
      </c>
      <c r="AE84" s="45"/>
    </row>
    <row r="85" spans="1:31" ht="13.8" thickBot="1" x14ac:dyDescent="0.3">
      <c r="A85" s="41" t="s">
        <v>57</v>
      </c>
      <c r="B85" s="42" t="e">
        <f>(B18+B69)/C17</f>
        <v>#DIV/0!</v>
      </c>
      <c r="C85" s="43"/>
      <c r="D85" s="42" t="e">
        <f>(D18+D69)/E17</f>
        <v>#DIV/0!</v>
      </c>
      <c r="E85" s="43"/>
      <c r="F85" s="42" t="e">
        <f>(F18+F69)/G17</f>
        <v>#DIV/0!</v>
      </c>
      <c r="G85" s="43"/>
      <c r="H85" s="42" t="e">
        <f>(H18+H69)/I17</f>
        <v>#DIV/0!</v>
      </c>
      <c r="I85" s="42"/>
      <c r="J85" s="42" t="e">
        <f>(J18+J69)/K17</f>
        <v>#DIV/0!</v>
      </c>
      <c r="K85" s="42"/>
      <c r="L85" s="42" t="e">
        <f>(L18+L69)/M17</f>
        <v>#DIV/0!</v>
      </c>
      <c r="M85" s="42"/>
      <c r="N85" s="42" t="e">
        <f>(N18+N69)/O17</f>
        <v>#DIV/0!</v>
      </c>
      <c r="O85" s="42"/>
      <c r="P85" s="42" t="e">
        <f>(P18+P69)/Q17</f>
        <v>#DIV/0!</v>
      </c>
      <c r="Q85" s="42"/>
      <c r="R85" s="42" t="e">
        <f>(R18+R69)/S17</f>
        <v>#DIV/0!</v>
      </c>
      <c r="S85" s="42"/>
      <c r="T85" s="42" t="e">
        <f>(T18+T69)/U17</f>
        <v>#DIV/0!</v>
      </c>
      <c r="U85" s="42"/>
      <c r="V85" s="42" t="e">
        <f>(V18+V69)/W17</f>
        <v>#DIV/0!</v>
      </c>
      <c r="W85" s="42"/>
      <c r="X85" s="42" t="e">
        <f>(X18+X69)/Y17</f>
        <v>#DIV/0!</v>
      </c>
      <c r="Y85" s="42"/>
      <c r="Z85" s="42" t="e">
        <f>(Z18+Z69)/AA17</f>
        <v>#DIV/0!</v>
      </c>
      <c r="AA85" s="44"/>
      <c r="AB85" s="42" t="e">
        <f>(AB18+AB69)/AC17</f>
        <v>#DIV/0!</v>
      </c>
      <c r="AC85" s="42"/>
      <c r="AD85" s="42" t="e">
        <f>(AD18+AD69)/AE17*100</f>
        <v>#DIV/0!</v>
      </c>
      <c r="AE85" s="45"/>
    </row>
    <row r="86" spans="1:31" x14ac:dyDescent="0.25">
      <c r="D86" s="49"/>
      <c r="F86" s="49"/>
    </row>
    <row r="87" spans="1:31" x14ac:dyDescent="0.25">
      <c r="B87" s="49"/>
      <c r="D87" s="49"/>
      <c r="F87" s="49"/>
      <c r="H87" s="49"/>
      <c r="O87" s="596"/>
      <c r="P87" s="596"/>
      <c r="Q87" s="596"/>
      <c r="R87" s="596"/>
      <c r="S87" s="596"/>
      <c r="T87" s="596"/>
    </row>
    <row r="90" spans="1:31" x14ac:dyDescent="0.25">
      <c r="R90" s="49"/>
    </row>
    <row r="91" spans="1:31" x14ac:dyDescent="0.25">
      <c r="R91" s="49"/>
    </row>
    <row r="95" spans="1:31" x14ac:dyDescent="0.25">
      <c r="R95" s="49"/>
    </row>
    <row r="96" spans="1:31" x14ac:dyDescent="0.25">
      <c r="R96" s="49"/>
    </row>
    <row r="97" spans="18:18" x14ac:dyDescent="0.25">
      <c r="R97" s="49"/>
    </row>
  </sheetData>
  <mergeCells count="1">
    <mergeCell ref="O87:T87"/>
  </mergeCells>
  <phoneticPr fontId="0" type="noConversion"/>
  <conditionalFormatting sqref="B81:B82 D81:D82 F81:F82 H81:H82 J81:J82 L81:L82 N81:N82 P81:P82 R81:R82 T81:T82 V81:V82 X81:X82 Z81:Z82 AB81:AB82">
    <cfRule type="cellIs" dxfId="28" priority="74" stopIfTrue="1" operator="greaterThan">
      <formula>0</formula>
    </cfRule>
    <cfRule type="cellIs" dxfId="27" priority="76" stopIfTrue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12EA-A48A-49B4-9960-256A73DACE19}">
  <dimension ref="A1:AC4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17" sqref="T17"/>
    </sheetView>
  </sheetViews>
  <sheetFormatPr defaultColWidth="10.33203125" defaultRowHeight="16.5" customHeight="1" x14ac:dyDescent="0.25"/>
  <cols>
    <col min="1" max="1" width="4.6640625" style="543" customWidth="1"/>
    <col min="2" max="2" width="29.109375" style="543" customWidth="1"/>
    <col min="3" max="3" width="16.6640625" style="543" customWidth="1"/>
    <col min="4" max="4" width="15.6640625" style="543" customWidth="1"/>
    <col min="5" max="5" width="8.6640625" style="547" hidden="1" customWidth="1"/>
    <col min="6" max="6" width="16.88671875" style="543" customWidth="1"/>
    <col min="7" max="7" width="8.88671875" style="547" hidden="1" customWidth="1"/>
    <col min="8" max="8" width="17.5546875" style="543" customWidth="1"/>
    <col min="9" max="9" width="7.33203125" style="547" hidden="1" customWidth="1"/>
    <col min="10" max="10" width="16.33203125" style="543" customWidth="1"/>
    <col min="11" max="11" width="9.44140625" style="543" hidden="1" customWidth="1"/>
    <col min="12" max="12" width="16.109375" style="543" customWidth="1"/>
    <col min="13" max="13" width="8.6640625" style="543" customWidth="1"/>
    <col min="14" max="14" width="18" style="543" hidden="1" customWidth="1"/>
    <col min="15" max="15" width="11.44140625" style="543" hidden="1" customWidth="1"/>
    <col min="16" max="26" width="10.33203125" style="543"/>
    <col min="27" max="27" width="6.88671875" style="543" customWidth="1"/>
    <col min="28" max="28" width="5" style="543" customWidth="1"/>
    <col min="29" max="16384" width="10.33203125" style="543"/>
  </cols>
  <sheetData>
    <row r="1" spans="1:28" ht="19.2" x14ac:dyDescent="0.35">
      <c r="A1" s="538"/>
      <c r="B1" s="605" t="s">
        <v>257</v>
      </c>
      <c r="C1" s="605"/>
      <c r="D1" s="605"/>
      <c r="E1" s="540"/>
      <c r="F1" s="539"/>
      <c r="G1" s="540"/>
      <c r="H1" s="539"/>
      <c r="I1" s="540"/>
      <c r="J1" s="539"/>
      <c r="K1" s="539"/>
      <c r="L1" s="539"/>
      <c r="M1" s="539"/>
      <c r="N1" s="541"/>
      <c r="O1" s="606"/>
      <c r="P1" s="606"/>
      <c r="Q1" s="606"/>
      <c r="R1" s="606"/>
      <c r="S1" s="606"/>
      <c r="T1" s="606"/>
      <c r="U1" s="606"/>
      <c r="V1" s="606"/>
      <c r="W1" s="606"/>
      <c r="X1" s="606"/>
      <c r="Y1" s="606"/>
      <c r="Z1" s="606"/>
      <c r="AA1" s="606"/>
      <c r="AB1" s="542"/>
    </row>
    <row r="2" spans="1:28" ht="37.200000000000003" x14ac:dyDescent="0.6">
      <c r="A2" s="538"/>
      <c r="B2" s="544" t="s">
        <v>287</v>
      </c>
      <c r="C2" s="545"/>
      <c r="D2" s="545"/>
      <c r="E2" s="546"/>
      <c r="F2" s="545"/>
      <c r="G2" s="546"/>
      <c r="H2" s="545"/>
      <c r="I2" s="546"/>
      <c r="J2" s="545"/>
      <c r="K2" s="545"/>
      <c r="L2" s="545"/>
      <c r="M2" s="545"/>
      <c r="N2" s="541"/>
      <c r="O2" s="606"/>
      <c r="P2" s="606"/>
      <c r="Q2" s="606"/>
      <c r="R2" s="606"/>
      <c r="S2" s="606"/>
      <c r="T2" s="606"/>
      <c r="U2" s="606"/>
      <c r="V2" s="606"/>
      <c r="W2" s="606"/>
      <c r="X2" s="606"/>
      <c r="Y2" s="606"/>
      <c r="Z2" s="606"/>
      <c r="AA2" s="606"/>
      <c r="AB2" s="542"/>
    </row>
    <row r="3" spans="1:28" ht="13.2" x14ac:dyDescent="0.25">
      <c r="AB3" s="542"/>
    </row>
    <row r="4" spans="1:28" s="548" customFormat="1" ht="40.200000000000003" thickBot="1" x14ac:dyDescent="0.35">
      <c r="B4" s="549" t="s">
        <v>259</v>
      </c>
      <c r="C4" s="550" t="s">
        <v>281</v>
      </c>
      <c r="D4" s="550" t="s">
        <v>282</v>
      </c>
      <c r="E4" s="551" t="s">
        <v>262</v>
      </c>
      <c r="F4" s="550" t="s">
        <v>283</v>
      </c>
      <c r="G4" s="551" t="s">
        <v>264</v>
      </c>
      <c r="H4" s="550" t="s">
        <v>284</v>
      </c>
      <c r="I4" s="551" t="s">
        <v>266</v>
      </c>
      <c r="J4" s="550" t="s">
        <v>285</v>
      </c>
      <c r="K4" s="551" t="s">
        <v>272</v>
      </c>
      <c r="L4" s="562" t="s">
        <v>286</v>
      </c>
      <c r="M4" s="551" t="s">
        <v>273</v>
      </c>
      <c r="N4" s="564" t="s">
        <v>275</v>
      </c>
      <c r="O4" s="583" t="s">
        <v>280</v>
      </c>
      <c r="AB4" s="552"/>
    </row>
    <row r="5" spans="1:28" s="569" customFormat="1" ht="15" thickTop="1" x14ac:dyDescent="0.3">
      <c r="B5" s="565" t="s">
        <v>210</v>
      </c>
      <c r="C5" s="577">
        <v>1380580.53</v>
      </c>
      <c r="D5" s="577">
        <v>1426609.79</v>
      </c>
      <c r="E5" s="578">
        <f>(Tabela252[[#This Row],[2 semestre 2023]]-Tabela252[[#This Row],[1 semestre 2023]])/Tabela252[[#This Row],[1 semestre 2023]]</f>
        <v>3.3340510748764512E-2</v>
      </c>
      <c r="F5" s="577">
        <v>2807190.32</v>
      </c>
      <c r="G5" s="578">
        <f>(Tabela252[[#This Row],[2023 anual]]-Tabela252[[#This Row],[2 semestre 2023]])/Tabela252[[#This Row],[2 semestre 2023]]</f>
        <v>0.96773521370549387</v>
      </c>
      <c r="H5" s="577">
        <v>1303747.68</v>
      </c>
      <c r="I5" s="578">
        <f>(Tabela252[[#This Row],[1 semestre 2024]]-Tabela252[[#This Row],[2023 anual]])/Tabela252[[#This Row],[2023 anual]]</f>
        <v>-0.53556847545698294</v>
      </c>
      <c r="J5" s="577">
        <v>1298076.42</v>
      </c>
      <c r="K5" s="578">
        <f>(Tabela252[[#This Row],[2 semestre 2024]]-Tabela252[[#This Row],[1 semestre 2024]])/Tabela252[[#This Row],[1 semestre 2024]]</f>
        <v>-4.3499674722335914E-3</v>
      </c>
      <c r="L5" s="586">
        <v>2601824.1</v>
      </c>
      <c r="M5" s="578">
        <f>(Tabela252[[#This Row],[2024 anual]]-Tabela252[[#This Row],[2023 anual]])/Tabela252[[#This Row],[2023 anual]]</f>
        <v>-7.3157212938807711E-2</v>
      </c>
      <c r="N5" s="586"/>
      <c r="O5" s="584">
        <f>(Tabela252[[#This Row],[2024]]-Tabela252[[#This Row],[2024 anual]])/Tabela252[[#This Row],[2024 anual]]</f>
        <v>-1</v>
      </c>
      <c r="AB5" s="570"/>
    </row>
    <row r="6" spans="1:28" s="571" customFormat="1" ht="14.4" x14ac:dyDescent="0.3">
      <c r="B6" s="565" t="s">
        <v>105</v>
      </c>
      <c r="C6" s="567">
        <v>313767.34000000003</v>
      </c>
      <c r="D6" s="567">
        <v>277533.15000000002</v>
      </c>
      <c r="E6" s="554">
        <f>(Tabela252[[#This Row],[2 semestre 2023]]-Tabela252[[#This Row],[1 semestre 2023]])/Tabela252[[#This Row],[1 semestre 2023]]</f>
        <v>-0.1154810758825313</v>
      </c>
      <c r="F6" s="567">
        <v>591300.49</v>
      </c>
      <c r="G6" s="554">
        <f>(Tabela252[[#This Row],[2023 anual]]-Tabela252[[#This Row],[2 semestre 2023]])/Tabela252[[#This Row],[2 semestre 2023]]</f>
        <v>1.130558061262231</v>
      </c>
      <c r="H6" s="567">
        <v>232082.97</v>
      </c>
      <c r="I6" s="554">
        <f>(Tabela252[[#This Row],[1 semestre 2024]]-Tabela252[[#This Row],[2023 anual]])/Tabela252[[#This Row],[2023 anual]]</f>
        <v>-0.60750418116514671</v>
      </c>
      <c r="J6" s="567">
        <v>307162.49</v>
      </c>
      <c r="K6" s="554">
        <f>(Tabela252[[#This Row],[2 semestre 2024]]-Tabela252[[#This Row],[1 semestre 2024]])/Tabela252[[#This Row],[1 semestre 2024]]</f>
        <v>0.32350292656113455</v>
      </c>
      <c r="L6" s="589">
        <v>533905.93999999994</v>
      </c>
      <c r="M6" s="554">
        <f>(Tabela252[[#This Row],[2024 anual]]-Tabela252[[#This Row],[2023 anual]])/Tabela252[[#This Row],[2023 anual]]</f>
        <v>-9.7064945777399991E-2</v>
      </c>
      <c r="N6" s="589"/>
      <c r="O6" s="585">
        <f>(Tabela252[[#This Row],[2024]]-Tabela252[[#This Row],[2024 anual]])/Tabela252[[#This Row],[2024 anual]]</f>
        <v>-1</v>
      </c>
      <c r="AB6" s="572"/>
    </row>
    <row r="7" spans="1:28" ht="14.4" x14ac:dyDescent="0.3">
      <c r="B7" s="566" t="s">
        <v>48</v>
      </c>
      <c r="C7" s="568">
        <v>214300.18</v>
      </c>
      <c r="D7" s="568">
        <v>218982.58</v>
      </c>
      <c r="E7" s="557">
        <f>(Tabela252[[#This Row],[2 semestre 2023]]-Tabela252[[#This Row],[1 semestre 2023]])/Tabela252[[#This Row],[1 semestre 2023]]</f>
        <v>2.1849724997897783E-2</v>
      </c>
      <c r="F7" s="568">
        <v>433282.76</v>
      </c>
      <c r="G7" s="557">
        <f>(Tabela252[[#This Row],[2023 anual]]-Tabela252[[#This Row],[2 semestre 2023]])/Tabela252[[#This Row],[2 semestre 2023]]</f>
        <v>0.97861747724408044</v>
      </c>
      <c r="H7" s="568">
        <v>199468.54</v>
      </c>
      <c r="I7" s="557">
        <f>(Tabela252[[#This Row],[1 semestre 2024]]-Tabela252[[#This Row],[2023 anual]])/Tabela252[[#This Row],[2023 anual]]</f>
        <v>-0.5396342563918306</v>
      </c>
      <c r="J7" s="568">
        <v>223371.72</v>
      </c>
      <c r="K7" s="557">
        <f>(Tabela252[[#This Row],[2 semestre 2024]]-Tabela252[[#This Row],[1 semestre 2024]])/Tabela252[[#This Row],[1 semestre 2024]]</f>
        <v>0.1198343357804694</v>
      </c>
      <c r="L7" s="590">
        <v>409700.74</v>
      </c>
      <c r="M7" s="557">
        <f>(Tabela252[[#This Row],[2024 anual]]-Tabela252[[#This Row],[2023 anual]])/Tabela252[[#This Row],[2023 anual]]</f>
        <v>-5.4426398133172939E-2</v>
      </c>
      <c r="N7" s="590"/>
      <c r="O7" s="585">
        <f>(Tabela252[[#This Row],[2024]]-Tabela252[[#This Row],[2024 anual]])/Tabela252[[#This Row],[2024 anual]]</f>
        <v>-1</v>
      </c>
      <c r="AB7" s="542"/>
    </row>
    <row r="8" spans="1:28" ht="14.4" x14ac:dyDescent="0.3">
      <c r="B8" s="566" t="s">
        <v>27</v>
      </c>
      <c r="C8" s="568">
        <v>99467.16</v>
      </c>
      <c r="D8" s="568">
        <v>58550.57</v>
      </c>
      <c r="E8" s="557">
        <f>(Tabela252[[#This Row],[2 semestre 2023]]-Tabela252[[#This Row],[1 semestre 2023]])/Tabela252[[#This Row],[1 semestre 2023]]</f>
        <v>-0.41135777878849666</v>
      </c>
      <c r="F8" s="568">
        <v>158017.73000000001</v>
      </c>
      <c r="G8" s="557">
        <f>(Tabela252[[#This Row],[2023 anual]]-Tabela252[[#This Row],[2 semestre 2023]])/Tabela252[[#This Row],[2 semestre 2023]]</f>
        <v>1.6988247936783536</v>
      </c>
      <c r="H8" s="568">
        <v>28869.45</v>
      </c>
      <c r="I8" s="557">
        <f>(Tabela252[[#This Row],[1 semestre 2024]]-Tabela252[[#This Row],[2023 anual]])/Tabela252[[#This Row],[2023 anual]]</f>
        <v>-0.81730246346406832</v>
      </c>
      <c r="J8" s="568">
        <v>83790.77</v>
      </c>
      <c r="K8" s="557">
        <f>(Tabela252[[#This Row],[2 semestre 2024]]-Tabela252[[#This Row],[1 semestre 2024]])/Tabela252[[#This Row],[1 semestre 2024]]</f>
        <v>1.9024027129023935</v>
      </c>
      <c r="L8" s="590">
        <v>120460.22</v>
      </c>
      <c r="M8" s="557">
        <f>(Tabela252[[#This Row],[2024 anual]]-Tabela252[[#This Row],[2023 anual]])/Tabela252[[#This Row],[2023 anual]]</f>
        <v>-0.23767908828964956</v>
      </c>
      <c r="N8" s="590"/>
      <c r="O8" s="585">
        <f>(Tabela252[[#This Row],[2024]]-Tabela252[[#This Row],[2024 anual]])/Tabela252[[#This Row],[2024 anual]]</f>
        <v>-1</v>
      </c>
      <c r="AB8" s="542"/>
    </row>
    <row r="9" spans="1:28" ht="14.4" x14ac:dyDescent="0.3">
      <c r="B9" s="566" t="s">
        <v>8</v>
      </c>
      <c r="C9" s="568">
        <v>1066813.19</v>
      </c>
      <c r="D9" s="568">
        <v>1149076.6399999999</v>
      </c>
      <c r="E9" s="557">
        <f>(Tabela252[[#This Row],[2 semestre 2023]]-Tabela252[[#This Row],[1 semestre 2023]])/Tabela252[[#This Row],[1 semestre 2023]]</f>
        <v>7.7111391920454186E-2</v>
      </c>
      <c r="F9" s="568">
        <v>2215889.83</v>
      </c>
      <c r="G9" s="557">
        <f>(Tabela252[[#This Row],[2023 anual]]-Tabela252[[#This Row],[2 semestre 2023]])/Tabela252[[#This Row],[2 semestre 2023]]</f>
        <v>0.92840908331406014</v>
      </c>
      <c r="H9" s="568">
        <v>1071664.71</v>
      </c>
      <c r="I9" s="557">
        <f>(Tabela252[[#This Row],[1 semestre 2024]]-Tabela252[[#This Row],[2023 anual]])/Tabela252[[#This Row],[2023 anual]]</f>
        <v>-0.51637274764693519</v>
      </c>
      <c r="J9" s="568">
        <v>990913.93</v>
      </c>
      <c r="K9" s="557">
        <f>(Tabela252[[#This Row],[2 semestre 2024]]-Tabela252[[#This Row],[1 semestre 2024]])/Tabela252[[#This Row],[1 semestre 2024]]</f>
        <v>-7.5350787654470688E-2</v>
      </c>
      <c r="L9" s="590">
        <v>2067918.16</v>
      </c>
      <c r="M9" s="557">
        <f>(Tabela252[[#This Row],[2024 anual]]-Tabela252[[#This Row],[2023 anual]])/Tabela252[[#This Row],[2023 anual]]</f>
        <v>-6.6777539206450603E-2</v>
      </c>
      <c r="N9" s="590"/>
      <c r="O9" s="585">
        <f>(Tabela252[[#This Row],[2024]]-Tabela252[[#This Row],[2024 anual]])/Tabela252[[#This Row],[2024 anual]]</f>
        <v>-1</v>
      </c>
      <c r="AB9" s="542"/>
    </row>
    <row r="10" spans="1:28" s="571" customFormat="1" ht="14.4" x14ac:dyDescent="0.3">
      <c r="B10" s="565" t="s">
        <v>106</v>
      </c>
      <c r="C10" s="577">
        <v>629968.52</v>
      </c>
      <c r="D10" s="577">
        <v>678853.06</v>
      </c>
      <c r="E10" s="578">
        <f>(Tabela252[[#This Row],[2 semestre 2023]]-Tabela252[[#This Row],[1 semestre 2023]])/Tabela252[[#This Row],[1 semestre 2023]]</f>
        <v>7.7598385392336808E-2</v>
      </c>
      <c r="F10" s="577">
        <v>1308821.58</v>
      </c>
      <c r="G10" s="578">
        <f>(Tabela252[[#This Row],[2023 anual]]-Tabela252[[#This Row],[2 semestre 2023]])/Tabela252[[#This Row],[2 semestre 2023]]</f>
        <v>0.92798951219281534</v>
      </c>
      <c r="H10" s="577">
        <v>595651.48</v>
      </c>
      <c r="I10" s="578">
        <f>(Tabela252[[#This Row],[1 semestre 2024]]-Tabela252[[#This Row],[2023 anual]])/Tabela252[[#This Row],[2023 anual]]</f>
        <v>-0.54489482057592609</v>
      </c>
      <c r="J10" s="577">
        <v>802946.02</v>
      </c>
      <c r="K10" s="578">
        <f>(Tabela252[[#This Row],[2 semestre 2024]]-Tabela252[[#This Row],[1 semestre 2024]])/Tabela252[[#This Row],[1 semestre 2024]]</f>
        <v>0.34801313680946455</v>
      </c>
      <c r="L10" s="586">
        <v>1409197.5</v>
      </c>
      <c r="M10" s="578">
        <f>(Tabela252[[#This Row],[2024 anual]]-Tabela252[[#This Row],[2023 anual]])/Tabela252[[#This Row],[2023 anual]]</f>
        <v>7.6691828385042307E-2</v>
      </c>
      <c r="N10" s="586"/>
      <c r="O10" s="584">
        <f>(Tabela252[[#This Row],[2024]]-Tabela252[[#This Row],[2024 anual]])/Tabela252[[#This Row],[2024 anual]]</f>
        <v>-1</v>
      </c>
      <c r="AB10" s="572"/>
    </row>
    <row r="11" spans="1:28" ht="14.4" x14ac:dyDescent="0.3">
      <c r="B11" s="566" t="s">
        <v>123</v>
      </c>
      <c r="C11" s="568">
        <v>345215.57</v>
      </c>
      <c r="D11" s="568">
        <v>380507.97</v>
      </c>
      <c r="E11" s="557">
        <f>(Tabela252[[#This Row],[2 semestre 2023]]-Tabela252[[#This Row],[1 semestre 2023]])/Tabela252[[#This Row],[1 semestre 2023]]</f>
        <v>0.10223293230951305</v>
      </c>
      <c r="F11" s="568">
        <v>725339.54</v>
      </c>
      <c r="G11" s="557">
        <f>(Tabela252[[#This Row],[2023 anual]]-Tabela252[[#This Row],[2 semestre 2023]])/Tabela252[[#This Row],[2 semestre 2023]]</f>
        <v>0.90624007165999731</v>
      </c>
      <c r="H11" s="568">
        <v>294116.71999999997</v>
      </c>
      <c r="I11" s="557">
        <f>(Tabela252[[#This Row],[1 semestre 2024]]-Tabela252[[#This Row],[2023 anual]])/Tabela252[[#This Row],[2023 anual]]</f>
        <v>-0.59451166828710322</v>
      </c>
      <c r="J11" s="568">
        <v>486089.12</v>
      </c>
      <c r="K11" s="557">
        <f>(Tabela252[[#This Row],[2 semestre 2024]]-Tabela252[[#This Row],[1 semestre 2024]])/Tabela252[[#This Row],[1 semestre 2024]]</f>
        <v>0.65270821733630113</v>
      </c>
      <c r="L11" s="590">
        <v>790939.61</v>
      </c>
      <c r="M11" s="557">
        <f>(Tabela252[[#This Row],[2024 anual]]-Tabela252[[#This Row],[2023 anual]])/Tabela252[[#This Row],[2023 anual]]</f>
        <v>9.0440499079920481E-2</v>
      </c>
      <c r="N11" s="590"/>
      <c r="O11" s="585">
        <f>(Tabela252[[#This Row],[2024]]-Tabela252[[#This Row],[2024 anual]])/Tabela252[[#This Row],[2024 anual]]</f>
        <v>-1</v>
      </c>
      <c r="AB11" s="542"/>
    </row>
    <row r="12" spans="1:28" ht="14.4" x14ac:dyDescent="0.3">
      <c r="B12" s="566" t="s">
        <v>243</v>
      </c>
      <c r="C12" s="568">
        <v>54383.95</v>
      </c>
      <c r="D12" s="568">
        <v>55426.57</v>
      </c>
      <c r="E12" s="557">
        <f>(Tabela252[[#This Row],[2 semestre 2023]]-Tabela252[[#This Row],[1 semestre 2023]])/Tabela252[[#This Row],[1 semestre 2023]]</f>
        <v>1.9171465110570354E-2</v>
      </c>
      <c r="F12" s="568">
        <v>110010.52</v>
      </c>
      <c r="G12" s="557">
        <f>(Tabela252[[#This Row],[2023 anual]]-Tabela252[[#This Row],[2 semestre 2023]])/Tabela252[[#This Row],[2 semestre 2023]]</f>
        <v>0.98479754384945717</v>
      </c>
      <c r="H12" s="568">
        <v>59888.51</v>
      </c>
      <c r="I12" s="557">
        <f>(Tabela252[[#This Row],[1 semestre 2024]]-Tabela252[[#This Row],[2023 anual]])/Tabela252[[#This Row],[2023 anual]]</f>
        <v>-0.45561106337830237</v>
      </c>
      <c r="J12" s="568">
        <v>60605.46</v>
      </c>
      <c r="K12" s="557">
        <f>(Tabela252[[#This Row],[2 semestre 2024]]-Tabela252[[#This Row],[1 semestre 2024]])/Tabela252[[#This Row],[1 semestre 2024]]</f>
        <v>1.1971411544551652E-2</v>
      </c>
      <c r="L12" s="590">
        <v>120493.97</v>
      </c>
      <c r="M12" s="557">
        <f>(Tabela252[[#This Row],[2024 anual]]-Tabela252[[#This Row],[2023 anual]])/Tabela252[[#This Row],[2023 anual]]</f>
        <v>9.5294977243994453E-2</v>
      </c>
      <c r="N12" s="590"/>
      <c r="O12" s="585">
        <f>(Tabela252[[#This Row],[2024]]-Tabela252[[#This Row],[2024 anual]])/Tabela252[[#This Row],[2024 anual]]</f>
        <v>-1</v>
      </c>
      <c r="AB12" s="542"/>
    </row>
    <row r="13" spans="1:28" ht="14.4" x14ac:dyDescent="0.3">
      <c r="B13" s="566" t="s">
        <v>278</v>
      </c>
      <c r="C13" s="568">
        <v>150000</v>
      </c>
      <c r="D13" s="568">
        <v>150000</v>
      </c>
      <c r="E13" s="557">
        <v>1</v>
      </c>
      <c r="F13" s="568">
        <v>300000</v>
      </c>
      <c r="G13" s="557">
        <f>(Tabela252[[#This Row],[2023 anual]]-Tabela252[[#This Row],[2 semestre 2023]])/Tabela252[[#This Row],[2 semestre 2023]]</f>
        <v>1</v>
      </c>
      <c r="H13" s="568">
        <v>150000</v>
      </c>
      <c r="I13" s="557">
        <f>(Tabela252[[#This Row],[1 semestre 2024]]-Tabela252[[#This Row],[2023 anual]])/Tabela252[[#This Row],[2023 anual]]</f>
        <v>-0.5</v>
      </c>
      <c r="J13" s="568">
        <v>150000</v>
      </c>
      <c r="K13" s="557">
        <f>(Tabela252[[#This Row],[2 semestre 2024]]-Tabela252[[#This Row],[1 semestre 2024]])/Tabela252[[#This Row],[1 semestre 2024]]</f>
        <v>0</v>
      </c>
      <c r="L13" s="590">
        <v>300000</v>
      </c>
      <c r="M13" s="557">
        <f>(Tabela252[[#This Row],[2024 anual]]-Tabela252[[#This Row],[2023 anual]])/Tabela252[[#This Row],[2023 anual]]</f>
        <v>0</v>
      </c>
      <c r="N13" s="590"/>
      <c r="O13" s="585">
        <f>(Tabela252[[#This Row],[2024]]-Tabela252[[#This Row],[2024 anual]])/Tabela252[[#This Row],[2024 anual]]</f>
        <v>-1</v>
      </c>
      <c r="AB13" s="542"/>
    </row>
    <row r="14" spans="1:28" s="571" customFormat="1" ht="14.4" x14ac:dyDescent="0.3">
      <c r="B14" s="565" t="s">
        <v>107</v>
      </c>
      <c r="C14" s="577">
        <v>52551.98</v>
      </c>
      <c r="D14" s="577">
        <v>45082.22</v>
      </c>
      <c r="E14" s="578">
        <f>(Tabela252[[#This Row],[2 semestre 2023]]-Tabela252[[#This Row],[1 semestre 2023]])/Tabela252[[#This Row],[1 semestre 2023]]</f>
        <v>-0.14214041031375033</v>
      </c>
      <c r="F14" s="577">
        <v>97634.2</v>
      </c>
      <c r="G14" s="578">
        <f>(Tabela252[[#This Row],[2023 anual]]-Tabela252[[#This Row],[2 semestre 2023]])/Tabela252[[#This Row],[2 semestre 2023]]</f>
        <v>1.1656919291019829</v>
      </c>
      <c r="H14" s="577">
        <v>38959.56</v>
      </c>
      <c r="I14" s="578">
        <f>(Tabela252[[#This Row],[1 semestre 2024]]-Tabela252[[#This Row],[2023 anual]])/Tabela252[[#This Row],[2023 anual]]</f>
        <v>-0.60096400646494774</v>
      </c>
      <c r="J14" s="577">
        <v>38878.980000000003</v>
      </c>
      <c r="K14" s="578">
        <f>(Tabela252[[#This Row],[2 semestre 2024]]-Tabela252[[#This Row],[1 semestre 2024]])/Tabela252[[#This Row],[1 semestre 2024]]</f>
        <v>-2.068298512611397E-3</v>
      </c>
      <c r="L14" s="586">
        <v>77838.539999999994</v>
      </c>
      <c r="M14" s="578">
        <f>(Tabela252[[#This Row],[2024 anual]]-Tabela252[[#This Row],[2023 anual]])/Tabela252[[#This Row],[2023 anual]]</f>
        <v>-0.20275333848180252</v>
      </c>
      <c r="N14" s="586"/>
      <c r="O14" s="584">
        <f>(Tabela252[[#This Row],[2024]]-Tabela252[[#This Row],[2024 anual]])/Tabela252[[#This Row],[2024 anual]]</f>
        <v>-1</v>
      </c>
      <c r="AB14" s="572"/>
    </row>
    <row r="15" spans="1:28" ht="14.4" x14ac:dyDescent="0.3">
      <c r="B15" s="566" t="s">
        <v>276</v>
      </c>
      <c r="C15" s="568"/>
      <c r="D15" s="568"/>
      <c r="E15" s="557" t="e">
        <f>(Tabela252[[#This Row],[2 semestre 2023]]-Tabela252[[#This Row],[1 semestre 2023]])/Tabela252[[#This Row],[1 semestre 2023]]</f>
        <v>#DIV/0!</v>
      </c>
      <c r="F15" s="568">
        <v>97634.2</v>
      </c>
      <c r="G15" s="557" t="e">
        <f>(Tabela252[[#This Row],[2023 anual]]-Tabela252[[#This Row],[2 semestre 2023]])/Tabela252[[#This Row],[2 semestre 2023]]</f>
        <v>#DIV/0!</v>
      </c>
      <c r="H15" s="568"/>
      <c r="I15" s="557">
        <f>(Tabela252[[#This Row],[1 semestre 2024]]-Tabela252[[#This Row],[2023 anual]])/Tabela252[[#This Row],[2023 anual]]</f>
        <v>-1</v>
      </c>
      <c r="J15" s="568"/>
      <c r="K15" s="557" t="e">
        <f>(Tabela252[[#This Row],[2 semestre 2024]]-Tabela252[[#This Row],[1 semestre 2024]])/Tabela252[[#This Row],[1 semestre 2024]]</f>
        <v>#DIV/0!</v>
      </c>
      <c r="L15" s="590"/>
      <c r="M15" s="557">
        <f>(Tabela252[[#This Row],[2024 anual]]-Tabela252[[#This Row],[2023 anual]])/Tabela252[[#This Row],[2023 anual]]</f>
        <v>-1</v>
      </c>
      <c r="N15" s="590"/>
      <c r="O15" s="585" t="e">
        <f>(Tabela252[[#This Row],[2024]]-Tabela252[[#This Row],[2024 anual]])/Tabela252[[#This Row],[2024 anual]]</f>
        <v>#DIV/0!</v>
      </c>
      <c r="AB15" s="542"/>
    </row>
    <row r="16" spans="1:28" ht="14.4" x14ac:dyDescent="0.3">
      <c r="B16" s="566" t="s">
        <v>237</v>
      </c>
      <c r="C16" s="568">
        <v>17839.32</v>
      </c>
      <c r="D16" s="568">
        <v>26758.98</v>
      </c>
      <c r="E16" s="557">
        <f>(Tabela252[[#This Row],[2 semestre 2023]]-Tabela252[[#This Row],[1 semestre 2023]])/Tabela252[[#This Row],[1 semestre 2023]]</f>
        <v>0.5</v>
      </c>
      <c r="F16" s="568"/>
      <c r="G16" s="557">
        <f>(Tabela252[[#This Row],[2023 anual]]-Tabela252[[#This Row],[2 semestre 2023]])/Tabela252[[#This Row],[2 semestre 2023]]</f>
        <v>-1</v>
      </c>
      <c r="H16" s="568">
        <v>26758.98</v>
      </c>
      <c r="I16" s="557" t="e">
        <f>(Tabela252[[#This Row],[1 semestre 2024]]-Tabela252[[#This Row],[2023 anual]])/Tabela252[[#This Row],[2023 anual]]</f>
        <v>#DIV/0!</v>
      </c>
      <c r="J16" s="568">
        <v>26758.98</v>
      </c>
      <c r="K16" s="557">
        <f>(Tabela252[[#This Row],[2 semestre 2024]]-Tabela252[[#This Row],[1 semestre 2024]])/Tabela252[[#This Row],[1 semestre 2024]]</f>
        <v>0</v>
      </c>
      <c r="L16" s="590">
        <v>53517.96</v>
      </c>
      <c r="M16" s="557" t="e">
        <f>(Tabela252[[#This Row],[2024 anual]]-Tabela252[[#This Row],[2023 anual]])/Tabela252[[#This Row],[2023 anual]]</f>
        <v>#DIV/0!</v>
      </c>
      <c r="N16" s="590"/>
      <c r="O16" s="585"/>
      <c r="AB16" s="542"/>
    </row>
    <row r="17" spans="2:29" s="553" customFormat="1" ht="14.4" x14ac:dyDescent="0.3">
      <c r="B17" s="565" t="s">
        <v>268</v>
      </c>
      <c r="C17" s="577">
        <v>384292.69</v>
      </c>
      <c r="D17" s="577">
        <v>425141.36</v>
      </c>
      <c r="E17" s="578">
        <f>(Tabela252[[#This Row],[2 semestre 2023]]-Tabela252[[#This Row],[1 semestre 2023]])/Tabela252[[#This Row],[1 semestre 2023]]</f>
        <v>0.10629572475084026</v>
      </c>
      <c r="F17" s="577">
        <v>809434.05</v>
      </c>
      <c r="G17" s="578">
        <f>(Tabela252[[#This Row],[2023 anual]]-Tabela252[[#This Row],[2 semestre 2023]])/Tabela252[[#This Row],[2 semestre 2023]]</f>
        <v>0.90391744054259993</v>
      </c>
      <c r="H17" s="577">
        <v>437053.67</v>
      </c>
      <c r="I17" s="578">
        <f>(Tabela252[[#This Row],[1 semestre 2024]]-Tabela252[[#This Row],[2023 anual]])/Tabela252[[#This Row],[2023 anual]]</f>
        <v>-0.46005030304816069</v>
      </c>
      <c r="J17" s="577">
        <v>149088.93</v>
      </c>
      <c r="K17" s="578">
        <f>(Tabela252[[#This Row],[2 semestre 2024]]-Tabela252[[#This Row],[1 semestre 2024]])/Tabela252[[#This Row],[1 semestre 2024]]</f>
        <v>-0.65887729532164785</v>
      </c>
      <c r="L17" s="586">
        <v>580882.12</v>
      </c>
      <c r="M17" s="578">
        <f>(Tabela252[[#This Row],[2024 anual]]-Tabela252[[#This Row],[2023 anual]])/Tabela252[[#This Row],[2023 anual]]</f>
        <v>-0.2823601626346211</v>
      </c>
      <c r="N17" s="587"/>
      <c r="O17" s="584">
        <f>(Tabela252[[#This Row],[2024]]-Tabela252[[#This Row],[2024 anual]])/Tabela252[[#This Row],[2024 anual]]</f>
        <v>-1</v>
      </c>
      <c r="AB17" s="555"/>
    </row>
    <row r="18" spans="2:29" ht="14.4" x14ac:dyDescent="0.3">
      <c r="B18" s="566" t="s">
        <v>269</v>
      </c>
      <c r="C18" s="568"/>
      <c r="D18" s="568"/>
      <c r="E18" s="557" t="e">
        <f>(Tabela252[[#This Row],[2 semestre 2023]]-Tabela252[[#This Row],[1 semestre 2023]])/Tabela252[[#This Row],[1 semestre 2023]]</f>
        <v>#DIV/0!</v>
      </c>
      <c r="F18" s="568">
        <v>1781762.34</v>
      </c>
      <c r="G18" s="557" t="e">
        <f>(Tabela252[[#This Row],[2023 anual]]-Tabela252[[#This Row],[2 semestre 2023]])/Tabela252[[#This Row],[2 semestre 2023]]</f>
        <v>#DIV/0!</v>
      </c>
      <c r="H18" s="568"/>
      <c r="I18" s="557">
        <f>(Tabela252[[#This Row],[1 semestre 2024]]-Tabela252[[#This Row],[2023 anual]])/Tabela252[[#This Row],[2023 anual]]</f>
        <v>-1</v>
      </c>
      <c r="J18" s="568"/>
      <c r="K18" s="557" t="e">
        <f>(Tabela252[[#This Row],[2 semestre 2024]]-Tabela252[[#This Row],[1 semestre 2024]])/Tabela252[[#This Row],[1 semestre 2024]]</f>
        <v>#DIV/0!</v>
      </c>
      <c r="L18" s="590"/>
      <c r="M18" s="557">
        <f>(Tabela252[[#This Row],[2024 anual]]-Tabela252[[#This Row],[2023 anual]])/Tabela252[[#This Row],[2023 anual]]</f>
        <v>-1</v>
      </c>
      <c r="N18" s="590"/>
      <c r="O18" s="585" t="e">
        <f>(Tabela252[[#This Row],[2024]]-Tabela252[[#This Row],[2024 anual]])/Tabela252[[#This Row],[2024 anual]]</f>
        <v>#DIV/0!</v>
      </c>
      <c r="AB18" s="542"/>
    </row>
    <row r="19" spans="2:29" s="553" customFormat="1" ht="14.4" x14ac:dyDescent="0.3">
      <c r="B19" s="565" t="s">
        <v>270</v>
      </c>
      <c r="C19" s="577">
        <v>996287.84</v>
      </c>
      <c r="D19" s="577">
        <v>1001468.43</v>
      </c>
      <c r="E19" s="579">
        <f>(Tabela252[[#This Row],[2 semestre 2023]]-Tabela252[[#This Row],[1 semestre 2023]])/Tabela252[[#This Row],[1 semestre 2023]]</f>
        <v>5.1998928341834266E-3</v>
      </c>
      <c r="F19" s="577">
        <v>1997756.27</v>
      </c>
      <c r="G19" s="579">
        <f>(Tabela252[[#This Row],[2023 anual]]-Tabela252[[#This Row],[2 semestre 2023]])/Tabela252[[#This Row],[2 semestre 2023]]</f>
        <v>0.99482700617931608</v>
      </c>
      <c r="H19" s="577">
        <v>866694.01</v>
      </c>
      <c r="I19" s="579">
        <f>(Tabela252[[#This Row],[1 semestre 2024]]-Tabela252[[#This Row],[2023 anual]])/Tabela252[[#This Row],[2023 anual]]</f>
        <v>-0.56616629214733982</v>
      </c>
      <c r="J19" s="577">
        <v>1148987.49</v>
      </c>
      <c r="K19" s="579">
        <f>(Tabela252[[#This Row],[2 semestre 2024]]-Tabela252[[#This Row],[1 semestre 2024]])/Tabela252[[#This Row],[1 semestre 2024]]</f>
        <v>0.32571296990964549</v>
      </c>
      <c r="L19" s="586">
        <v>2020941.98</v>
      </c>
      <c r="M19" s="579">
        <f>(Tabela252[[#This Row],[2024 anual]]-Tabela252[[#This Row],[2023 anual]])/Tabela252[[#This Row],[2023 anual]]</f>
        <v>1.1605875225209511E-2</v>
      </c>
      <c r="N19" s="587"/>
      <c r="O19" s="584">
        <f>(Tabela252[[#This Row],[2024]]-Tabela252[[#This Row],[2024 anual]])/Tabela252[[#This Row],[2024 anual]]</f>
        <v>-1</v>
      </c>
      <c r="AB19" s="555"/>
    </row>
    <row r="20" spans="2:29" s="553" customFormat="1" ht="14.4" x14ac:dyDescent="0.3">
      <c r="B20" s="565" t="s">
        <v>271</v>
      </c>
      <c r="C20" s="582">
        <v>0.26</v>
      </c>
      <c r="D20" s="581">
        <v>0.28000000000000003</v>
      </c>
      <c r="E20" s="579">
        <f>(Tabela252[[#This Row],[2 semestre 2023]]-Tabela252[[#This Row],[1 semestre 2023]])/Tabela252[[#This Row],[1 semestre 2023]]</f>
        <v>7.6923076923076983E-2</v>
      </c>
      <c r="F20" s="582">
        <v>0.28999999999999998</v>
      </c>
      <c r="G20" s="579">
        <f>(Tabela252[[#This Row],[2023 anual]]-Tabela252[[#This Row],[2 semestre 2023]])/Tabela252[[#This Row],[2 semestre 2023]]</f>
        <v>3.5714285714285546E-2</v>
      </c>
      <c r="H20" s="581">
        <v>0.34</v>
      </c>
      <c r="I20" s="579">
        <f>(Tabela252[[#This Row],[1 semestre 2024]]-Tabela252[[#This Row],[2023 anual]])/Tabela252[[#This Row],[2023 anual]]</f>
        <v>0.17241379310344845</v>
      </c>
      <c r="J20" s="582">
        <v>0.11</v>
      </c>
      <c r="K20" s="579">
        <f>(Tabela252[[#This Row],[2 semestre 2024]]-Tabela252[[#This Row],[1 semestre 2024]])/Tabela252[[#This Row],[1 semestre 2024]]</f>
        <v>-0.67647058823529416</v>
      </c>
      <c r="L20" s="584">
        <v>0.22</v>
      </c>
      <c r="M20" s="579">
        <f>(Tabela252[[#This Row],[2024 anual]]-Tabela252[[#This Row],[2023 anual]])/Tabela252[[#This Row],[2023 anual]]</f>
        <v>-0.24137931034482754</v>
      </c>
      <c r="N20" s="584"/>
      <c r="O20" s="584">
        <f>(Tabela252[[#This Row],[2024]]-Tabela252[[#This Row],[2024 anual]])/Tabela252[[#This Row],[2024 anual]]</f>
        <v>-1</v>
      </c>
      <c r="AB20" s="555"/>
    </row>
    <row r="21" spans="2:29" ht="14.4" x14ac:dyDescent="0.3">
      <c r="B21" s="558"/>
      <c r="C21" s="556"/>
      <c r="D21" s="556"/>
      <c r="E21" s="559"/>
      <c r="F21" s="556"/>
      <c r="G21" s="559"/>
      <c r="H21" s="556"/>
      <c r="I21" s="559"/>
      <c r="J21" s="556"/>
      <c r="K21" s="165"/>
      <c r="L21" s="165"/>
      <c r="M21" s="165"/>
      <c r="N21" s="588"/>
      <c r="O21" s="373"/>
      <c r="AB21" s="542"/>
    </row>
    <row r="22" spans="2:29" ht="13.2" x14ac:dyDescent="0.25">
      <c r="AB22" s="542"/>
    </row>
    <row r="23" spans="2:29" ht="14.4" x14ac:dyDescent="0.25">
      <c r="Y23" s="560"/>
      <c r="Z23" s="560"/>
    </row>
    <row r="24" spans="2:29" ht="14.4" x14ac:dyDescent="0.25">
      <c r="Y24" s="560"/>
      <c r="Z24" s="560"/>
    </row>
    <row r="25" spans="2:29" ht="14.4" x14ac:dyDescent="0.25">
      <c r="Y25" s="560"/>
      <c r="Z25" s="560"/>
    </row>
    <row r="26" spans="2:29" ht="14.4" x14ac:dyDescent="0.25">
      <c r="Y26" s="560"/>
      <c r="Z26" s="560"/>
    </row>
    <row r="27" spans="2:29" ht="14.4" x14ac:dyDescent="0.25">
      <c r="Y27" s="560"/>
      <c r="Z27" s="560"/>
    </row>
    <row r="28" spans="2:29" ht="22.8" x14ac:dyDescent="0.4">
      <c r="Y28" s="560"/>
      <c r="Z28" s="560"/>
      <c r="AA28" s="561"/>
      <c r="AB28" s="561"/>
      <c r="AC28" s="561"/>
    </row>
    <row r="29" spans="2:29" ht="14.4" x14ac:dyDescent="0.25">
      <c r="Y29" s="560"/>
      <c r="Z29" s="560"/>
    </row>
    <row r="30" spans="2:29" ht="14.4" x14ac:dyDescent="0.25">
      <c r="Y30" s="560"/>
      <c r="Z30" s="560"/>
    </row>
    <row r="31" spans="2:29" ht="14.4" x14ac:dyDescent="0.25">
      <c r="Y31" s="560"/>
      <c r="Z31" s="560"/>
    </row>
    <row r="32" spans="2:29" ht="14.4" x14ac:dyDescent="0.25">
      <c r="Y32" s="560"/>
      <c r="Z32" s="560"/>
    </row>
    <row r="33" spans="25:26" ht="14.4" x14ac:dyDescent="0.25">
      <c r="Y33" s="560"/>
      <c r="Z33" s="560"/>
    </row>
    <row r="34" spans="25:26" ht="14.4" x14ac:dyDescent="0.25">
      <c r="Y34" s="560"/>
      <c r="Z34" s="560"/>
    </row>
    <row r="35" spans="25:26" ht="14.4" x14ac:dyDescent="0.25">
      <c r="Y35" s="560"/>
      <c r="Z35" s="560"/>
    </row>
    <row r="36" spans="25:26" ht="14.4" x14ac:dyDescent="0.25">
      <c r="Y36" s="560"/>
      <c r="Z36" s="560"/>
    </row>
    <row r="37" spans="25:26" ht="14.4" x14ac:dyDescent="0.25">
      <c r="Y37" s="560"/>
      <c r="Z37" s="560"/>
    </row>
    <row r="38" spans="25:26" ht="14.4" x14ac:dyDescent="0.25">
      <c r="Y38" s="560"/>
      <c r="Z38" s="560"/>
    </row>
    <row r="39" spans="25:26" ht="14.4" x14ac:dyDescent="0.25">
      <c r="Y39" s="560"/>
      <c r="Z39" s="560"/>
    </row>
    <row r="40" spans="25:26" ht="14.4" x14ac:dyDescent="0.25">
      <c r="Y40" s="560"/>
      <c r="Z40" s="560"/>
    </row>
    <row r="41" spans="25:26" ht="14.4" x14ac:dyDescent="0.25">
      <c r="Y41" s="560"/>
      <c r="Z41" s="560"/>
    </row>
    <row r="42" spans="25:26" ht="14.4" x14ac:dyDescent="0.25">
      <c r="Y42" s="560"/>
      <c r="Z42" s="560"/>
    </row>
    <row r="43" spans="25:26" ht="14.4" x14ac:dyDescent="0.25">
      <c r="Y43" s="560"/>
      <c r="Z43" s="560"/>
    </row>
    <row r="44" spans="25:26" ht="14.4" x14ac:dyDescent="0.25">
      <c r="Y44" s="560"/>
      <c r="Z44" s="560"/>
    </row>
  </sheetData>
  <mergeCells count="2">
    <mergeCell ref="B1:D1"/>
    <mergeCell ref="O1:AA2"/>
  </mergeCells>
  <conditionalFormatting sqref="C5:E20 G5:K20 M5:M20 C21:M67">
    <cfRule type="cellIs" dxfId="2" priority="2" operator="lessThan">
      <formula>0</formula>
    </cfRule>
  </conditionalFormatting>
  <conditionalFormatting sqref="F5:F20">
    <cfRule type="cellIs" dxfId="1" priority="1" operator="lessThan">
      <formula>0</formula>
    </cfRule>
  </conditionalFormatting>
  <conditionalFormatting sqref="Q23:S44 W23:Y44">
    <cfRule type="cellIs" dxfId="0" priority="3" operator="lessThan">
      <formula>0</formula>
    </cfRule>
  </conditionalFormatting>
  <dataValidations count="8">
    <dataValidation allowBlank="1" showInputMessage="1" showErrorMessage="1" prompt="Os totais reais são calculados automaticamente na coluna abaixo deste título." sqref="D4:M4" xr:uid="{99F502F4-5EB7-4E9A-8629-92DC8FF5BA84}"/>
    <dataValidation allowBlank="1" showInputMessage="1" showErrorMessage="1" prompt="O título desta planilha está nesta célula. Digite a data na célula E1. Os totais do orçamento são calculados automaticamente na tabela Totais, começando pela célula B4" sqref="B2" xr:uid="{D62469B4-3478-4F65-A46D-21C986A48A26}"/>
    <dataValidation allowBlank="1" showInputMessage="1" showErrorMessage="1" prompt="O título desta planilha está nesta célula. Digite a Data na célula à direita. Os totais do orçamento são calculados automaticamente na tabela Totais, começando pela célula B4" sqref="U27:W30 X28:AC28" xr:uid="{F8EC4E7E-FF01-487B-BF3D-2C719C945098}"/>
    <dataValidation allowBlank="1" showInputMessage="1" showErrorMessage="1" prompt="Os totais estimados são calculados automaticamente na coluna abaixo deste título." sqref="C4" xr:uid="{3B04025D-6DED-4E65-B2B8-A6ECC53AE4BB}"/>
    <dataValidation allowBlank="1" showInputMessage="1" showErrorMessage="1" prompt="Os totais estimados e reais de orçamento de renda e despesas são calculados automaticamente a partir de valores inseridos em outras planilhas. O Saldo e a Diferença são ajustados automaticamente" sqref="B4" xr:uid="{5C858E05-C36B-47FB-898F-59E83EE22821}"/>
    <dataValidation allowBlank="1" showInputMessage="1" showErrorMessage="1" prompt="Digite a Data nesta célula. O gráfico de visão geral de orçamento está na célula B9" sqref="X27:Y27" xr:uid="{3FC92B73-6D31-4952-B66D-51D87674B535}"/>
    <dataValidation allowBlank="1" showInputMessage="1" showErrorMessage="1" prompt="Insira o Nome da Empresa nesta célula" sqref="B1 U26" xr:uid="{71741C83-8AEE-4563-AD54-9D4D4676C1D4}"/>
    <dataValidation allowBlank="1" showInputMessage="1" showErrorMessage="1" prompt="Crie um orçamento de negócios mensal nesta pasta de trabalho. A visão geral está nesta planilha. Insira os detalhes da renda em Renda Mensal, Equipe e Despesas Operacionais nas respectivas planilhas" sqref="A1" xr:uid="{EC1D1B23-927A-4F1C-9EA2-0C534ECD0C89}"/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2"/>
  <sheetViews>
    <sheetView zoomScale="90" zoomScaleNormal="90" zoomScalePageLayoutView="90" workbookViewId="0">
      <selection activeCell="H27" sqref="H27:H28"/>
    </sheetView>
  </sheetViews>
  <sheetFormatPr defaultColWidth="8.88671875" defaultRowHeight="13.2" x14ac:dyDescent="0.25"/>
  <cols>
    <col min="1" max="1" width="37.44140625" customWidth="1"/>
    <col min="2" max="2" width="12.6640625" bestFit="1" customWidth="1"/>
    <col min="3" max="3" width="9" customWidth="1"/>
    <col min="4" max="4" width="16.88671875" bestFit="1" customWidth="1"/>
    <col min="5" max="5" width="15.33203125" bestFit="1" customWidth="1"/>
    <col min="6" max="6" width="11.33203125" bestFit="1" customWidth="1"/>
  </cols>
  <sheetData>
    <row r="1" spans="1:6" ht="24" thickBot="1" x14ac:dyDescent="0.35">
      <c r="A1" s="62" t="s">
        <v>110</v>
      </c>
      <c r="B1" s="610" t="s">
        <v>103</v>
      </c>
      <c r="C1" s="611"/>
      <c r="D1" s="612"/>
      <c r="E1" s="63" t="s">
        <v>111</v>
      </c>
      <c r="F1" s="64"/>
    </row>
    <row r="2" spans="1:6" ht="21.6" thickBot="1" x14ac:dyDescent="0.35">
      <c r="A2" s="65" t="s">
        <v>112</v>
      </c>
      <c r="B2" s="613" t="s">
        <v>113</v>
      </c>
      <c r="C2" s="614"/>
      <c r="D2" s="615"/>
      <c r="E2" s="66">
        <f>'2020'!Z2</f>
        <v>94292.550833333342</v>
      </c>
    </row>
    <row r="3" spans="1:6" ht="16.2" thickBot="1" x14ac:dyDescent="0.35">
      <c r="A3" s="616" t="s">
        <v>114</v>
      </c>
      <c r="B3" s="613" t="s">
        <v>115</v>
      </c>
      <c r="C3" s="614"/>
      <c r="D3" s="615"/>
      <c r="E3" s="67">
        <f>'2020'!AA6</f>
        <v>0.11848823936348239</v>
      </c>
    </row>
    <row r="4" spans="1:6" ht="16.2" thickBot="1" x14ac:dyDescent="0.35">
      <c r="A4" s="617"/>
      <c r="B4" s="613" t="s">
        <v>116</v>
      </c>
      <c r="C4" s="614"/>
      <c r="D4" s="615"/>
      <c r="E4" s="68">
        <f>'2020'!Z15</f>
        <v>46021.158333333333</v>
      </c>
    </row>
    <row r="5" spans="1:6" ht="21.6" thickBot="1" x14ac:dyDescent="0.35">
      <c r="A5" s="69" t="s">
        <v>117</v>
      </c>
      <c r="B5" s="607" t="s">
        <v>11</v>
      </c>
      <c r="C5" s="608"/>
      <c r="D5" s="609"/>
      <c r="E5" s="70">
        <v>0.1</v>
      </c>
      <c r="F5" s="64"/>
    </row>
    <row r="6" spans="1:6" ht="21.6" thickBot="1" x14ac:dyDescent="0.35">
      <c r="A6" s="71"/>
      <c r="B6" s="607" t="s">
        <v>10</v>
      </c>
      <c r="C6" s="608"/>
      <c r="D6" s="609"/>
      <c r="E6" s="72">
        <v>0.5</v>
      </c>
      <c r="F6" s="64"/>
    </row>
    <row r="7" spans="1:6" ht="32.25" customHeight="1" thickBot="1" x14ac:dyDescent="0.35">
      <c r="A7" s="620" t="s">
        <v>0</v>
      </c>
      <c r="B7" s="622" t="s">
        <v>12</v>
      </c>
      <c r="C7" s="623"/>
      <c r="D7" s="624"/>
      <c r="E7" s="73">
        <v>0</v>
      </c>
    </row>
    <row r="8" spans="1:6" ht="16.2" thickBot="1" x14ac:dyDescent="0.35">
      <c r="A8" s="621"/>
      <c r="B8" s="607" t="s">
        <v>13</v>
      </c>
      <c r="C8" s="608"/>
      <c r="D8" s="609"/>
      <c r="E8" s="74">
        <v>10000</v>
      </c>
      <c r="F8" s="64"/>
    </row>
    <row r="9" spans="1:6" ht="18" thickBot="1" x14ac:dyDescent="0.3">
      <c r="A9" s="625" t="s">
        <v>104</v>
      </c>
      <c r="B9" s="628" t="s">
        <v>1</v>
      </c>
      <c r="C9" s="629"/>
      <c r="D9" s="630"/>
      <c r="E9" s="75">
        <f>D20/B20-1</f>
        <v>0.81191688840356857</v>
      </c>
    </row>
    <row r="10" spans="1:6" ht="18" thickBot="1" x14ac:dyDescent="0.3">
      <c r="A10" s="626"/>
      <c r="B10" s="628" t="str">
        <f>IF(E10&gt;0,"AUMENTO NO RESULTADO DE","REDUÇÃO NO RESULTADO DE")</f>
        <v>AUMENTO NO RESULTADO DE</v>
      </c>
      <c r="C10" s="629"/>
      <c r="D10" s="630"/>
      <c r="E10" s="76">
        <f>D20-B20</f>
        <v>30121.170000000006</v>
      </c>
    </row>
    <row r="11" spans="1:6" ht="35.25" customHeight="1" thickBot="1" x14ac:dyDescent="0.3">
      <c r="A11" s="626"/>
      <c r="B11" s="622" t="s">
        <v>2</v>
      </c>
      <c r="C11" s="623"/>
      <c r="D11" s="624"/>
      <c r="E11" s="77">
        <f>E12/E2</f>
        <v>0.12030799930594313</v>
      </c>
    </row>
    <row r="12" spans="1:6" ht="28.5" customHeight="1" thickBot="1" x14ac:dyDescent="0.3">
      <c r="A12" s="627"/>
      <c r="B12" s="622" t="s">
        <v>3</v>
      </c>
      <c r="C12" s="623"/>
      <c r="D12" s="624"/>
      <c r="E12" s="76">
        <f>E8/C18</f>
        <v>11344.148140212275</v>
      </c>
      <c r="F12" s="78"/>
    </row>
    <row r="13" spans="1:6" ht="16.2" thickBot="1" x14ac:dyDescent="0.35">
      <c r="A13" s="79"/>
      <c r="B13" s="80"/>
      <c r="C13" s="64"/>
    </row>
    <row r="14" spans="1:6" ht="24" thickBot="1" x14ac:dyDescent="0.3">
      <c r="A14" s="618" t="s">
        <v>4</v>
      </c>
      <c r="B14" s="610" t="s">
        <v>110</v>
      </c>
      <c r="C14" s="611"/>
      <c r="D14" s="611"/>
      <c r="E14" s="612"/>
    </row>
    <row r="15" spans="1:6" ht="21.6" thickBot="1" x14ac:dyDescent="0.3">
      <c r="A15" s="619"/>
      <c r="B15" s="81" t="s">
        <v>5</v>
      </c>
      <c r="C15" s="82" t="s">
        <v>32</v>
      </c>
      <c r="D15" s="83" t="s">
        <v>117</v>
      </c>
      <c r="E15" s="84" t="s">
        <v>32</v>
      </c>
    </row>
    <row r="16" spans="1:6" ht="15.6" x14ac:dyDescent="0.3">
      <c r="A16" s="85" t="s">
        <v>6</v>
      </c>
      <c r="B16" s="86">
        <f>E2</f>
        <v>94292.550833333342</v>
      </c>
      <c r="C16" s="87">
        <f>$B$16/B16</f>
        <v>1</v>
      </c>
      <c r="D16" s="88">
        <v>140000</v>
      </c>
      <c r="E16" s="89">
        <v>1</v>
      </c>
    </row>
    <row r="17" spans="1:6" ht="15.6" x14ac:dyDescent="0.3">
      <c r="A17" s="90" t="s">
        <v>7</v>
      </c>
      <c r="B17" s="91">
        <f>B16*C17</f>
        <v>11172.558333333332</v>
      </c>
      <c r="C17" s="92">
        <f>E3</f>
        <v>0.11848823936348239</v>
      </c>
      <c r="D17" s="93">
        <f>C17*D16-(C17*D16-B17)+B16*C17*E6-C17*E7*D16</f>
        <v>16758.837499999998</v>
      </c>
      <c r="E17" s="94">
        <f>C17</f>
        <v>0.11848823936348239</v>
      </c>
      <c r="F17" s="95"/>
    </row>
    <row r="18" spans="1:6" ht="15.6" x14ac:dyDescent="0.3">
      <c r="A18" s="90" t="s">
        <v>8</v>
      </c>
      <c r="B18" s="91">
        <f>B16-B17</f>
        <v>83119.992500000008</v>
      </c>
      <c r="C18" s="92">
        <f>C16-C17</f>
        <v>0.88151176063651759</v>
      </c>
      <c r="D18" s="93">
        <f>D16-D17</f>
        <v>123241.16250000001</v>
      </c>
      <c r="E18" s="94">
        <f>E16-E17</f>
        <v>0.88151176063651759</v>
      </c>
    </row>
    <row r="19" spans="1:6" ht="15.6" x14ac:dyDescent="0.3">
      <c r="A19" s="90" t="s">
        <v>116</v>
      </c>
      <c r="B19" s="91">
        <f>E4</f>
        <v>46021.158333333333</v>
      </c>
      <c r="C19" s="92">
        <f>B19/B16</f>
        <v>0.48806780521483573</v>
      </c>
      <c r="D19" s="93">
        <f>B19+E8</f>
        <v>56021.158333333333</v>
      </c>
      <c r="E19" s="94">
        <f>D19/D16</f>
        <v>0.40015113095238097</v>
      </c>
    </row>
    <row r="20" spans="1:6" ht="16.2" thickBot="1" x14ac:dyDescent="0.35">
      <c r="A20" s="96" t="s">
        <v>9</v>
      </c>
      <c r="B20" s="97">
        <f>B18-B19</f>
        <v>37098.834166666675</v>
      </c>
      <c r="C20" s="98">
        <f>B20/B16</f>
        <v>0.39344395542168187</v>
      </c>
      <c r="D20" s="99">
        <f>D18-D19</f>
        <v>67220.00416666668</v>
      </c>
      <c r="E20" s="100">
        <f>D20/D16</f>
        <v>0.48014288690476198</v>
      </c>
    </row>
    <row r="22" spans="1:6" x14ac:dyDescent="0.25">
      <c r="D22" s="101"/>
    </row>
  </sheetData>
  <mergeCells count="17">
    <mergeCell ref="A14:A15"/>
    <mergeCell ref="B14:E14"/>
    <mergeCell ref="B6:D6"/>
    <mergeCell ref="A7:A8"/>
    <mergeCell ref="B7:D7"/>
    <mergeCell ref="B8:D8"/>
    <mergeCell ref="A9:A12"/>
    <mergeCell ref="B9:D9"/>
    <mergeCell ref="B10:D10"/>
    <mergeCell ref="B11:D11"/>
    <mergeCell ref="B12:D12"/>
    <mergeCell ref="B5:D5"/>
    <mergeCell ref="B1:D1"/>
    <mergeCell ref="B2:D2"/>
    <mergeCell ref="A3:A4"/>
    <mergeCell ref="B3:D3"/>
    <mergeCell ref="B4:D4"/>
  </mergeCells>
  <phoneticPr fontId="32" type="noConversion"/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1:AL55"/>
  <sheetViews>
    <sheetView showGridLines="0" zoomScaleNormal="100" workbookViewId="0">
      <pane xSplit="1" ySplit="1" topLeftCell="O21" activePane="bottomRight" state="frozen"/>
      <selection pane="topRight" activeCell="B1" sqref="B1"/>
      <selection pane="bottomLeft" activeCell="A2" sqref="A2"/>
      <selection pane="bottomRight" activeCell="A29" sqref="A29:XFD30"/>
    </sheetView>
  </sheetViews>
  <sheetFormatPr defaultColWidth="28.88671875" defaultRowHeight="13.2" x14ac:dyDescent="0.25"/>
  <cols>
    <col min="1" max="1" width="30.44140625" style="105" customWidth="1"/>
    <col min="2" max="2" width="10.88671875" style="105" customWidth="1"/>
    <col min="3" max="3" width="7.88671875" style="105" customWidth="1"/>
    <col min="4" max="4" width="11.44140625" style="105" customWidth="1"/>
    <col min="5" max="5" width="7" style="105" customWidth="1"/>
    <col min="6" max="6" width="12.44140625" style="105" customWidth="1"/>
    <col min="7" max="7" width="7.109375" style="105" customWidth="1"/>
    <col min="8" max="8" width="11.5546875" style="105" customWidth="1"/>
    <col min="9" max="9" width="7.109375" style="105" customWidth="1"/>
    <col min="10" max="10" width="11" style="105" customWidth="1"/>
    <col min="11" max="11" width="8.33203125" style="105" customWidth="1"/>
    <col min="12" max="12" width="11.109375" style="105" customWidth="1"/>
    <col min="13" max="13" width="8.6640625" style="105" customWidth="1"/>
    <col min="14" max="14" width="12.109375" style="105" customWidth="1"/>
    <col min="15" max="15" width="8.88671875" style="105" bestFit="1" customWidth="1"/>
    <col min="16" max="16" width="12.44140625" style="105" customWidth="1"/>
    <col min="17" max="17" width="8.33203125" style="105" customWidth="1"/>
    <col min="18" max="18" width="12.109375" style="105" customWidth="1"/>
    <col min="19" max="19" width="8.33203125" style="105" customWidth="1"/>
    <col min="20" max="20" width="10.44140625" style="105" customWidth="1"/>
    <col min="21" max="21" width="9.109375" style="105" customWidth="1"/>
    <col min="22" max="22" width="12.109375" style="105" customWidth="1"/>
    <col min="23" max="23" width="8.88671875" style="105" bestFit="1" customWidth="1"/>
    <col min="24" max="24" width="12.33203125" style="105" customWidth="1"/>
    <col min="25" max="25" width="8.33203125" style="105" customWidth="1"/>
    <col min="26" max="26" width="4.88671875" style="105" hidden="1" customWidth="1"/>
    <col min="27" max="27" width="8.33203125" style="105" hidden="1" customWidth="1"/>
    <col min="28" max="28" width="4.88671875" style="105" hidden="1" customWidth="1"/>
    <col min="29" max="29" width="8.33203125" style="105" hidden="1" customWidth="1"/>
    <col min="30" max="30" width="10.44140625" style="105" customWidth="1"/>
    <col min="31" max="31" width="9.109375" style="105" customWidth="1"/>
    <col min="32" max="34" width="15.5546875" style="105" customWidth="1"/>
    <col min="35" max="35" width="8.33203125" style="105" customWidth="1"/>
    <col min="36" max="36" width="8" style="105" customWidth="1"/>
    <col min="37" max="37" width="30.6640625" style="105" customWidth="1"/>
    <col min="38" max="38" width="42.88671875" style="105" customWidth="1"/>
    <col min="39" max="16384" width="28.88671875" style="105"/>
  </cols>
  <sheetData>
    <row r="1" spans="1:38" ht="13.8" thickBot="1" x14ac:dyDescent="0.3">
      <c r="A1" s="114"/>
      <c r="B1" s="115" t="s">
        <v>31</v>
      </c>
      <c r="C1" s="112" t="s">
        <v>32</v>
      </c>
      <c r="D1" s="115" t="s">
        <v>33</v>
      </c>
      <c r="E1" s="112" t="s">
        <v>32</v>
      </c>
      <c r="F1" s="115" t="s">
        <v>34</v>
      </c>
      <c r="G1" s="112" t="s">
        <v>32</v>
      </c>
      <c r="H1" s="115" t="s">
        <v>35</v>
      </c>
      <c r="I1" s="112" t="s">
        <v>32</v>
      </c>
      <c r="J1" s="115" t="s">
        <v>36</v>
      </c>
      <c r="K1" s="112" t="s">
        <v>32</v>
      </c>
      <c r="L1" s="115" t="s">
        <v>37</v>
      </c>
      <c r="M1" s="112" t="s">
        <v>32</v>
      </c>
      <c r="N1" s="115" t="s">
        <v>38</v>
      </c>
      <c r="O1" s="112" t="s">
        <v>32</v>
      </c>
      <c r="P1" s="115" t="s">
        <v>39</v>
      </c>
      <c r="Q1" s="112" t="s">
        <v>32</v>
      </c>
      <c r="R1" s="115" t="s">
        <v>40</v>
      </c>
      <c r="S1" s="112" t="s">
        <v>32</v>
      </c>
      <c r="T1" s="115" t="s">
        <v>41</v>
      </c>
      <c r="U1" s="112" t="s">
        <v>32</v>
      </c>
      <c r="V1" s="115" t="s">
        <v>101</v>
      </c>
      <c r="W1" s="112" t="s">
        <v>32</v>
      </c>
      <c r="X1" s="115" t="s">
        <v>102</v>
      </c>
      <c r="Y1" s="112" t="s">
        <v>32</v>
      </c>
      <c r="Z1" s="102" t="s">
        <v>31</v>
      </c>
      <c r="AA1" s="103" t="s">
        <v>32</v>
      </c>
      <c r="AB1" s="102" t="s">
        <v>33</v>
      </c>
      <c r="AC1" s="103" t="s">
        <v>32</v>
      </c>
      <c r="AD1" s="132" t="s">
        <v>43</v>
      </c>
      <c r="AE1" s="133" t="s">
        <v>32</v>
      </c>
      <c r="AF1" s="138" t="s">
        <v>132</v>
      </c>
      <c r="AG1" s="135"/>
      <c r="AH1" s="134" t="s">
        <v>44</v>
      </c>
      <c r="AJ1" s="104" t="s">
        <v>45</v>
      </c>
    </row>
    <row r="2" spans="1:38" ht="14.4" thickBot="1" x14ac:dyDescent="0.3">
      <c r="A2" s="127" t="s">
        <v>6</v>
      </c>
      <c r="B2" s="117">
        <f>SUM(B3:B5)</f>
        <v>0</v>
      </c>
      <c r="C2" s="116">
        <v>1</v>
      </c>
      <c r="D2" s="117">
        <f>SUM(D3:D5)</f>
        <v>0</v>
      </c>
      <c r="E2" s="116">
        <v>1</v>
      </c>
      <c r="F2" s="117">
        <f>SUM(F3:F5)</f>
        <v>0</v>
      </c>
      <c r="G2" s="116">
        <v>1</v>
      </c>
      <c r="H2" s="117">
        <f>SUM(H3:H5)</f>
        <v>0</v>
      </c>
      <c r="I2" s="116">
        <v>1</v>
      </c>
      <c r="J2" s="117">
        <f>SUM(J3:J5)</f>
        <v>0</v>
      </c>
      <c r="K2" s="116">
        <v>1</v>
      </c>
      <c r="L2" s="117">
        <f>SUM(L3:L5)</f>
        <v>583.02</v>
      </c>
      <c r="M2" s="116">
        <v>1</v>
      </c>
      <c r="N2" s="117">
        <f>SUM(N3:N4)</f>
        <v>19632.170000000002</v>
      </c>
      <c r="O2" s="116">
        <v>1</v>
      </c>
      <c r="P2" s="117">
        <f>SUM(P3:P4)</f>
        <v>79334.94</v>
      </c>
      <c r="Q2" s="116">
        <v>1</v>
      </c>
      <c r="R2" s="117">
        <f>SUM(R3:R4)</f>
        <v>73088.25</v>
      </c>
      <c r="S2" s="116">
        <v>1</v>
      </c>
      <c r="T2" s="117">
        <f>SUM(T3:T4)</f>
        <v>66452.429999999993</v>
      </c>
      <c r="U2" s="116">
        <v>1</v>
      </c>
      <c r="V2" s="117">
        <f>SUM(V3:V4)</f>
        <v>59367.91</v>
      </c>
      <c r="W2" s="116">
        <v>1</v>
      </c>
      <c r="X2" s="117">
        <f>SUM(X3:X5)</f>
        <v>71469.7</v>
      </c>
      <c r="Y2" s="116">
        <v>1</v>
      </c>
      <c r="Z2" s="117">
        <f>SUM(Z3:Z5)</f>
        <v>0</v>
      </c>
      <c r="AA2" s="116">
        <v>1</v>
      </c>
      <c r="AB2" s="117">
        <f>SUM(AB3:AB5)</f>
        <v>0</v>
      </c>
      <c r="AC2" s="116">
        <v>1</v>
      </c>
      <c r="AD2" s="117">
        <f>(B2+D2+F2+H2+J2+L2+N2+P2+R2+T2+V2+X2+Z2+AB2)/AJ$2</f>
        <v>52846.917142857143</v>
      </c>
      <c r="AE2" s="128">
        <v>1</v>
      </c>
      <c r="AF2" s="117">
        <f>AD2*7</f>
        <v>369928.42</v>
      </c>
      <c r="AG2" s="129">
        <v>1</v>
      </c>
      <c r="AH2" s="117">
        <f>AD2*12</f>
        <v>634163.00571428565</v>
      </c>
      <c r="AJ2" s="130">
        <f>COUNTIF(B2:AB2,"&gt;1")</f>
        <v>7</v>
      </c>
    </row>
    <row r="3" spans="1:38" ht="14.4" thickBot="1" x14ac:dyDescent="0.3">
      <c r="A3" s="106" t="s">
        <v>27</v>
      </c>
      <c r="B3" s="107"/>
      <c r="C3" s="122" t="e">
        <f t="shared" ref="C3:E17" si="0">B3/B$2</f>
        <v>#DIV/0!</v>
      </c>
      <c r="D3" s="107"/>
      <c r="E3" s="122" t="e">
        <f t="shared" si="0"/>
        <v>#DIV/0!</v>
      </c>
      <c r="F3" s="107"/>
      <c r="G3" s="122" t="e">
        <f t="shared" ref="G3:G47" si="1">F3/F$2</f>
        <v>#DIV/0!</v>
      </c>
      <c r="H3" s="107"/>
      <c r="I3" s="122" t="e">
        <f t="shared" ref="I3:I47" si="2">H3/H$2</f>
        <v>#DIV/0!</v>
      </c>
      <c r="J3" s="107"/>
      <c r="K3" s="122" t="e">
        <f t="shared" ref="K3:K47" si="3">J3/J$2</f>
        <v>#DIV/0!</v>
      </c>
      <c r="L3" s="107">
        <v>583.02</v>
      </c>
      <c r="M3" s="122">
        <f t="shared" ref="M3:M47" si="4">L3/L$2</f>
        <v>1</v>
      </c>
      <c r="N3" s="107">
        <v>18428.04</v>
      </c>
      <c r="O3" s="122">
        <f t="shared" ref="O3:O47" si="5">N3/N$2</f>
        <v>0.93866546591640143</v>
      </c>
      <c r="P3" s="107">
        <v>78130.81</v>
      </c>
      <c r="Q3" s="122">
        <f t="shared" ref="Q3:Q47" si="6">P3/P$2</f>
        <v>0.98482219813867633</v>
      </c>
      <c r="R3" s="107">
        <v>53088.25</v>
      </c>
      <c r="S3" s="122">
        <f t="shared" ref="S3:S47" si="7">R3/R$2</f>
        <v>0.72635820395207162</v>
      </c>
      <c r="T3" s="107">
        <v>66452.429999999993</v>
      </c>
      <c r="U3" s="122">
        <f t="shared" ref="U3:U47" si="8">T3/T$2</f>
        <v>1</v>
      </c>
      <c r="V3" s="107">
        <v>47367.91</v>
      </c>
      <c r="W3" s="122">
        <f>V3/V$2</f>
        <v>0.79787060046412284</v>
      </c>
      <c r="X3" s="107">
        <v>71441.47</v>
      </c>
      <c r="Y3" s="122">
        <f>X3/X$2</f>
        <v>0.99960500743671798</v>
      </c>
      <c r="Z3" s="123"/>
      <c r="AA3" s="122" t="e">
        <f>Z3/Z$2</f>
        <v>#DIV/0!</v>
      </c>
      <c r="AB3" s="123"/>
      <c r="AC3" s="122" t="e">
        <f t="shared" ref="AC3:AE5" si="9">AB3/AB$2</f>
        <v>#DIV/0!</v>
      </c>
      <c r="AD3" s="121">
        <f t="shared" ref="AD3:AD21" si="10">(B3+D3+F3+H3+J3+L3+N3+P3+R3+T3+V3+X3+Z3+AB3)/AJ$2</f>
        <v>47927.418571428563</v>
      </c>
      <c r="AE3" s="122">
        <f t="shared" si="9"/>
        <v>0.90691039634100012</v>
      </c>
      <c r="AF3" s="124">
        <f>L3+N3+P3+R3+T3+V3+X3</f>
        <v>335491.92999999993</v>
      </c>
      <c r="AG3" s="125">
        <f>AF3/AF$2</f>
        <v>0.90691039634100012</v>
      </c>
      <c r="AH3" s="124">
        <f>AD3*12</f>
        <v>575129.02285714273</v>
      </c>
      <c r="AJ3" s="113"/>
      <c r="AL3" s="141"/>
    </row>
    <row r="4" spans="1:38" ht="14.4" thickBot="1" x14ac:dyDescent="0.3">
      <c r="A4" s="106" t="s">
        <v>53</v>
      </c>
      <c r="B4" s="107"/>
      <c r="C4" s="122" t="e">
        <f t="shared" si="0"/>
        <v>#DIV/0!</v>
      </c>
      <c r="D4" s="107"/>
      <c r="E4" s="122" t="e">
        <f t="shared" si="0"/>
        <v>#DIV/0!</v>
      </c>
      <c r="F4" s="107"/>
      <c r="G4" s="122" t="e">
        <f t="shared" si="1"/>
        <v>#DIV/0!</v>
      </c>
      <c r="H4" s="107"/>
      <c r="I4" s="122" t="e">
        <f t="shared" si="2"/>
        <v>#DIV/0!</v>
      </c>
      <c r="J4" s="107"/>
      <c r="K4" s="122" t="e">
        <f t="shared" si="3"/>
        <v>#DIV/0!</v>
      </c>
      <c r="L4" s="107"/>
      <c r="M4" s="122">
        <f t="shared" si="4"/>
        <v>0</v>
      </c>
      <c r="N4" s="107">
        <v>1204.1300000000001</v>
      </c>
      <c r="O4" s="122">
        <f t="shared" si="5"/>
        <v>6.1334534083598499E-2</v>
      </c>
      <c r="P4" s="107">
        <v>1204.1300000000001</v>
      </c>
      <c r="Q4" s="122">
        <f t="shared" si="6"/>
        <v>1.5177801861323649E-2</v>
      </c>
      <c r="R4" s="107">
        <v>20000</v>
      </c>
      <c r="S4" s="122">
        <f t="shared" si="7"/>
        <v>0.27364179604792838</v>
      </c>
      <c r="T4" s="107"/>
      <c r="U4" s="122">
        <f t="shared" si="8"/>
        <v>0</v>
      </c>
      <c r="V4" s="107">
        <v>12000</v>
      </c>
      <c r="W4" s="122">
        <f>V4/V$2</f>
        <v>0.20212939953587719</v>
      </c>
      <c r="X4" s="107">
        <v>28.23</v>
      </c>
      <c r="Y4" s="122">
        <f>X4/X$2</f>
        <v>3.949925632820622E-4</v>
      </c>
      <c r="Z4" s="123"/>
      <c r="AA4" s="122" t="e">
        <f>Z4/Z$2</f>
        <v>#DIV/0!</v>
      </c>
      <c r="AB4" s="123"/>
      <c r="AC4" s="122" t="e">
        <f t="shared" si="9"/>
        <v>#DIV/0!</v>
      </c>
      <c r="AD4" s="121">
        <f t="shared" si="10"/>
        <v>4919.4985714285722</v>
      </c>
      <c r="AE4" s="122">
        <f t="shared" si="9"/>
        <v>9.3089603658999778E-2</v>
      </c>
      <c r="AF4" s="124">
        <f>N4+P4+R4+V4+X4</f>
        <v>34436.490000000005</v>
      </c>
      <c r="AG4" s="125">
        <f>AF4/AF$2</f>
        <v>9.3089603658999778E-2</v>
      </c>
      <c r="AH4" s="124">
        <f>AD4*12</f>
        <v>59033.982857142866</v>
      </c>
      <c r="AJ4" s="113"/>
      <c r="AL4" s="141"/>
    </row>
    <row r="5" spans="1:38" ht="14.4" thickBot="1" x14ac:dyDescent="0.3">
      <c r="A5" s="106"/>
      <c r="B5" s="107"/>
      <c r="C5" s="122" t="e">
        <f t="shared" si="0"/>
        <v>#DIV/0!</v>
      </c>
      <c r="D5" s="107"/>
      <c r="E5" s="122" t="e">
        <f t="shared" si="0"/>
        <v>#DIV/0!</v>
      </c>
      <c r="F5" s="107"/>
      <c r="G5" s="122" t="e">
        <f t="shared" si="1"/>
        <v>#DIV/0!</v>
      </c>
      <c r="H5" s="107"/>
      <c r="I5" s="122" t="e">
        <f t="shared" si="2"/>
        <v>#DIV/0!</v>
      </c>
      <c r="J5" s="107"/>
      <c r="K5" s="122" t="e">
        <f t="shared" si="3"/>
        <v>#DIV/0!</v>
      </c>
      <c r="L5" s="107"/>
      <c r="M5" s="122">
        <f t="shared" si="4"/>
        <v>0</v>
      </c>
      <c r="N5" s="107"/>
      <c r="O5" s="122">
        <f t="shared" si="5"/>
        <v>0</v>
      </c>
      <c r="P5" s="107"/>
      <c r="Q5" s="122">
        <f t="shared" si="6"/>
        <v>0</v>
      </c>
      <c r="R5" s="107"/>
      <c r="S5" s="122">
        <f t="shared" si="7"/>
        <v>0</v>
      </c>
      <c r="T5" s="107"/>
      <c r="U5" s="122">
        <f t="shared" si="8"/>
        <v>0</v>
      </c>
      <c r="V5" s="107"/>
      <c r="W5" s="122">
        <f>V5/V$2</f>
        <v>0</v>
      </c>
      <c r="X5" s="107"/>
      <c r="Y5" s="122">
        <f>X5/X$2</f>
        <v>0</v>
      </c>
      <c r="Z5" s="123"/>
      <c r="AA5" s="122" t="e">
        <f>Z5/Z$2</f>
        <v>#DIV/0!</v>
      </c>
      <c r="AB5" s="123"/>
      <c r="AC5" s="122" t="e">
        <f t="shared" si="9"/>
        <v>#DIV/0!</v>
      </c>
      <c r="AD5" s="121">
        <f t="shared" si="10"/>
        <v>0</v>
      </c>
      <c r="AE5" s="122">
        <f t="shared" si="9"/>
        <v>0</v>
      </c>
      <c r="AF5" s="124">
        <f>AD5*7</f>
        <v>0</v>
      </c>
      <c r="AG5" s="125">
        <f>AF5/AF$2</f>
        <v>0</v>
      </c>
      <c r="AH5" s="124">
        <f>AD5*12</f>
        <v>0</v>
      </c>
      <c r="AJ5" s="113"/>
      <c r="AL5" s="141"/>
    </row>
    <row r="6" spans="1:38" ht="13.8" thickBot="1" x14ac:dyDescent="0.3">
      <c r="A6" s="127" t="s">
        <v>105</v>
      </c>
      <c r="B6" s="117">
        <f>SUM(B7:B17)</f>
        <v>0</v>
      </c>
      <c r="C6" s="116" t="e">
        <f t="shared" si="0"/>
        <v>#DIV/0!</v>
      </c>
      <c r="D6" s="117">
        <f>SUM(D7:D17)</f>
        <v>0</v>
      </c>
      <c r="E6" s="116" t="e">
        <f t="shared" si="0"/>
        <v>#DIV/0!</v>
      </c>
      <c r="F6" s="117">
        <f>SUM(F7:F17)</f>
        <v>0</v>
      </c>
      <c r="G6" s="116" t="e">
        <f t="shared" si="1"/>
        <v>#DIV/0!</v>
      </c>
      <c r="H6" s="117">
        <f>SUM(H7:H17)</f>
        <v>581.29999999999995</v>
      </c>
      <c r="I6" s="116" t="e">
        <f t="shared" si="2"/>
        <v>#DIV/0!</v>
      </c>
      <c r="J6" s="117">
        <f>SUM(J7:J17)</f>
        <v>239.17</v>
      </c>
      <c r="K6" s="116" t="e">
        <f t="shared" si="3"/>
        <v>#DIV/0!</v>
      </c>
      <c r="L6" s="117">
        <f>SUM(L7:L17)</f>
        <v>756.36</v>
      </c>
      <c r="M6" s="116">
        <f t="shared" si="4"/>
        <v>1.297313985798086</v>
      </c>
      <c r="N6" s="117">
        <f>SUM(N7:N17)</f>
        <v>1264.1400000000001</v>
      </c>
      <c r="O6" s="116">
        <f t="shared" si="5"/>
        <v>6.4391251705746236E-2</v>
      </c>
      <c r="P6" s="117">
        <f>SUM(P7:P17)</f>
        <v>3620.4800000000005</v>
      </c>
      <c r="Q6" s="116">
        <f t="shared" si="6"/>
        <v>4.5635378308725015E-2</v>
      </c>
      <c r="R6" s="117">
        <f>SUM(R7:R17)</f>
        <v>6069.64</v>
      </c>
      <c r="S6" s="116">
        <f t="shared" si="7"/>
        <v>8.3045359548217401E-2</v>
      </c>
      <c r="T6" s="117">
        <f>SUM(T7:T17)</f>
        <v>5968.32</v>
      </c>
      <c r="U6" s="116">
        <f t="shared" si="8"/>
        <v>8.9813419915569681E-2</v>
      </c>
      <c r="V6" s="117">
        <f>SUM(V7:V16)</f>
        <v>6040.1299999999992</v>
      </c>
      <c r="W6" s="116">
        <f>V6/V$2</f>
        <v>0.10174065416821981</v>
      </c>
      <c r="X6" s="117">
        <f>SUM(X7:X17)</f>
        <v>7197.99</v>
      </c>
      <c r="Y6" s="116">
        <f>X6/X$2</f>
        <v>0.10071386895425614</v>
      </c>
      <c r="Z6" s="117">
        <f>SUM(Z7:Z11)</f>
        <v>0</v>
      </c>
      <c r="AA6" s="116" t="e">
        <f>Z6/Z$2</f>
        <v>#DIV/0!</v>
      </c>
      <c r="AB6" s="117">
        <f>SUM(AB7:AB11)</f>
        <v>0</v>
      </c>
      <c r="AC6" s="116" t="e">
        <f>AB6/AB$2</f>
        <v>#DIV/0!</v>
      </c>
      <c r="AD6" s="117">
        <f t="shared" si="10"/>
        <v>4533.9328571428568</v>
      </c>
      <c r="AE6" s="116">
        <f>AD6/AD$2</f>
        <v>8.5793705712040175E-2</v>
      </c>
      <c r="AF6" s="117">
        <f>SUM(AF7:AF17)</f>
        <v>31737.530000000002</v>
      </c>
      <c r="AG6" s="118">
        <f>AF6/AF$3</f>
        <v>9.4599980392971031E-2</v>
      </c>
      <c r="AH6" s="136"/>
      <c r="AJ6" s="111"/>
      <c r="AL6" s="141"/>
    </row>
    <row r="7" spans="1:38" ht="13.8" thickBot="1" x14ac:dyDescent="0.3">
      <c r="A7" s="106" t="s">
        <v>50</v>
      </c>
      <c r="B7" s="107"/>
      <c r="C7" s="122" t="e">
        <f t="shared" si="0"/>
        <v>#DIV/0!</v>
      </c>
      <c r="D7" s="107"/>
      <c r="E7" s="122" t="e">
        <f t="shared" si="0"/>
        <v>#DIV/0!</v>
      </c>
      <c r="F7" s="107"/>
      <c r="G7" s="122" t="e">
        <f t="shared" si="1"/>
        <v>#DIV/0!</v>
      </c>
      <c r="H7" s="107"/>
      <c r="I7" s="122" t="e">
        <f t="shared" si="2"/>
        <v>#DIV/0!</v>
      </c>
      <c r="J7" s="107">
        <v>78.16</v>
      </c>
      <c r="K7" s="122" t="e">
        <f t="shared" si="3"/>
        <v>#DIV/0!</v>
      </c>
      <c r="L7" s="107"/>
      <c r="M7" s="122">
        <f t="shared" si="4"/>
        <v>0</v>
      </c>
      <c r="N7" s="107"/>
      <c r="O7" s="122">
        <f t="shared" si="5"/>
        <v>0</v>
      </c>
      <c r="P7" s="107">
        <v>124.65</v>
      </c>
      <c r="Q7" s="122">
        <f t="shared" si="6"/>
        <v>1.5711866675641275E-3</v>
      </c>
      <c r="R7" s="107">
        <v>549.12</v>
      </c>
      <c r="S7" s="122">
        <f t="shared" si="7"/>
        <v>7.5131091522919208E-3</v>
      </c>
      <c r="T7" s="107">
        <v>190.3</v>
      </c>
      <c r="U7" s="122">
        <f t="shared" si="8"/>
        <v>2.8637026516562304E-3</v>
      </c>
      <c r="V7" s="107">
        <v>155.72999999999999</v>
      </c>
      <c r="W7" s="122">
        <f>V7/V$2</f>
        <v>2.6231342824768462E-3</v>
      </c>
      <c r="X7" s="107"/>
      <c r="Y7" s="122">
        <f>X7/X$2</f>
        <v>0</v>
      </c>
      <c r="Z7" s="123"/>
      <c r="AA7" s="122" t="e">
        <f>Z7/Z$2</f>
        <v>#DIV/0!</v>
      </c>
      <c r="AB7" s="123"/>
      <c r="AC7" s="122" t="e">
        <f>AB7/AB$2</f>
        <v>#DIV/0!</v>
      </c>
      <c r="AD7" s="121">
        <f t="shared" si="10"/>
        <v>156.85142857142858</v>
      </c>
      <c r="AE7" s="122">
        <f>AD7/AD$2</f>
        <v>2.9680336536457514E-3</v>
      </c>
      <c r="AF7" s="126">
        <f>J7+P7+R7+T7+V7</f>
        <v>1097.96</v>
      </c>
      <c r="AG7" s="125">
        <f>AF7/AF$3</f>
        <v>3.2726867677562326E-3</v>
      </c>
      <c r="AH7" s="137"/>
      <c r="AL7" s="141"/>
    </row>
    <row r="8" spans="1:38" ht="13.8" thickBot="1" x14ac:dyDescent="0.3">
      <c r="A8" s="107" t="s">
        <v>17</v>
      </c>
      <c r="B8" s="107"/>
      <c r="C8" s="122" t="e">
        <f t="shared" si="0"/>
        <v>#DIV/0!</v>
      </c>
      <c r="D8" s="107"/>
      <c r="E8" s="122" t="e">
        <f t="shared" si="0"/>
        <v>#DIV/0!</v>
      </c>
      <c r="F8" s="107"/>
      <c r="G8" s="122" t="e">
        <f t="shared" si="1"/>
        <v>#DIV/0!</v>
      </c>
      <c r="H8" s="107">
        <v>581.29999999999995</v>
      </c>
      <c r="I8" s="122" t="e">
        <f t="shared" si="2"/>
        <v>#DIV/0!</v>
      </c>
      <c r="J8" s="107">
        <v>161.01</v>
      </c>
      <c r="K8" s="122" t="e">
        <f t="shared" si="3"/>
        <v>#DIV/0!</v>
      </c>
      <c r="L8" s="107"/>
      <c r="M8" s="122">
        <f t="shared" si="4"/>
        <v>0</v>
      </c>
      <c r="N8" s="107"/>
      <c r="O8" s="122">
        <f t="shared" si="5"/>
        <v>0</v>
      </c>
      <c r="P8" s="107">
        <v>624.44000000000005</v>
      </c>
      <c r="Q8" s="122">
        <f t="shared" si="6"/>
        <v>7.8709330340452771E-3</v>
      </c>
      <c r="R8" s="107">
        <v>819.37</v>
      </c>
      <c r="S8" s="122">
        <f t="shared" si="7"/>
        <v>1.1210693921389554E-2</v>
      </c>
      <c r="T8" s="107">
        <v>944.79</v>
      </c>
      <c r="U8" s="122">
        <f t="shared" si="8"/>
        <v>1.4217538771719862E-2</v>
      </c>
      <c r="V8" s="107">
        <v>524.42999999999995</v>
      </c>
      <c r="W8" s="122">
        <f t="shared" ref="W8:W47" si="11">V8/V$2</f>
        <v>8.8335600832166721E-3</v>
      </c>
      <c r="X8" s="107">
        <v>229.61</v>
      </c>
      <c r="Y8" s="122">
        <f t="shared" ref="Y8:Y47" si="12">X8/X$2</f>
        <v>3.2126901330214066E-3</v>
      </c>
      <c r="Z8" s="123"/>
      <c r="AA8" s="122" t="e">
        <f t="shared" ref="AA8:AA47" si="13">Z8/Z$2</f>
        <v>#DIV/0!</v>
      </c>
      <c r="AB8" s="123"/>
      <c r="AC8" s="122" t="e">
        <f t="shared" ref="AC8:AC47" si="14">AB8/AB$2</f>
        <v>#DIV/0!</v>
      </c>
      <c r="AD8" s="121">
        <f t="shared" si="10"/>
        <v>554.99285714285713</v>
      </c>
      <c r="AE8" s="122">
        <f t="shared" ref="AE8:AE17" si="15">AD8/AD$2</f>
        <v>1.0501896556095906E-2</v>
      </c>
      <c r="AF8" s="124">
        <f>H8+J8+P8+R8+T8+V8+X8</f>
        <v>3884.95</v>
      </c>
      <c r="AG8" s="125">
        <f t="shared" ref="AG8:AG17" si="16">AF8/AF$3</f>
        <v>1.1579861250313832E-2</v>
      </c>
      <c r="AH8" s="137"/>
      <c r="AL8" s="141"/>
    </row>
    <row r="9" spans="1:38" ht="13.8" thickBot="1" x14ac:dyDescent="0.3">
      <c r="A9" s="107" t="s">
        <v>121</v>
      </c>
      <c r="B9" s="107"/>
      <c r="C9" s="122" t="e">
        <f t="shared" si="0"/>
        <v>#DIV/0!</v>
      </c>
      <c r="D9" s="107"/>
      <c r="E9" s="122" t="e">
        <f t="shared" si="0"/>
        <v>#DIV/0!</v>
      </c>
      <c r="F9" s="107"/>
      <c r="G9" s="122" t="e">
        <f t="shared" si="1"/>
        <v>#DIV/0!</v>
      </c>
      <c r="H9" s="107"/>
      <c r="I9" s="122" t="e">
        <f t="shared" si="2"/>
        <v>#DIV/0!</v>
      </c>
      <c r="J9" s="107"/>
      <c r="K9" s="122" t="e">
        <f t="shared" si="3"/>
        <v>#DIV/0!</v>
      </c>
      <c r="L9" s="107"/>
      <c r="M9" s="122">
        <f t="shared" si="4"/>
        <v>0</v>
      </c>
      <c r="N9" s="107"/>
      <c r="O9" s="122">
        <f t="shared" si="5"/>
        <v>0</v>
      </c>
      <c r="P9" s="107"/>
      <c r="Q9" s="122">
        <f t="shared" si="6"/>
        <v>0</v>
      </c>
      <c r="R9" s="107">
        <v>20</v>
      </c>
      <c r="S9" s="122">
        <f t="shared" si="7"/>
        <v>2.7364179604792834E-4</v>
      </c>
      <c r="T9" s="107"/>
      <c r="U9" s="122">
        <f t="shared" si="8"/>
        <v>0</v>
      </c>
      <c r="V9" s="107">
        <v>12</v>
      </c>
      <c r="W9" s="122">
        <f t="shared" si="11"/>
        <v>2.021293995358772E-4</v>
      </c>
      <c r="X9" s="107"/>
      <c r="Y9" s="122">
        <f t="shared" si="12"/>
        <v>0</v>
      </c>
      <c r="Z9" s="123"/>
      <c r="AA9" s="122" t="e">
        <f t="shared" si="13"/>
        <v>#DIV/0!</v>
      </c>
      <c r="AB9" s="123"/>
      <c r="AC9" s="122" t="e">
        <f t="shared" si="14"/>
        <v>#DIV/0!</v>
      </c>
      <c r="AD9" s="121">
        <f t="shared" si="10"/>
        <v>4.5714285714285712</v>
      </c>
      <c r="AE9" s="122">
        <f t="shared" si="15"/>
        <v>8.6503221352930921E-5</v>
      </c>
      <c r="AF9" s="124">
        <f>R9+V9</f>
        <v>32</v>
      </c>
      <c r="AG9" s="125">
        <f t="shared" si="16"/>
        <v>9.5382324099420237E-5</v>
      </c>
      <c r="AH9" s="137"/>
      <c r="AK9" s="141"/>
      <c r="AL9" s="141"/>
    </row>
    <row r="10" spans="1:38" ht="13.8" thickBot="1" x14ac:dyDescent="0.3">
      <c r="A10" s="107" t="s">
        <v>51</v>
      </c>
      <c r="B10" s="108"/>
      <c r="C10" s="122" t="e">
        <f t="shared" si="0"/>
        <v>#DIV/0!</v>
      </c>
      <c r="D10" s="108"/>
      <c r="E10" s="122" t="e">
        <f t="shared" si="0"/>
        <v>#DIV/0!</v>
      </c>
      <c r="F10" s="108"/>
      <c r="G10" s="122" t="e">
        <f t="shared" si="1"/>
        <v>#DIV/0!</v>
      </c>
      <c r="H10" s="108"/>
      <c r="I10" s="122" t="e">
        <f t="shared" si="2"/>
        <v>#DIV/0!</v>
      </c>
      <c r="J10" s="108"/>
      <c r="K10" s="122" t="e">
        <f t="shared" si="3"/>
        <v>#DIV/0!</v>
      </c>
      <c r="L10" s="108"/>
      <c r="M10" s="122">
        <f t="shared" si="4"/>
        <v>0</v>
      </c>
      <c r="N10" s="108"/>
      <c r="O10" s="122">
        <f t="shared" si="5"/>
        <v>0</v>
      </c>
      <c r="P10" s="108"/>
      <c r="Q10" s="122">
        <f t="shared" si="6"/>
        <v>0</v>
      </c>
      <c r="R10" s="108">
        <v>226.97</v>
      </c>
      <c r="S10" s="122">
        <f t="shared" si="7"/>
        <v>3.105423922449915E-3</v>
      </c>
      <c r="T10" s="108"/>
      <c r="U10" s="122">
        <f t="shared" si="8"/>
        <v>0</v>
      </c>
      <c r="V10" s="108"/>
      <c r="W10" s="122">
        <f>V10/V$2</f>
        <v>0</v>
      </c>
      <c r="X10" s="107"/>
      <c r="Y10" s="122">
        <f>X10/X$2</f>
        <v>0</v>
      </c>
      <c r="Z10" s="123"/>
      <c r="AA10" s="122" t="e">
        <f>Z10/Z$2</f>
        <v>#DIV/0!</v>
      </c>
      <c r="AB10" s="123"/>
      <c r="AC10" s="122" t="e">
        <f>AB10/AB$2</f>
        <v>#DIV/0!</v>
      </c>
      <c r="AD10" s="121">
        <f t="shared" si="10"/>
        <v>32.424285714285716</v>
      </c>
      <c r="AE10" s="122">
        <f>AD10/AD$2</f>
        <v>6.135511297023354E-4</v>
      </c>
      <c r="AF10" s="124">
        <f>R10</f>
        <v>226.97</v>
      </c>
      <c r="AG10" s="125">
        <f t="shared" si="16"/>
        <v>6.7652894065141909E-4</v>
      </c>
      <c r="AH10" s="137"/>
      <c r="AK10" s="141"/>
      <c r="AL10" s="141"/>
    </row>
    <row r="11" spans="1:38" ht="13.8" thickBot="1" x14ac:dyDescent="0.3">
      <c r="A11" s="131" t="s">
        <v>126</v>
      </c>
      <c r="B11" s="108"/>
      <c r="C11" s="122" t="e">
        <f t="shared" si="0"/>
        <v>#DIV/0!</v>
      </c>
      <c r="D11" s="108"/>
      <c r="E11" s="122" t="e">
        <f t="shared" si="0"/>
        <v>#DIV/0!</v>
      </c>
      <c r="F11" s="108"/>
      <c r="G11" s="122" t="e">
        <f t="shared" si="1"/>
        <v>#DIV/0!</v>
      </c>
      <c r="H11" s="108"/>
      <c r="I11" s="122" t="e">
        <f t="shared" si="2"/>
        <v>#DIV/0!</v>
      </c>
      <c r="J11" s="108"/>
      <c r="K11" s="122" t="e">
        <f t="shared" si="3"/>
        <v>#DIV/0!</v>
      </c>
      <c r="L11" s="108">
        <f>756.36</f>
        <v>756.36</v>
      </c>
      <c r="M11" s="122">
        <f t="shared" si="4"/>
        <v>1.297313985798086</v>
      </c>
      <c r="N11" s="108">
        <f>512.45+621.03+130.66</f>
        <v>1264.1400000000001</v>
      </c>
      <c r="O11" s="122">
        <f t="shared" si="5"/>
        <v>6.4391251705746236E-2</v>
      </c>
      <c r="P11" s="108">
        <f>997.86+512.45+621.03+205.6</f>
        <v>2336.94</v>
      </c>
      <c r="Q11" s="122">
        <f t="shared" si="6"/>
        <v>2.9456630332108401E-2</v>
      </c>
      <c r="R11" s="108">
        <f>3102.69+512.45+621.03+164.64+53.37</f>
        <v>4454.18</v>
      </c>
      <c r="S11" s="122">
        <f t="shared" si="7"/>
        <v>6.0942490756038081E-2</v>
      </c>
      <c r="T11" s="108">
        <f>3385.35+512.45+621.03+314.4</f>
        <v>4833.2299999999996</v>
      </c>
      <c r="U11" s="122">
        <f t="shared" si="8"/>
        <v>7.2732178492193586E-2</v>
      </c>
      <c r="V11" s="108">
        <f>3605.02+512.45+621.03+553.99</f>
        <v>5292.49</v>
      </c>
      <c r="W11" s="122">
        <f>V11/V$2</f>
        <v>8.9147318812469553E-2</v>
      </c>
      <c r="X11" s="107">
        <f>2767.74+512.45+621.03+903.93+14.18</f>
        <v>4819.33</v>
      </c>
      <c r="Y11" s="122">
        <f>X11/X$2</f>
        <v>6.7431792773720897E-2</v>
      </c>
      <c r="Z11" s="123"/>
      <c r="AA11" s="122" t="e">
        <f>Z11/Z$2</f>
        <v>#DIV/0!</v>
      </c>
      <c r="AB11" s="123"/>
      <c r="AC11" s="122" t="e">
        <f>AB11/AB$2</f>
        <v>#DIV/0!</v>
      </c>
      <c r="AD11" s="121">
        <f t="shared" si="10"/>
        <v>3393.81</v>
      </c>
      <c r="AE11" s="122">
        <f>AD11/AD$2</f>
        <v>6.4219640113079179E-2</v>
      </c>
      <c r="AF11" s="124">
        <f>L11+N11+P11+R11+T11+V11+X11</f>
        <v>23756.67</v>
      </c>
      <c r="AG11" s="125">
        <f t="shared" si="16"/>
        <v>7.0811449920717917E-2</v>
      </c>
      <c r="AH11" s="137"/>
      <c r="AK11" s="141"/>
      <c r="AL11" s="141"/>
    </row>
    <row r="12" spans="1:38" ht="13.8" thickBot="1" x14ac:dyDescent="0.3">
      <c r="A12" s="131" t="s">
        <v>28</v>
      </c>
      <c r="B12" s="107"/>
      <c r="C12" s="122" t="e">
        <f t="shared" si="0"/>
        <v>#DIV/0!</v>
      </c>
      <c r="D12" s="107"/>
      <c r="E12" s="122" t="e">
        <f t="shared" si="0"/>
        <v>#DIV/0!</v>
      </c>
      <c r="F12" s="107"/>
      <c r="G12" s="122" t="e">
        <f t="shared" si="1"/>
        <v>#DIV/0!</v>
      </c>
      <c r="H12" s="107"/>
      <c r="I12" s="122" t="e">
        <f t="shared" si="2"/>
        <v>#DIV/0!</v>
      </c>
      <c r="J12" s="107"/>
      <c r="K12" s="122" t="e">
        <f t="shared" si="3"/>
        <v>#DIV/0!</v>
      </c>
      <c r="L12" s="107"/>
      <c r="M12" s="122">
        <f t="shared" si="4"/>
        <v>0</v>
      </c>
      <c r="N12" s="107"/>
      <c r="O12" s="122">
        <f t="shared" si="5"/>
        <v>0</v>
      </c>
      <c r="P12" s="107"/>
      <c r="Q12" s="122">
        <f t="shared" si="6"/>
        <v>0</v>
      </c>
      <c r="R12" s="107"/>
      <c r="S12" s="122">
        <f t="shared" si="7"/>
        <v>0</v>
      </c>
      <c r="T12" s="107"/>
      <c r="U12" s="122">
        <f t="shared" si="8"/>
        <v>0</v>
      </c>
      <c r="V12" s="107"/>
      <c r="W12" s="122">
        <f t="shared" si="11"/>
        <v>0</v>
      </c>
      <c r="X12" s="107"/>
      <c r="Y12" s="122">
        <f t="shared" si="12"/>
        <v>0</v>
      </c>
      <c r="Z12" s="123"/>
      <c r="AA12" s="122" t="e">
        <f t="shared" si="13"/>
        <v>#DIV/0!</v>
      </c>
      <c r="AB12" s="123"/>
      <c r="AC12" s="122" t="e">
        <f t="shared" si="14"/>
        <v>#DIV/0!</v>
      </c>
      <c r="AD12" s="121">
        <f t="shared" si="10"/>
        <v>0</v>
      </c>
      <c r="AE12" s="122">
        <f t="shared" si="15"/>
        <v>0</v>
      </c>
      <c r="AF12" s="124">
        <f>L12+N12+P12+R12+T12+V12+X12</f>
        <v>0</v>
      </c>
      <c r="AG12" s="125">
        <f t="shared" si="16"/>
        <v>0</v>
      </c>
      <c r="AH12" s="137"/>
      <c r="AK12" s="141"/>
      <c r="AL12" s="141"/>
    </row>
    <row r="13" spans="1:38" ht="13.8" thickBot="1" x14ac:dyDescent="0.3">
      <c r="A13" s="107" t="s">
        <v>25</v>
      </c>
      <c r="B13" s="107"/>
      <c r="C13" s="122" t="e">
        <f t="shared" si="0"/>
        <v>#DIV/0!</v>
      </c>
      <c r="D13" s="107"/>
      <c r="E13" s="122" t="e">
        <f t="shared" si="0"/>
        <v>#DIV/0!</v>
      </c>
      <c r="F13" s="107"/>
      <c r="G13" s="122" t="e">
        <f t="shared" si="1"/>
        <v>#DIV/0!</v>
      </c>
      <c r="H13" s="107"/>
      <c r="I13" s="122" t="e">
        <f t="shared" si="2"/>
        <v>#DIV/0!</v>
      </c>
      <c r="J13" s="107"/>
      <c r="K13" s="122" t="e">
        <f t="shared" si="3"/>
        <v>#DIV/0!</v>
      </c>
      <c r="L13" s="107"/>
      <c r="M13" s="122">
        <f t="shared" si="4"/>
        <v>0</v>
      </c>
      <c r="N13" s="107"/>
      <c r="O13" s="122">
        <f t="shared" si="5"/>
        <v>0</v>
      </c>
      <c r="P13" s="107"/>
      <c r="Q13" s="122">
        <f t="shared" si="6"/>
        <v>0</v>
      </c>
      <c r="R13" s="107"/>
      <c r="S13" s="122">
        <f t="shared" si="7"/>
        <v>0</v>
      </c>
      <c r="T13" s="107"/>
      <c r="U13" s="122">
        <f t="shared" si="8"/>
        <v>0</v>
      </c>
      <c r="V13" s="107"/>
      <c r="W13" s="122">
        <f t="shared" si="11"/>
        <v>0</v>
      </c>
      <c r="X13" s="107"/>
      <c r="Y13" s="122">
        <f t="shared" si="12"/>
        <v>0</v>
      </c>
      <c r="Z13" s="123"/>
      <c r="AA13" s="122" t="e">
        <f t="shared" si="13"/>
        <v>#DIV/0!</v>
      </c>
      <c r="AB13" s="123"/>
      <c r="AC13" s="122" t="e">
        <f t="shared" si="14"/>
        <v>#DIV/0!</v>
      </c>
      <c r="AD13" s="121">
        <f t="shared" si="10"/>
        <v>0</v>
      </c>
      <c r="AE13" s="122">
        <f t="shared" si="15"/>
        <v>0</v>
      </c>
      <c r="AF13" s="124">
        <f>L13+N13+P13+R13+T13+V13+X13</f>
        <v>0</v>
      </c>
      <c r="AG13" s="125">
        <f t="shared" si="16"/>
        <v>0</v>
      </c>
      <c r="AH13" s="137"/>
      <c r="AK13" s="141"/>
      <c r="AL13" s="141"/>
    </row>
    <row r="14" spans="1:38" ht="13.8" thickBot="1" x14ac:dyDescent="0.3">
      <c r="A14" s="108" t="s">
        <v>26</v>
      </c>
      <c r="B14" s="108"/>
      <c r="C14" s="122" t="e">
        <f t="shared" si="0"/>
        <v>#DIV/0!</v>
      </c>
      <c r="D14" s="108"/>
      <c r="E14" s="122" t="e">
        <f t="shared" si="0"/>
        <v>#DIV/0!</v>
      </c>
      <c r="F14" s="108"/>
      <c r="G14" s="122" t="e">
        <f t="shared" si="1"/>
        <v>#DIV/0!</v>
      </c>
      <c r="H14" s="108"/>
      <c r="I14" s="122" t="e">
        <f t="shared" si="2"/>
        <v>#DIV/0!</v>
      </c>
      <c r="J14" s="108"/>
      <c r="K14" s="122" t="e">
        <f t="shared" si="3"/>
        <v>#DIV/0!</v>
      </c>
      <c r="L14" s="108"/>
      <c r="M14" s="122">
        <f t="shared" si="4"/>
        <v>0</v>
      </c>
      <c r="N14" s="108"/>
      <c r="O14" s="122">
        <f t="shared" si="5"/>
        <v>0</v>
      </c>
      <c r="P14" s="108">
        <v>534.45000000000005</v>
      </c>
      <c r="Q14" s="122">
        <f t="shared" si="6"/>
        <v>6.7366282750072042E-3</v>
      </c>
      <c r="R14" s="108"/>
      <c r="S14" s="122">
        <f t="shared" si="7"/>
        <v>0</v>
      </c>
      <c r="T14" s="108"/>
      <c r="U14" s="122">
        <f t="shared" si="8"/>
        <v>0</v>
      </c>
      <c r="V14" s="108">
        <v>55.48</v>
      </c>
      <c r="W14" s="122">
        <f t="shared" si="11"/>
        <v>9.3451159052087218E-4</v>
      </c>
      <c r="X14" s="107">
        <f>1589.92+410.3</f>
        <v>2000.22</v>
      </c>
      <c r="Y14" s="122">
        <f t="shared" si="12"/>
        <v>2.798696510549226E-2</v>
      </c>
      <c r="Z14" s="123"/>
      <c r="AA14" s="122" t="e">
        <f t="shared" si="13"/>
        <v>#DIV/0!</v>
      </c>
      <c r="AB14" s="123"/>
      <c r="AC14" s="122" t="e">
        <f t="shared" si="14"/>
        <v>#DIV/0!</v>
      </c>
      <c r="AD14" s="121">
        <f t="shared" si="10"/>
        <v>370.0214285714286</v>
      </c>
      <c r="AE14" s="122">
        <f t="shared" si="15"/>
        <v>7.0017599621029396E-3</v>
      </c>
      <c r="AF14" s="124">
        <f>P14+V14+X14</f>
        <v>2590.15</v>
      </c>
      <c r="AG14" s="125">
        <f t="shared" si="16"/>
        <v>7.7204539614410417E-3</v>
      </c>
      <c r="AH14" s="137"/>
      <c r="AK14" s="141"/>
      <c r="AL14" s="141"/>
    </row>
    <row r="15" spans="1:38" ht="13.8" thickBot="1" x14ac:dyDescent="0.3">
      <c r="A15" s="107" t="s">
        <v>118</v>
      </c>
      <c r="B15" s="108"/>
      <c r="C15" s="122" t="e">
        <f t="shared" si="0"/>
        <v>#DIV/0!</v>
      </c>
      <c r="D15" s="108"/>
      <c r="E15" s="122" t="e">
        <f t="shared" si="0"/>
        <v>#DIV/0!</v>
      </c>
      <c r="F15" s="108"/>
      <c r="G15" s="122" t="e">
        <f t="shared" si="1"/>
        <v>#DIV/0!</v>
      </c>
      <c r="H15" s="108"/>
      <c r="I15" s="122" t="e">
        <f t="shared" si="2"/>
        <v>#DIV/0!</v>
      </c>
      <c r="J15" s="108"/>
      <c r="K15" s="122" t="e">
        <f t="shared" si="3"/>
        <v>#DIV/0!</v>
      </c>
      <c r="L15" s="108"/>
      <c r="M15" s="122">
        <f t="shared" si="4"/>
        <v>0</v>
      </c>
      <c r="N15" s="108"/>
      <c r="O15" s="122">
        <f t="shared" si="5"/>
        <v>0</v>
      </c>
      <c r="P15" s="108"/>
      <c r="Q15" s="122">
        <f t="shared" si="6"/>
        <v>0</v>
      </c>
      <c r="R15" s="108"/>
      <c r="S15" s="122">
        <f t="shared" si="7"/>
        <v>0</v>
      </c>
      <c r="T15" s="108"/>
      <c r="U15" s="122">
        <f t="shared" si="8"/>
        <v>0</v>
      </c>
      <c r="V15" s="108"/>
      <c r="W15" s="122">
        <f t="shared" si="11"/>
        <v>0</v>
      </c>
      <c r="X15" s="107">
        <v>148.83000000000001</v>
      </c>
      <c r="Y15" s="122">
        <f t="shared" si="12"/>
        <v>2.0824209420215842E-3</v>
      </c>
      <c r="Z15" s="123"/>
      <c r="AA15" s="122" t="e">
        <f t="shared" si="13"/>
        <v>#DIV/0!</v>
      </c>
      <c r="AB15" s="123"/>
      <c r="AC15" s="122" t="e">
        <f t="shared" si="14"/>
        <v>#DIV/0!</v>
      </c>
      <c r="AD15" s="121">
        <f t="shared" si="10"/>
        <v>21.261428571428574</v>
      </c>
      <c r="AE15" s="122">
        <f t="shared" si="15"/>
        <v>4.0232107606114726E-4</v>
      </c>
      <c r="AF15" s="124">
        <f>X15</f>
        <v>148.83000000000001</v>
      </c>
      <c r="AG15" s="125">
        <f t="shared" si="16"/>
        <v>4.4361722799114733E-4</v>
      </c>
      <c r="AH15" s="137"/>
      <c r="AK15" s="141"/>
      <c r="AL15" s="141"/>
    </row>
    <row r="16" spans="1:38" ht="13.8" thickBot="1" x14ac:dyDescent="0.3">
      <c r="A16" s="107"/>
      <c r="B16" s="107"/>
      <c r="C16" s="122" t="e">
        <f t="shared" si="0"/>
        <v>#DIV/0!</v>
      </c>
      <c r="D16" s="108"/>
      <c r="E16" s="122" t="e">
        <f t="shared" si="0"/>
        <v>#DIV/0!</v>
      </c>
      <c r="F16" s="107"/>
      <c r="G16" s="122" t="e">
        <f t="shared" si="1"/>
        <v>#DIV/0!</v>
      </c>
      <c r="H16" s="107"/>
      <c r="I16" s="122" t="e">
        <f t="shared" si="2"/>
        <v>#DIV/0!</v>
      </c>
      <c r="J16" s="107"/>
      <c r="K16" s="122" t="e">
        <f t="shared" si="3"/>
        <v>#DIV/0!</v>
      </c>
      <c r="L16" s="107"/>
      <c r="M16" s="122">
        <f t="shared" si="4"/>
        <v>0</v>
      </c>
      <c r="N16" s="107"/>
      <c r="O16" s="122">
        <f t="shared" si="5"/>
        <v>0</v>
      </c>
      <c r="P16" s="107"/>
      <c r="Q16" s="122">
        <f t="shared" si="6"/>
        <v>0</v>
      </c>
      <c r="R16" s="107"/>
      <c r="S16" s="122">
        <f t="shared" si="7"/>
        <v>0</v>
      </c>
      <c r="T16" s="107"/>
      <c r="U16" s="122">
        <f t="shared" si="8"/>
        <v>0</v>
      </c>
      <c r="V16" s="107"/>
      <c r="W16" s="122">
        <f t="shared" si="11"/>
        <v>0</v>
      </c>
      <c r="X16" s="107"/>
      <c r="Y16" s="122">
        <f t="shared" si="12"/>
        <v>0</v>
      </c>
      <c r="Z16" s="123"/>
      <c r="AA16" s="122" t="e">
        <f t="shared" si="13"/>
        <v>#DIV/0!</v>
      </c>
      <c r="AB16" s="123"/>
      <c r="AC16" s="122" t="e">
        <f t="shared" si="14"/>
        <v>#DIV/0!</v>
      </c>
      <c r="AD16" s="121">
        <f t="shared" si="10"/>
        <v>0</v>
      </c>
      <c r="AE16" s="122">
        <f t="shared" si="15"/>
        <v>0</v>
      </c>
      <c r="AF16" s="124">
        <f>X16</f>
        <v>0</v>
      </c>
      <c r="AG16" s="125">
        <f t="shared" si="16"/>
        <v>0</v>
      </c>
      <c r="AH16" s="137"/>
      <c r="AK16" s="141"/>
      <c r="AL16" s="141"/>
    </row>
    <row r="17" spans="1:38" ht="13.8" thickBot="1" x14ac:dyDescent="0.3">
      <c r="A17" s="107"/>
      <c r="B17" s="107"/>
      <c r="C17" s="122" t="e">
        <f t="shared" si="0"/>
        <v>#DIV/0!</v>
      </c>
      <c r="D17" s="107"/>
      <c r="E17" s="122" t="e">
        <f t="shared" si="0"/>
        <v>#DIV/0!</v>
      </c>
      <c r="F17" s="107"/>
      <c r="G17" s="122" t="e">
        <f t="shared" si="1"/>
        <v>#DIV/0!</v>
      </c>
      <c r="H17" s="107"/>
      <c r="I17" s="122" t="e">
        <f t="shared" si="2"/>
        <v>#DIV/0!</v>
      </c>
      <c r="J17" s="107"/>
      <c r="K17" s="122" t="e">
        <f t="shared" si="3"/>
        <v>#DIV/0!</v>
      </c>
      <c r="L17" s="107"/>
      <c r="M17" s="122">
        <f t="shared" si="4"/>
        <v>0</v>
      </c>
      <c r="N17" s="107"/>
      <c r="O17" s="122">
        <f t="shared" si="5"/>
        <v>0</v>
      </c>
      <c r="P17" s="107"/>
      <c r="Q17" s="122">
        <f t="shared" si="6"/>
        <v>0</v>
      </c>
      <c r="R17" s="107"/>
      <c r="S17" s="122">
        <f t="shared" si="7"/>
        <v>0</v>
      </c>
      <c r="T17" s="107"/>
      <c r="U17" s="122">
        <f t="shared" si="8"/>
        <v>0</v>
      </c>
      <c r="V17" s="107"/>
      <c r="W17" s="122">
        <f t="shared" si="11"/>
        <v>0</v>
      </c>
      <c r="X17" s="107"/>
      <c r="Y17" s="122">
        <f t="shared" si="12"/>
        <v>0</v>
      </c>
      <c r="Z17" s="123"/>
      <c r="AA17" s="122" t="e">
        <f t="shared" si="13"/>
        <v>#DIV/0!</v>
      </c>
      <c r="AB17" s="123"/>
      <c r="AC17" s="122" t="e">
        <f t="shared" si="14"/>
        <v>#DIV/0!</v>
      </c>
      <c r="AD17" s="121">
        <f t="shared" si="10"/>
        <v>0</v>
      </c>
      <c r="AE17" s="122">
        <f t="shared" si="15"/>
        <v>0</v>
      </c>
      <c r="AF17" s="124">
        <f>X17</f>
        <v>0</v>
      </c>
      <c r="AG17" s="125">
        <f t="shared" si="16"/>
        <v>0</v>
      </c>
      <c r="AH17" s="137"/>
      <c r="AK17" s="141"/>
      <c r="AL17" s="141"/>
    </row>
    <row r="18" spans="1:38" ht="13.8" thickBot="1" x14ac:dyDescent="0.3">
      <c r="A18" s="127" t="s">
        <v>8</v>
      </c>
      <c r="B18" s="117">
        <f>B2-B6</f>
        <v>0</v>
      </c>
      <c r="C18" s="116" t="e">
        <f>B18/B$2</f>
        <v>#DIV/0!</v>
      </c>
      <c r="D18" s="117">
        <f>D2-D6</f>
        <v>0</v>
      </c>
      <c r="E18" s="116" t="e">
        <f>D18/D$2</f>
        <v>#DIV/0!</v>
      </c>
      <c r="F18" s="117">
        <f>F2-F6</f>
        <v>0</v>
      </c>
      <c r="G18" s="116" t="e">
        <f t="shared" si="1"/>
        <v>#DIV/0!</v>
      </c>
      <c r="H18" s="117">
        <f>H2-H6</f>
        <v>-581.29999999999995</v>
      </c>
      <c r="I18" s="116" t="e">
        <f t="shared" si="2"/>
        <v>#DIV/0!</v>
      </c>
      <c r="J18" s="117">
        <f>J2-J6</f>
        <v>-239.17</v>
      </c>
      <c r="K18" s="116" t="e">
        <f t="shared" si="3"/>
        <v>#DIV/0!</v>
      </c>
      <c r="L18" s="117">
        <f>L2-L6</f>
        <v>-173.34000000000003</v>
      </c>
      <c r="M18" s="116">
        <f t="shared" si="4"/>
        <v>-0.29731398579808588</v>
      </c>
      <c r="N18" s="117">
        <f>N2-N6</f>
        <v>18368.030000000002</v>
      </c>
      <c r="O18" s="116">
        <f t="shared" si="5"/>
        <v>0.93560874829425378</v>
      </c>
      <c r="P18" s="117">
        <f>P2-P6</f>
        <v>75714.460000000006</v>
      </c>
      <c r="Q18" s="116">
        <f t="shared" si="6"/>
        <v>0.95436462169127501</v>
      </c>
      <c r="R18" s="117">
        <f>R2-R6</f>
        <v>67018.61</v>
      </c>
      <c r="S18" s="116">
        <f t="shared" si="7"/>
        <v>0.91695464045178265</v>
      </c>
      <c r="T18" s="117">
        <f>T2-T6</f>
        <v>60484.109999999993</v>
      </c>
      <c r="U18" s="116">
        <f t="shared" si="8"/>
        <v>0.91018658008443032</v>
      </c>
      <c r="V18" s="117">
        <f>V2-V6</f>
        <v>53327.780000000006</v>
      </c>
      <c r="W18" s="116">
        <f t="shared" si="11"/>
        <v>0.89825934583178024</v>
      </c>
      <c r="X18" s="117">
        <f>X2-X6</f>
        <v>64271.71</v>
      </c>
      <c r="Y18" s="116">
        <f t="shared" si="12"/>
        <v>0.89928613104574384</v>
      </c>
      <c r="Z18" s="117">
        <f>Z2-Z6</f>
        <v>0</v>
      </c>
      <c r="AA18" s="116" t="e">
        <f t="shared" si="13"/>
        <v>#DIV/0!</v>
      </c>
      <c r="AB18" s="117">
        <f>AB2-AB6</f>
        <v>0</v>
      </c>
      <c r="AC18" s="116" t="e">
        <f t="shared" si="14"/>
        <v>#DIV/0!</v>
      </c>
      <c r="AD18" s="117">
        <f t="shared" si="10"/>
        <v>48312.984285714287</v>
      </c>
      <c r="AE18" s="116">
        <f>AD18/AD$2</f>
        <v>0.91420629428795985</v>
      </c>
      <c r="AF18" s="117">
        <f>SUM(AF3-AF6)</f>
        <v>303754.39999999991</v>
      </c>
      <c r="AG18" s="118">
        <f>AF18/AF$2</f>
        <v>0.82111669062895987</v>
      </c>
      <c r="AH18" s="136"/>
      <c r="AK18" s="141"/>
      <c r="AL18" s="141"/>
    </row>
    <row r="19" spans="1:38" ht="13.8" thickBot="1" x14ac:dyDescent="0.3">
      <c r="A19" s="127" t="s">
        <v>106</v>
      </c>
      <c r="B19" s="117">
        <f>SUM(B20:B40)</f>
        <v>0</v>
      </c>
      <c r="C19" s="116" t="e">
        <f t="shared" ref="C19:C47" si="17">B19/B$2</f>
        <v>#DIV/0!</v>
      </c>
      <c r="D19" s="117">
        <f>SUM(D20:D40)</f>
        <v>0</v>
      </c>
      <c r="E19" s="116" t="e">
        <f t="shared" ref="E19:E47" si="18">D19/D$2</f>
        <v>#DIV/0!</v>
      </c>
      <c r="F19" s="117">
        <f>SUM(F20:F40)</f>
        <v>0</v>
      </c>
      <c r="G19" s="116" t="e">
        <f t="shared" si="1"/>
        <v>#DIV/0!</v>
      </c>
      <c r="H19" s="117">
        <f>SUM(H20:H40)</f>
        <v>2954.03</v>
      </c>
      <c r="I19" s="116" t="e">
        <f t="shared" si="2"/>
        <v>#DIV/0!</v>
      </c>
      <c r="J19" s="117">
        <f>SUM(J20:J40)</f>
        <v>3021.05</v>
      </c>
      <c r="K19" s="116" t="e">
        <f t="shared" si="3"/>
        <v>#DIV/0!</v>
      </c>
      <c r="L19" s="117">
        <f>SUM(L20:L40)</f>
        <v>6857.08</v>
      </c>
      <c r="M19" s="116">
        <f t="shared" si="4"/>
        <v>11.761311790333094</v>
      </c>
      <c r="N19" s="117">
        <f>SUM(N20:N40)</f>
        <v>16346.39</v>
      </c>
      <c r="O19" s="116">
        <f t="shared" si="5"/>
        <v>0.83263286738042697</v>
      </c>
      <c r="P19" s="117">
        <f>SUM(P20:P40)</f>
        <v>21830.79</v>
      </c>
      <c r="Q19" s="116">
        <f t="shared" si="6"/>
        <v>0.27517245238982974</v>
      </c>
      <c r="R19" s="117">
        <f>SUM(R20:R40)</f>
        <v>14964.729999999998</v>
      </c>
      <c r="S19" s="116">
        <f t="shared" si="7"/>
        <v>0.20474877972861572</v>
      </c>
      <c r="T19" s="117">
        <f>SUM(T20:T40)</f>
        <v>22074.449999999997</v>
      </c>
      <c r="U19" s="116">
        <f t="shared" si="8"/>
        <v>0.33218424066659413</v>
      </c>
      <c r="V19" s="117">
        <f>SUM(V20:V40)</f>
        <v>20855.030000000002</v>
      </c>
      <c r="W19" s="116">
        <f t="shared" si="11"/>
        <v>0.35128455760022548</v>
      </c>
      <c r="X19" s="117">
        <f>SUM(X20:X40)</f>
        <v>37799</v>
      </c>
      <c r="Y19" s="116">
        <f t="shared" si="12"/>
        <v>0.52888147004954544</v>
      </c>
      <c r="Z19" s="117">
        <f>SUM(Z20:Z40)</f>
        <v>0</v>
      </c>
      <c r="AA19" s="116" t="e">
        <f t="shared" si="13"/>
        <v>#DIV/0!</v>
      </c>
      <c r="AB19" s="117">
        <f>SUM(AB20:AB40)</f>
        <v>0</v>
      </c>
      <c r="AC19" s="116" t="e">
        <f t="shared" si="14"/>
        <v>#DIV/0!</v>
      </c>
      <c r="AD19" s="117">
        <f t="shared" si="10"/>
        <v>20957.507142857143</v>
      </c>
      <c r="AE19" s="116">
        <f>AD19/AD$2</f>
        <v>0.3965700986152943</v>
      </c>
      <c r="AF19" s="119">
        <f>SUM(AF20:AF40)</f>
        <v>146702.54999999996</v>
      </c>
      <c r="AG19" s="116">
        <f>AF19/AF$3</f>
        <v>0.4372759428222312</v>
      </c>
      <c r="AH19" s="119"/>
      <c r="AK19" s="141"/>
      <c r="AL19" s="141"/>
    </row>
    <row r="20" spans="1:38" ht="13.8" thickBot="1" x14ac:dyDescent="0.3">
      <c r="A20" s="107" t="s">
        <v>19</v>
      </c>
      <c r="B20" s="107"/>
      <c r="C20" s="122" t="e">
        <f t="shared" si="17"/>
        <v>#DIV/0!</v>
      </c>
      <c r="D20" s="107"/>
      <c r="E20" s="122" t="e">
        <f t="shared" si="18"/>
        <v>#DIV/0!</v>
      </c>
      <c r="F20" s="107"/>
      <c r="G20" s="122" t="e">
        <f t="shared" si="1"/>
        <v>#DIV/0!</v>
      </c>
      <c r="H20" s="107">
        <v>1203.05</v>
      </c>
      <c r="I20" s="122" t="e">
        <f t="shared" si="2"/>
        <v>#DIV/0!</v>
      </c>
      <c r="J20" s="107">
        <v>698.19</v>
      </c>
      <c r="K20" s="122" t="e">
        <f t="shared" si="3"/>
        <v>#DIV/0!</v>
      </c>
      <c r="L20" s="107">
        <v>698.19</v>
      </c>
      <c r="M20" s="122">
        <f t="shared" si="4"/>
        <v>1.1975403931254505</v>
      </c>
      <c r="N20" s="107">
        <v>698.19</v>
      </c>
      <c r="O20" s="122">
        <f t="shared" si="5"/>
        <v>3.5563567348897242E-2</v>
      </c>
      <c r="P20" s="107">
        <v>545.33000000000004</v>
      </c>
      <c r="Q20" s="122">
        <f t="shared" si="6"/>
        <v>6.8737683547753364E-3</v>
      </c>
      <c r="R20" s="107">
        <v>125.05</v>
      </c>
      <c r="S20" s="122">
        <f t="shared" si="7"/>
        <v>1.7109453297896721E-3</v>
      </c>
      <c r="T20" s="107">
        <v>464.03</v>
      </c>
      <c r="U20" s="122">
        <f t="shared" si="8"/>
        <v>6.9828898657280109E-3</v>
      </c>
      <c r="V20" s="107">
        <v>518.30999999999995</v>
      </c>
      <c r="W20" s="122">
        <f t="shared" si="11"/>
        <v>8.7304740894533755E-3</v>
      </c>
      <c r="X20" s="107">
        <v>506.79</v>
      </c>
      <c r="Y20" s="122">
        <f t="shared" si="12"/>
        <v>7.0909770154345131E-3</v>
      </c>
      <c r="Z20" s="123"/>
      <c r="AA20" s="122" t="e">
        <f t="shared" si="13"/>
        <v>#DIV/0!</v>
      </c>
      <c r="AB20" s="123"/>
      <c r="AC20" s="122" t="e">
        <f t="shared" si="14"/>
        <v>#DIV/0!</v>
      </c>
      <c r="AD20" s="121">
        <f t="shared" si="10"/>
        <v>779.59</v>
      </c>
      <c r="AE20" s="122">
        <f t="shared" ref="AE20:AE47" si="19">AD20/AD$2</f>
        <v>1.475185388567875E-2</v>
      </c>
      <c r="AF20" s="124">
        <f t="shared" ref="AF20:AF40" si="20">H20+J20+L20+N20+P20+R20+T20+V20+X20</f>
        <v>5457.13</v>
      </c>
      <c r="AG20" s="125">
        <f t="shared" ref="AG20:AG40" si="21">AF20/AF$3</f>
        <v>1.626605444727091E-2</v>
      </c>
      <c r="AH20" s="137"/>
      <c r="AK20" s="141"/>
    </row>
    <row r="21" spans="1:38" ht="13.8" thickBot="1" x14ac:dyDescent="0.3">
      <c r="A21" s="107" t="s">
        <v>24</v>
      </c>
      <c r="B21" s="108"/>
      <c r="C21" s="122" t="e">
        <f t="shared" si="17"/>
        <v>#DIV/0!</v>
      </c>
      <c r="D21" s="108"/>
      <c r="E21" s="122" t="e">
        <f t="shared" si="18"/>
        <v>#DIV/0!</v>
      </c>
      <c r="F21" s="108"/>
      <c r="G21" s="122" t="e">
        <f t="shared" si="1"/>
        <v>#DIV/0!</v>
      </c>
      <c r="H21" s="108"/>
      <c r="I21" s="122" t="e">
        <f t="shared" si="2"/>
        <v>#DIV/0!</v>
      </c>
      <c r="J21" s="108">
        <v>1225</v>
      </c>
      <c r="K21" s="122" t="e">
        <f t="shared" si="3"/>
        <v>#DIV/0!</v>
      </c>
      <c r="L21" s="108">
        <v>565.41999999999996</v>
      </c>
      <c r="M21" s="122">
        <f t="shared" si="4"/>
        <v>0.96981235635141161</v>
      </c>
      <c r="N21" s="108">
        <v>515</v>
      </c>
      <c r="O21" s="122">
        <f t="shared" si="5"/>
        <v>2.6232454181071167E-2</v>
      </c>
      <c r="P21" s="108">
        <v>515</v>
      </c>
      <c r="Q21" s="122">
        <f t="shared" si="6"/>
        <v>6.4914651728481803E-3</v>
      </c>
      <c r="R21" s="108">
        <v>515</v>
      </c>
      <c r="S21" s="122">
        <f t="shared" si="7"/>
        <v>7.0462762482341552E-3</v>
      </c>
      <c r="T21" s="108">
        <v>515</v>
      </c>
      <c r="U21" s="122">
        <f t="shared" si="8"/>
        <v>7.7499047062688309E-3</v>
      </c>
      <c r="V21" s="108">
        <v>515</v>
      </c>
      <c r="W21" s="122">
        <f t="shared" si="11"/>
        <v>8.6747200634147304E-3</v>
      </c>
      <c r="X21" s="107">
        <v>1060.81</v>
      </c>
      <c r="Y21" s="122">
        <f t="shared" si="12"/>
        <v>1.4842793519491476E-2</v>
      </c>
      <c r="Z21" s="123"/>
      <c r="AA21" s="122" t="e">
        <f t="shared" si="13"/>
        <v>#DIV/0!</v>
      </c>
      <c r="AB21" s="123"/>
      <c r="AC21" s="122" t="e">
        <f t="shared" si="14"/>
        <v>#DIV/0!</v>
      </c>
      <c r="AD21" s="121">
        <f t="shared" si="10"/>
        <v>775.17571428571421</v>
      </c>
      <c r="AE21" s="122">
        <f t="shared" si="19"/>
        <v>1.4668324212559824E-2</v>
      </c>
      <c r="AF21" s="124">
        <f t="shared" si="20"/>
        <v>5426.23</v>
      </c>
      <c r="AG21" s="125">
        <f t="shared" si="21"/>
        <v>1.6173950890562408E-2</v>
      </c>
      <c r="AH21" s="137"/>
      <c r="AK21" s="141"/>
    </row>
    <row r="22" spans="1:38" ht="13.8" thickBot="1" x14ac:dyDescent="0.3">
      <c r="A22" s="48" t="s">
        <v>128</v>
      </c>
      <c r="B22" s="108"/>
      <c r="C22" s="122"/>
      <c r="D22" s="108"/>
      <c r="E22" s="122"/>
      <c r="F22" s="108"/>
      <c r="G22" s="122"/>
      <c r="H22" s="108"/>
      <c r="I22" s="122"/>
      <c r="J22" s="108"/>
      <c r="K22" s="122"/>
      <c r="L22" s="108"/>
      <c r="M22" s="122"/>
      <c r="N22" s="108">
        <v>284.51</v>
      </c>
      <c r="O22" s="122"/>
      <c r="P22" s="108">
        <v>264.51</v>
      </c>
      <c r="Q22" s="122"/>
      <c r="R22" s="108">
        <v>264.51</v>
      </c>
      <c r="S22" s="122"/>
      <c r="T22" s="108">
        <v>264.51</v>
      </c>
      <c r="U22" s="122"/>
      <c r="V22" s="108">
        <v>264.51</v>
      </c>
      <c r="W22" s="122"/>
      <c r="X22" s="107">
        <v>264.51</v>
      </c>
      <c r="Y22" s="122"/>
      <c r="Z22" s="123"/>
      <c r="AA22" s="122"/>
      <c r="AB22" s="123"/>
      <c r="AC22" s="122"/>
      <c r="AD22" s="121"/>
      <c r="AE22" s="122"/>
      <c r="AF22" s="124">
        <f t="shared" si="20"/>
        <v>1607.06</v>
      </c>
      <c r="AG22" s="125">
        <f t="shared" si="21"/>
        <v>4.7901599302254457E-3</v>
      </c>
      <c r="AH22" s="137"/>
      <c r="AK22" s="141"/>
    </row>
    <row r="23" spans="1:38" ht="13.8" thickBot="1" x14ac:dyDescent="0.3">
      <c r="A23" s="48" t="s">
        <v>129</v>
      </c>
      <c r="B23" s="107"/>
      <c r="C23" s="122" t="e">
        <f t="shared" si="17"/>
        <v>#DIV/0!</v>
      </c>
      <c r="D23" s="107"/>
      <c r="E23" s="122" t="e">
        <f t="shared" si="18"/>
        <v>#DIV/0!</v>
      </c>
      <c r="F23" s="107"/>
      <c r="G23" s="122" t="e">
        <f t="shared" si="1"/>
        <v>#DIV/0!</v>
      </c>
      <c r="H23" s="107"/>
      <c r="I23" s="122" t="e">
        <f t="shared" si="2"/>
        <v>#DIV/0!</v>
      </c>
      <c r="J23" s="107"/>
      <c r="K23" s="122" t="e">
        <f t="shared" si="3"/>
        <v>#DIV/0!</v>
      </c>
      <c r="L23" s="107"/>
      <c r="M23" s="122">
        <f t="shared" si="4"/>
        <v>0</v>
      </c>
      <c r="N23" s="107"/>
      <c r="O23" s="122">
        <f t="shared" si="5"/>
        <v>0</v>
      </c>
      <c r="P23" s="107"/>
      <c r="Q23" s="122">
        <f t="shared" si="6"/>
        <v>0</v>
      </c>
      <c r="R23" s="107"/>
      <c r="S23" s="122">
        <f t="shared" si="7"/>
        <v>0</v>
      </c>
      <c r="T23" s="107"/>
      <c r="U23" s="122">
        <f t="shared" si="8"/>
        <v>0</v>
      </c>
      <c r="V23" s="107"/>
      <c r="W23" s="122">
        <f t="shared" si="11"/>
        <v>0</v>
      </c>
      <c r="X23" s="107"/>
      <c r="Y23" s="122">
        <f t="shared" si="12"/>
        <v>0</v>
      </c>
      <c r="Z23" s="123"/>
      <c r="AA23" s="122" t="e">
        <f t="shared" si="13"/>
        <v>#DIV/0!</v>
      </c>
      <c r="AB23" s="123"/>
      <c r="AC23" s="122" t="e">
        <f t="shared" si="14"/>
        <v>#DIV/0!</v>
      </c>
      <c r="AD23" s="121">
        <f t="shared" ref="AD23:AD51" si="22">(B23+D23+F23+H23+J23+L23+N23+P23+R23+T23+V23+X23+Z23+AB23)/AJ$2</f>
        <v>0</v>
      </c>
      <c r="AE23" s="122">
        <f t="shared" si="19"/>
        <v>0</v>
      </c>
      <c r="AF23" s="124">
        <f t="shared" si="20"/>
        <v>0</v>
      </c>
      <c r="AG23" s="125">
        <f t="shared" si="21"/>
        <v>0</v>
      </c>
      <c r="AH23" s="137"/>
      <c r="AK23" s="141"/>
    </row>
    <row r="24" spans="1:38" ht="13.8" thickBot="1" x14ac:dyDescent="0.3">
      <c r="A24" s="108" t="s">
        <v>14</v>
      </c>
      <c r="B24" s="107"/>
      <c r="C24" s="122" t="e">
        <f t="shared" si="17"/>
        <v>#DIV/0!</v>
      </c>
      <c r="D24" s="107"/>
      <c r="E24" s="122" t="e">
        <f t="shared" si="18"/>
        <v>#DIV/0!</v>
      </c>
      <c r="F24" s="107"/>
      <c r="G24" s="122" t="e">
        <f t="shared" si="1"/>
        <v>#DIV/0!</v>
      </c>
      <c r="H24" s="107"/>
      <c r="I24" s="122" t="e">
        <f t="shared" si="2"/>
        <v>#DIV/0!</v>
      </c>
      <c r="J24" s="107">
        <v>19.37</v>
      </c>
      <c r="K24" s="122" t="e">
        <f t="shared" si="3"/>
        <v>#DIV/0!</v>
      </c>
      <c r="L24" s="107">
        <v>189.44</v>
      </c>
      <c r="M24" s="122">
        <f t="shared" si="4"/>
        <v>0.32492881890844227</v>
      </c>
      <c r="N24" s="107">
        <v>134.18</v>
      </c>
      <c r="O24" s="122">
        <f t="shared" si="5"/>
        <v>6.8347003922643295E-3</v>
      </c>
      <c r="P24" s="107">
        <v>137.43</v>
      </c>
      <c r="Q24" s="122">
        <f t="shared" si="6"/>
        <v>1.7322758421447096E-3</v>
      </c>
      <c r="R24" s="107">
        <v>126.52</v>
      </c>
      <c r="S24" s="122">
        <f t="shared" si="7"/>
        <v>1.7310580017991949E-3</v>
      </c>
      <c r="T24" s="107">
        <v>146.94</v>
      </c>
      <c r="U24" s="122">
        <f t="shared" si="8"/>
        <v>2.2112058204643535E-3</v>
      </c>
      <c r="V24" s="107">
        <v>164.15</v>
      </c>
      <c r="W24" s="122">
        <f t="shared" si="11"/>
        <v>2.7649617444845203E-3</v>
      </c>
      <c r="X24" s="107">
        <v>160.54</v>
      </c>
      <c r="Y24" s="122">
        <f t="shared" si="12"/>
        <v>2.2462665996918975E-3</v>
      </c>
      <c r="Z24" s="123"/>
      <c r="AA24" s="122" t="e">
        <f t="shared" si="13"/>
        <v>#DIV/0!</v>
      </c>
      <c r="AB24" s="123"/>
      <c r="AC24" s="122" t="e">
        <f t="shared" si="14"/>
        <v>#DIV/0!</v>
      </c>
      <c r="AD24" s="121">
        <f t="shared" si="22"/>
        <v>154.0814285714286</v>
      </c>
      <c r="AE24" s="122">
        <f t="shared" si="19"/>
        <v>2.9156181079572105E-3</v>
      </c>
      <c r="AF24" s="124">
        <f t="shared" si="20"/>
        <v>1078.5700000000002</v>
      </c>
      <c r="AG24" s="125">
        <f t="shared" si="21"/>
        <v>3.2148910407472408E-3</v>
      </c>
      <c r="AH24" s="137"/>
    </row>
    <row r="25" spans="1:38" ht="13.8" thickBot="1" x14ac:dyDescent="0.3">
      <c r="A25" s="107" t="s">
        <v>123</v>
      </c>
      <c r="B25" s="107"/>
      <c r="C25" s="122" t="e">
        <f t="shared" si="17"/>
        <v>#DIV/0!</v>
      </c>
      <c r="D25" s="107"/>
      <c r="E25" s="122" t="e">
        <f t="shared" si="18"/>
        <v>#DIV/0!</v>
      </c>
      <c r="F25" s="107"/>
      <c r="G25" s="122" t="e">
        <f t="shared" si="1"/>
        <v>#DIV/0!</v>
      </c>
      <c r="H25" s="107">
        <v>525</v>
      </c>
      <c r="I25" s="122" t="e">
        <f t="shared" si="2"/>
        <v>#DIV/0!</v>
      </c>
      <c r="J25" s="107">
        <f>650</f>
        <v>650</v>
      </c>
      <c r="K25" s="122" t="e">
        <f t="shared" si="3"/>
        <v>#DIV/0!</v>
      </c>
      <c r="L25" s="107">
        <f>2956.34+135.33+1092</f>
        <v>4183.67</v>
      </c>
      <c r="M25" s="122">
        <f t="shared" si="4"/>
        <v>7.1758601763232823</v>
      </c>
      <c r="N25" s="48">
        <f>6202.65+130.66+598</f>
        <v>6931.3099999999995</v>
      </c>
      <c r="O25" s="122">
        <f t="shared" si="5"/>
        <v>0.35305878056271917</v>
      </c>
      <c r="P25" s="107">
        <f>6141.56+182.76+1356+60</f>
        <v>7740.3200000000006</v>
      </c>
      <c r="Q25" s="122">
        <f t="shared" si="6"/>
        <v>9.7565082925631513E-2</v>
      </c>
      <c r="R25" s="107">
        <f>4335+164.65+1066</f>
        <v>5565.65</v>
      </c>
      <c r="S25" s="122">
        <f t="shared" si="7"/>
        <v>7.6149723108707615E-2</v>
      </c>
      <c r="T25" s="107">
        <f>6422.6+294.4+2121+161.99+30+500</f>
        <v>9529.99</v>
      </c>
      <c r="U25" s="122">
        <f t="shared" si="8"/>
        <v>0.14341070747901921</v>
      </c>
      <c r="V25" s="107">
        <f>9563.83+492.43+2459+185.37+30+752.91</f>
        <v>13483.54</v>
      </c>
      <c r="W25" s="122">
        <f t="shared" si="11"/>
        <v>0.22711832031816515</v>
      </c>
      <c r="X25" s="107">
        <f>7430.56+698.68+3520+178.37+1557.32</f>
        <v>13384.930000000002</v>
      </c>
      <c r="Y25" s="122">
        <f t="shared" si="12"/>
        <v>0.18728118349454387</v>
      </c>
      <c r="Z25" s="123"/>
      <c r="AA25" s="122" t="e">
        <f t="shared" si="13"/>
        <v>#DIV/0!</v>
      </c>
      <c r="AB25" s="123"/>
      <c r="AC25" s="122" t="e">
        <f t="shared" si="14"/>
        <v>#DIV/0!</v>
      </c>
      <c r="AD25" s="121">
        <f t="shared" si="22"/>
        <v>8856.3442857142854</v>
      </c>
      <c r="AE25" s="122">
        <f t="shared" si="19"/>
        <v>0.16758488033982358</v>
      </c>
      <c r="AF25" s="124">
        <f t="shared" si="20"/>
        <v>61994.409999999996</v>
      </c>
      <c r="AG25" s="125">
        <f t="shared" si="21"/>
        <v>0.18478659084288557</v>
      </c>
      <c r="AH25" s="137"/>
    </row>
    <row r="26" spans="1:38" ht="13.8" thickBot="1" x14ac:dyDescent="0.3">
      <c r="A26" s="107" t="s">
        <v>20</v>
      </c>
      <c r="B26" s="107"/>
      <c r="C26" s="122" t="e">
        <f t="shared" si="17"/>
        <v>#DIV/0!</v>
      </c>
      <c r="D26" s="107"/>
      <c r="E26" s="122" t="e">
        <f t="shared" si="18"/>
        <v>#DIV/0!</v>
      </c>
      <c r="F26" s="107"/>
      <c r="G26" s="122" t="e">
        <f t="shared" si="1"/>
        <v>#DIV/0!</v>
      </c>
      <c r="H26" s="107"/>
      <c r="I26" s="122" t="e">
        <f t="shared" si="2"/>
        <v>#DIV/0!</v>
      </c>
      <c r="J26" s="107"/>
      <c r="K26" s="122" t="e">
        <f t="shared" si="3"/>
        <v>#DIV/0!</v>
      </c>
      <c r="L26" s="107"/>
      <c r="M26" s="122">
        <f t="shared" si="4"/>
        <v>0</v>
      </c>
      <c r="N26" s="107"/>
      <c r="O26" s="122">
        <f t="shared" si="5"/>
        <v>0</v>
      </c>
      <c r="P26" s="107"/>
      <c r="Q26" s="122">
        <f t="shared" si="6"/>
        <v>0</v>
      </c>
      <c r="R26" s="107"/>
      <c r="S26" s="122">
        <f t="shared" si="7"/>
        <v>0</v>
      </c>
      <c r="T26" s="107"/>
      <c r="U26" s="122">
        <f t="shared" si="8"/>
        <v>0</v>
      </c>
      <c r="V26" s="107"/>
      <c r="W26" s="122">
        <f t="shared" si="11"/>
        <v>0</v>
      </c>
      <c r="X26" s="107"/>
      <c r="Y26" s="122">
        <f t="shared" si="12"/>
        <v>0</v>
      </c>
      <c r="Z26" s="123"/>
      <c r="AA26" s="122" t="e">
        <f t="shared" si="13"/>
        <v>#DIV/0!</v>
      </c>
      <c r="AB26" s="123"/>
      <c r="AC26" s="122" t="e">
        <f t="shared" si="14"/>
        <v>#DIV/0!</v>
      </c>
      <c r="AD26" s="121">
        <f t="shared" si="22"/>
        <v>0</v>
      </c>
      <c r="AE26" s="122">
        <f t="shared" si="19"/>
        <v>0</v>
      </c>
      <c r="AF26" s="124">
        <f t="shared" si="20"/>
        <v>0</v>
      </c>
      <c r="AG26" s="125">
        <f t="shared" si="21"/>
        <v>0</v>
      </c>
      <c r="AH26" s="137"/>
    </row>
    <row r="27" spans="1:38" ht="13.8" thickBot="1" x14ac:dyDescent="0.3">
      <c r="A27" s="107" t="s">
        <v>18</v>
      </c>
      <c r="B27" s="107"/>
      <c r="C27" s="122" t="e">
        <f t="shared" si="17"/>
        <v>#DIV/0!</v>
      </c>
      <c r="D27" s="107"/>
      <c r="E27" s="122" t="e">
        <f t="shared" si="18"/>
        <v>#DIV/0!</v>
      </c>
      <c r="F27" s="107"/>
      <c r="G27" s="122" t="e">
        <f t="shared" si="1"/>
        <v>#DIV/0!</v>
      </c>
      <c r="H27" s="107">
        <f>1140</f>
        <v>1140</v>
      </c>
      <c r="I27" s="122" t="e">
        <f t="shared" si="2"/>
        <v>#DIV/0!</v>
      </c>
      <c r="J27" s="107"/>
      <c r="K27" s="122" t="e">
        <f t="shared" si="3"/>
        <v>#DIV/0!</v>
      </c>
      <c r="L27" s="107">
        <v>445</v>
      </c>
      <c r="M27" s="122">
        <f t="shared" si="4"/>
        <v>0.76326712634214955</v>
      </c>
      <c r="N27" s="107"/>
      <c r="O27" s="122">
        <f t="shared" si="5"/>
        <v>0</v>
      </c>
      <c r="P27" s="107">
        <f>220.96+301.79+80</f>
        <v>602.75</v>
      </c>
      <c r="Q27" s="122">
        <f t="shared" si="6"/>
        <v>7.5975352095810494E-3</v>
      </c>
      <c r="R27" s="107">
        <f>7+202.23</f>
        <v>209.23</v>
      </c>
      <c r="S27" s="122">
        <f t="shared" si="7"/>
        <v>2.8627036493554022E-3</v>
      </c>
      <c r="T27" s="107">
        <f>517.17+5+170</f>
        <v>692.17</v>
      </c>
      <c r="U27" s="122">
        <f t="shared" si="8"/>
        <v>1.0416022408811837E-2</v>
      </c>
      <c r="V27" s="107">
        <f>9.6+66.4+150</f>
        <v>226</v>
      </c>
      <c r="W27" s="122">
        <f t="shared" si="11"/>
        <v>3.806770357925687E-3</v>
      </c>
      <c r="X27" s="107">
        <f>2.39+220.8+180</f>
        <v>403.19</v>
      </c>
      <c r="Y27" s="122">
        <f t="shared" si="12"/>
        <v>5.6414116751574445E-3</v>
      </c>
      <c r="Z27" s="123"/>
      <c r="AA27" s="122" t="e">
        <f t="shared" si="13"/>
        <v>#DIV/0!</v>
      </c>
      <c r="AB27" s="123"/>
      <c r="AC27" s="122" t="e">
        <f t="shared" si="14"/>
        <v>#DIV/0!</v>
      </c>
      <c r="AD27" s="121">
        <f t="shared" si="22"/>
        <v>531.19142857142856</v>
      </c>
      <c r="AE27" s="122">
        <f t="shared" si="19"/>
        <v>1.0051512127670536E-2</v>
      </c>
      <c r="AF27" s="124">
        <f t="shared" si="20"/>
        <v>3718.34</v>
      </c>
      <c r="AG27" s="125">
        <f t="shared" si="21"/>
        <v>1.1083247218494945E-2</v>
      </c>
      <c r="AH27" s="137"/>
    </row>
    <row r="28" spans="1:38" ht="13.8" thickBot="1" x14ac:dyDescent="0.3">
      <c r="A28" s="48" t="s">
        <v>125</v>
      </c>
      <c r="B28" s="107">
        <v>0</v>
      </c>
      <c r="C28" s="122" t="e">
        <f t="shared" si="17"/>
        <v>#DIV/0!</v>
      </c>
      <c r="D28" s="107">
        <v>0</v>
      </c>
      <c r="E28" s="122" t="e">
        <f t="shared" si="18"/>
        <v>#DIV/0!</v>
      </c>
      <c r="F28" s="107">
        <v>0</v>
      </c>
      <c r="G28" s="122" t="e">
        <f t="shared" si="1"/>
        <v>#DIV/0!</v>
      </c>
      <c r="H28" s="107">
        <v>0</v>
      </c>
      <c r="I28" s="122" t="e">
        <f t="shared" si="2"/>
        <v>#DIV/0!</v>
      </c>
      <c r="J28" s="107">
        <v>0</v>
      </c>
      <c r="K28" s="122" t="e">
        <f t="shared" si="3"/>
        <v>#DIV/0!</v>
      </c>
      <c r="L28" s="107">
        <v>0</v>
      </c>
      <c r="M28" s="122">
        <f t="shared" si="4"/>
        <v>0</v>
      </c>
      <c r="N28" s="107">
        <v>4512.32</v>
      </c>
      <c r="O28" s="122">
        <f t="shared" si="5"/>
        <v>0.2298431604860797</v>
      </c>
      <c r="P28" s="107">
        <v>9024.64</v>
      </c>
      <c r="Q28" s="122">
        <f t="shared" si="6"/>
        <v>0.11375366263590796</v>
      </c>
      <c r="R28" s="107">
        <v>4512.32</v>
      </c>
      <c r="S28" s="122">
        <f t="shared" si="7"/>
        <v>6.1737967457149399E-2</v>
      </c>
      <c r="T28" s="107">
        <v>4512.32</v>
      </c>
      <c r="U28" s="122">
        <f t="shared" si="8"/>
        <v>6.790300971687567E-2</v>
      </c>
      <c r="V28" s="107">
        <v>4512.32</v>
      </c>
      <c r="W28" s="122">
        <f t="shared" si="11"/>
        <v>7.6006044342810775E-2</v>
      </c>
      <c r="X28" s="107">
        <v>4512.32</v>
      </c>
      <c r="Y28" s="122">
        <f t="shared" si="12"/>
        <v>6.3136126218523367E-2</v>
      </c>
      <c r="Z28" s="123"/>
      <c r="AA28" s="122" t="e">
        <f t="shared" si="13"/>
        <v>#DIV/0!</v>
      </c>
      <c r="AB28" s="123"/>
      <c r="AC28" s="122" t="e">
        <f t="shared" si="14"/>
        <v>#DIV/0!</v>
      </c>
      <c r="AD28" s="121">
        <f t="shared" si="22"/>
        <v>4512.32</v>
      </c>
      <c r="AE28" s="122">
        <f t="shared" si="19"/>
        <v>8.5384734700837531E-2</v>
      </c>
      <c r="AF28" s="124">
        <f t="shared" si="20"/>
        <v>31586.239999999998</v>
      </c>
      <c r="AG28" s="125">
        <f t="shared" si="21"/>
        <v>9.4149030648814719E-2</v>
      </c>
      <c r="AH28" s="137"/>
    </row>
    <row r="29" spans="1:38" ht="13.8" thickBot="1" x14ac:dyDescent="0.3">
      <c r="A29" s="48" t="s">
        <v>136</v>
      </c>
      <c r="B29" s="107">
        <v>0</v>
      </c>
      <c r="C29" s="122"/>
      <c r="D29" s="107">
        <v>0</v>
      </c>
      <c r="E29" s="122"/>
      <c r="F29" s="107">
        <v>0</v>
      </c>
      <c r="G29" s="122"/>
      <c r="H29" s="107">
        <v>0</v>
      </c>
      <c r="I29" s="122"/>
      <c r="J29" s="107">
        <v>0</v>
      </c>
      <c r="K29" s="122"/>
      <c r="L29" s="107">
        <v>0</v>
      </c>
      <c r="M29" s="122"/>
      <c r="N29" s="107"/>
      <c r="O29" s="122"/>
      <c r="P29" s="107"/>
      <c r="Q29" s="122"/>
      <c r="R29" s="107"/>
      <c r="S29" s="122"/>
      <c r="T29" s="107">
        <v>5000</v>
      </c>
      <c r="U29" s="122"/>
      <c r="V29" s="107"/>
      <c r="W29" s="122"/>
      <c r="X29" s="107">
        <v>15000</v>
      </c>
      <c r="Y29" s="122"/>
      <c r="Z29" s="123"/>
      <c r="AA29" s="122"/>
      <c r="AB29" s="123"/>
      <c r="AC29" s="122"/>
      <c r="AD29" s="121">
        <f t="shared" si="22"/>
        <v>2857.1428571428573</v>
      </c>
      <c r="AE29" s="122">
        <f t="shared" si="19"/>
        <v>5.4064513345581836E-2</v>
      </c>
      <c r="AF29" s="124">
        <f t="shared" si="20"/>
        <v>20000</v>
      </c>
      <c r="AG29" s="125">
        <f t="shared" si="21"/>
        <v>5.9613952562137647E-2</v>
      </c>
      <c r="AH29" s="137"/>
    </row>
    <row r="30" spans="1:38" ht="13.8" thickBot="1" x14ac:dyDescent="0.3">
      <c r="A30" s="48" t="s">
        <v>137</v>
      </c>
      <c r="B30" s="107"/>
      <c r="C30" s="122"/>
      <c r="D30" s="107"/>
      <c r="E30" s="122"/>
      <c r="F30" s="107"/>
      <c r="G30" s="122"/>
      <c r="H30" s="107"/>
      <c r="I30" s="122"/>
      <c r="J30" s="107"/>
      <c r="K30" s="122"/>
      <c r="L30" s="107"/>
      <c r="M30" s="122"/>
      <c r="N30" s="107"/>
      <c r="O30" s="122"/>
      <c r="P30" s="107"/>
      <c r="Q30" s="122"/>
      <c r="R30" s="107">
        <v>657.48</v>
      </c>
      <c r="S30" s="122"/>
      <c r="T30" s="107"/>
      <c r="U30" s="122"/>
      <c r="V30" s="107"/>
      <c r="W30" s="122"/>
      <c r="X30" s="107"/>
      <c r="Y30" s="122"/>
      <c r="Z30" s="123"/>
      <c r="AA30" s="122"/>
      <c r="AB30" s="123"/>
      <c r="AC30" s="122"/>
      <c r="AD30" s="121">
        <f t="shared" si="22"/>
        <v>93.925714285714292</v>
      </c>
      <c r="AE30" s="122">
        <f t="shared" si="19"/>
        <v>1.7773168117226571E-3</v>
      </c>
      <c r="AF30" s="124">
        <f t="shared" si="20"/>
        <v>657.48</v>
      </c>
      <c r="AG30" s="125">
        <f t="shared" si="21"/>
        <v>1.9597490765277132E-3</v>
      </c>
      <c r="AH30" s="137"/>
    </row>
    <row r="31" spans="1:38" ht="13.8" thickBot="1" x14ac:dyDescent="0.3">
      <c r="A31" s="48" t="s">
        <v>135</v>
      </c>
      <c r="B31" s="107"/>
      <c r="C31" s="122"/>
      <c r="D31" s="107"/>
      <c r="E31" s="122"/>
      <c r="F31" s="107"/>
      <c r="G31" s="122"/>
      <c r="H31" s="107"/>
      <c r="I31" s="122"/>
      <c r="J31" s="107"/>
      <c r="K31" s="122"/>
      <c r="L31" s="107"/>
      <c r="M31" s="122"/>
      <c r="N31" s="107"/>
      <c r="O31" s="122"/>
      <c r="P31" s="107"/>
      <c r="Q31" s="122"/>
      <c r="R31" s="107"/>
      <c r="S31" s="122"/>
      <c r="T31" s="107"/>
      <c r="U31" s="122"/>
      <c r="V31" s="107"/>
      <c r="W31" s="122"/>
      <c r="X31" s="107"/>
      <c r="Y31" s="122"/>
      <c r="Z31" s="123"/>
      <c r="AA31" s="122"/>
      <c r="AB31" s="123"/>
      <c r="AC31" s="122"/>
      <c r="AD31" s="121">
        <f t="shared" si="22"/>
        <v>0</v>
      </c>
      <c r="AE31" s="122">
        <f t="shared" si="19"/>
        <v>0</v>
      </c>
      <c r="AF31" s="124">
        <f t="shared" si="20"/>
        <v>0</v>
      </c>
      <c r="AG31" s="125">
        <f t="shared" si="21"/>
        <v>0</v>
      </c>
      <c r="AH31" s="137"/>
    </row>
    <row r="32" spans="1:38" ht="13.8" thickBot="1" x14ac:dyDescent="0.3">
      <c r="A32" s="107" t="s">
        <v>21</v>
      </c>
      <c r="B32" s="107"/>
      <c r="C32" s="122" t="e">
        <f t="shared" si="17"/>
        <v>#DIV/0!</v>
      </c>
      <c r="D32" s="107"/>
      <c r="E32" s="122" t="e">
        <f t="shared" si="18"/>
        <v>#DIV/0!</v>
      </c>
      <c r="F32" s="107"/>
      <c r="G32" s="122" t="e">
        <f t="shared" si="1"/>
        <v>#DIV/0!</v>
      </c>
      <c r="H32" s="107"/>
      <c r="I32" s="122" t="e">
        <f t="shared" si="2"/>
        <v>#DIV/0!</v>
      </c>
      <c r="J32" s="107"/>
      <c r="K32" s="122" t="e">
        <f t="shared" si="3"/>
        <v>#DIV/0!</v>
      </c>
      <c r="L32" s="107"/>
      <c r="M32" s="122">
        <f t="shared" si="4"/>
        <v>0</v>
      </c>
      <c r="N32" s="107"/>
      <c r="O32" s="122">
        <f t="shared" si="5"/>
        <v>0</v>
      </c>
      <c r="P32" s="107"/>
      <c r="Q32" s="122">
        <f t="shared" si="6"/>
        <v>0</v>
      </c>
      <c r="R32" s="107"/>
      <c r="S32" s="122">
        <f t="shared" si="7"/>
        <v>0</v>
      </c>
      <c r="T32" s="107">
        <v>59.92</v>
      </c>
      <c r="U32" s="122">
        <f t="shared" si="8"/>
        <v>9.0169765048471527E-4</v>
      </c>
      <c r="V32" s="107">
        <v>220.99</v>
      </c>
      <c r="W32" s="122">
        <f t="shared" si="11"/>
        <v>3.7223813336194587E-3</v>
      </c>
      <c r="X32" s="107">
        <v>59.92</v>
      </c>
      <c r="Y32" s="122">
        <f t="shared" si="12"/>
        <v>8.3839725086295319E-4</v>
      </c>
      <c r="Z32" s="123"/>
      <c r="AA32" s="122" t="e">
        <f t="shared" si="13"/>
        <v>#DIV/0!</v>
      </c>
      <c r="AB32" s="123"/>
      <c r="AC32" s="122" t="e">
        <f t="shared" si="14"/>
        <v>#DIV/0!</v>
      </c>
      <c r="AD32" s="121">
        <f t="shared" si="22"/>
        <v>48.690000000000005</v>
      </c>
      <c r="AE32" s="122">
        <f t="shared" si="19"/>
        <v>9.2134040417873278E-4</v>
      </c>
      <c r="AF32" s="124">
        <f t="shared" si="20"/>
        <v>340.83000000000004</v>
      </c>
      <c r="AG32" s="125">
        <f t="shared" si="21"/>
        <v>1.0159111725876687E-3</v>
      </c>
      <c r="AH32" s="137"/>
    </row>
    <row r="33" spans="1:36" ht="13.8" thickBot="1" x14ac:dyDescent="0.3">
      <c r="A33" s="107" t="s">
        <v>22</v>
      </c>
      <c r="B33" s="107"/>
      <c r="C33" s="122" t="e">
        <f t="shared" si="17"/>
        <v>#DIV/0!</v>
      </c>
      <c r="D33" s="107"/>
      <c r="E33" s="122" t="e">
        <f t="shared" si="18"/>
        <v>#DIV/0!</v>
      </c>
      <c r="F33" s="107"/>
      <c r="G33" s="122" t="e">
        <f t="shared" si="1"/>
        <v>#DIV/0!</v>
      </c>
      <c r="H33" s="107"/>
      <c r="I33" s="122" t="e">
        <f t="shared" si="2"/>
        <v>#DIV/0!</v>
      </c>
      <c r="J33" s="107">
        <v>157.5</v>
      </c>
      <c r="K33" s="122" t="e">
        <f t="shared" si="3"/>
        <v>#DIV/0!</v>
      </c>
      <c r="L33" s="107">
        <v>378.5</v>
      </c>
      <c r="M33" s="122">
        <f t="shared" si="4"/>
        <v>0.64920585914719908</v>
      </c>
      <c r="N33" s="107">
        <f>2300+378.5</f>
        <v>2678.5</v>
      </c>
      <c r="O33" s="122">
        <f t="shared" si="5"/>
        <v>0.13643423014368761</v>
      </c>
      <c r="P33" s="107">
        <f>2000+378.5</f>
        <v>2378.5</v>
      </c>
      <c r="Q33" s="122">
        <f t="shared" si="6"/>
        <v>2.9980485269163876E-2</v>
      </c>
      <c r="R33" s="107">
        <f>2000+369</f>
        <v>2369</v>
      </c>
      <c r="S33" s="122">
        <f t="shared" si="7"/>
        <v>3.2412870741877112E-2</v>
      </c>
      <c r="T33" s="107">
        <v>270</v>
      </c>
      <c r="U33" s="122">
        <f t="shared" si="8"/>
        <v>4.0630568362962803E-3</v>
      </c>
      <c r="V33" s="107">
        <v>270</v>
      </c>
      <c r="W33" s="122">
        <f t="shared" si="11"/>
        <v>4.5479114895572367E-3</v>
      </c>
      <c r="X33" s="107">
        <f>1359.99+270</f>
        <v>1629.99</v>
      </c>
      <c r="Y33" s="122">
        <f t="shared" si="12"/>
        <v>2.2806727886083195E-2</v>
      </c>
      <c r="Z33" s="123"/>
      <c r="AA33" s="122" t="e">
        <f t="shared" si="13"/>
        <v>#DIV/0!</v>
      </c>
      <c r="AB33" s="123"/>
      <c r="AC33" s="122" t="e">
        <f t="shared" si="14"/>
        <v>#DIV/0!</v>
      </c>
      <c r="AD33" s="121">
        <f t="shared" si="22"/>
        <v>1447.4271428571428</v>
      </c>
      <c r="AE33" s="122">
        <f t="shared" si="19"/>
        <v>2.738905542861508E-2</v>
      </c>
      <c r="AF33" s="124">
        <f t="shared" si="20"/>
        <v>10131.99</v>
      </c>
      <c r="AG33" s="125">
        <f t="shared" si="21"/>
        <v>3.020039856100265E-2</v>
      </c>
      <c r="AH33" s="137"/>
    </row>
    <row r="34" spans="1:36" ht="13.8" thickBot="1" x14ac:dyDescent="0.3">
      <c r="A34" s="107" t="s">
        <v>23</v>
      </c>
      <c r="B34" s="107"/>
      <c r="C34" s="122" t="e">
        <f t="shared" si="17"/>
        <v>#DIV/0!</v>
      </c>
      <c r="D34" s="107"/>
      <c r="E34" s="122" t="e">
        <f t="shared" si="18"/>
        <v>#DIV/0!</v>
      </c>
      <c r="F34" s="107"/>
      <c r="G34" s="122" t="e">
        <f t="shared" si="1"/>
        <v>#DIV/0!</v>
      </c>
      <c r="H34" s="107"/>
      <c r="I34" s="122" t="e">
        <f t="shared" si="2"/>
        <v>#DIV/0!</v>
      </c>
      <c r="J34" s="107">
        <v>15</v>
      </c>
      <c r="K34" s="122" t="e">
        <f t="shared" si="3"/>
        <v>#DIV/0!</v>
      </c>
      <c r="L34" s="107">
        <v>21.92</v>
      </c>
      <c r="M34" s="122">
        <f t="shared" si="4"/>
        <v>3.7597337998696446E-2</v>
      </c>
      <c r="N34" s="107">
        <v>214.43</v>
      </c>
      <c r="O34" s="122">
        <f t="shared" si="5"/>
        <v>1.0922378932130274E-2</v>
      </c>
      <c r="P34" s="107">
        <v>241.98</v>
      </c>
      <c r="Q34" s="122">
        <f t="shared" si="6"/>
        <v>3.0501062961666068E-3</v>
      </c>
      <c r="R34" s="107">
        <v>241.98</v>
      </c>
      <c r="S34" s="122">
        <f t="shared" si="7"/>
        <v>3.3107920903838852E-3</v>
      </c>
      <c r="T34" s="107">
        <v>241.98</v>
      </c>
      <c r="U34" s="122">
        <f t="shared" si="8"/>
        <v>3.641401826840644E-3</v>
      </c>
      <c r="V34" s="107">
        <v>241.98</v>
      </c>
      <c r="W34" s="122">
        <f t="shared" si="11"/>
        <v>4.0759393416409636E-3</v>
      </c>
      <c r="X34" s="107">
        <v>361.95</v>
      </c>
      <c r="Y34" s="122">
        <f t="shared" si="12"/>
        <v>5.0643839277344106E-3</v>
      </c>
      <c r="Z34" s="123"/>
      <c r="AA34" s="122" t="e">
        <f t="shared" si="13"/>
        <v>#DIV/0!</v>
      </c>
      <c r="AB34" s="123"/>
      <c r="AC34" s="122" t="e">
        <f t="shared" si="14"/>
        <v>#DIV/0!</v>
      </c>
      <c r="AD34" s="121">
        <f t="shared" si="22"/>
        <v>225.88857142857142</v>
      </c>
      <c r="AE34" s="122">
        <f t="shared" si="19"/>
        <v>4.2743944896150446E-3</v>
      </c>
      <c r="AF34" s="124">
        <f t="shared" si="20"/>
        <v>1581.22</v>
      </c>
      <c r="AG34" s="125">
        <f t="shared" si="21"/>
        <v>4.7131387035151649E-3</v>
      </c>
      <c r="AH34" s="137"/>
    </row>
    <row r="35" spans="1:36" ht="13.8" thickBot="1" x14ac:dyDescent="0.3">
      <c r="A35" s="143" t="s">
        <v>127</v>
      </c>
      <c r="B35" s="107"/>
      <c r="C35" s="122" t="e">
        <f t="shared" si="17"/>
        <v>#DIV/0!</v>
      </c>
      <c r="D35" s="107"/>
      <c r="E35" s="122" t="e">
        <f t="shared" si="18"/>
        <v>#DIV/0!</v>
      </c>
      <c r="F35" s="107"/>
      <c r="G35" s="122" t="e">
        <f t="shared" si="1"/>
        <v>#DIV/0!</v>
      </c>
      <c r="H35" s="107">
        <v>85.98</v>
      </c>
      <c r="I35" s="122" t="e">
        <f t="shared" si="2"/>
        <v>#DIV/0!</v>
      </c>
      <c r="J35" s="107">
        <f>191.65+64.34</f>
        <v>255.99</v>
      </c>
      <c r="K35" s="122" t="e">
        <f t="shared" si="3"/>
        <v>#DIV/0!</v>
      </c>
      <c r="L35" s="107">
        <f>241.96+132.98</f>
        <v>374.94</v>
      </c>
      <c r="M35" s="122">
        <f t="shared" si="4"/>
        <v>0.64309972213646194</v>
      </c>
      <c r="N35" s="107">
        <f>244.97+132.98</f>
        <v>377.95</v>
      </c>
      <c r="O35" s="122">
        <f t="shared" si="5"/>
        <v>1.9251565160652132E-2</v>
      </c>
      <c r="P35" s="107">
        <f>247.35+132.98</f>
        <v>380.33</v>
      </c>
      <c r="Q35" s="122">
        <f t="shared" si="6"/>
        <v>4.7939785421152389E-3</v>
      </c>
      <c r="R35" s="107">
        <f>245.01+132.98</f>
        <v>377.99</v>
      </c>
      <c r="S35" s="122">
        <f t="shared" si="7"/>
        <v>5.1716931244078224E-3</v>
      </c>
      <c r="T35" s="107">
        <f>244.97+132.62</f>
        <v>377.59000000000003</v>
      </c>
      <c r="U35" s="122">
        <f t="shared" si="8"/>
        <v>5.6821097437670838E-3</v>
      </c>
      <c r="V35" s="107">
        <f>211.25+132.98</f>
        <v>344.23</v>
      </c>
      <c r="W35" s="122">
        <f t="shared" si="11"/>
        <v>5.7982502668529178E-3</v>
      </c>
      <c r="X35" s="107">
        <f>215.02+132.98</f>
        <v>348</v>
      </c>
      <c r="Y35" s="122">
        <f t="shared" si="12"/>
        <v>4.8691963167608095E-3</v>
      </c>
      <c r="Z35" s="123"/>
      <c r="AA35" s="122" t="e">
        <f t="shared" si="13"/>
        <v>#DIV/0!</v>
      </c>
      <c r="AB35" s="123"/>
      <c r="AC35" s="122" t="e">
        <f t="shared" si="14"/>
        <v>#DIV/0!</v>
      </c>
      <c r="AD35" s="121">
        <f t="shared" si="22"/>
        <v>417.57142857142856</v>
      </c>
      <c r="AE35" s="122">
        <f t="shared" si="19"/>
        <v>7.9015286254567833E-3</v>
      </c>
      <c r="AF35" s="124">
        <f t="shared" si="20"/>
        <v>2923</v>
      </c>
      <c r="AG35" s="125">
        <f t="shared" si="21"/>
        <v>8.7125791669564173E-3</v>
      </c>
      <c r="AH35" s="137"/>
    </row>
    <row r="36" spans="1:36" ht="13.8" thickBot="1" x14ac:dyDescent="0.3">
      <c r="A36" s="145" t="s">
        <v>124</v>
      </c>
      <c r="B36" s="107"/>
      <c r="C36" s="122" t="e">
        <f t="shared" si="17"/>
        <v>#DIV/0!</v>
      </c>
      <c r="D36" s="107"/>
      <c r="E36" s="122" t="e">
        <f t="shared" si="18"/>
        <v>#DIV/0!</v>
      </c>
      <c r="F36" s="107"/>
      <c r="G36" s="122" t="e">
        <f t="shared" si="1"/>
        <v>#DIV/0!</v>
      </c>
      <c r="H36" s="107"/>
      <c r="I36" s="122" t="e">
        <f t="shared" si="2"/>
        <v>#DIV/0!</v>
      </c>
      <c r="J36" s="107"/>
      <c r="K36" s="122" t="e">
        <f t="shared" si="3"/>
        <v>#DIV/0!</v>
      </c>
      <c r="L36" s="107"/>
      <c r="M36" s="122">
        <f t="shared" si="4"/>
        <v>0</v>
      </c>
      <c r="N36" s="107"/>
      <c r="O36" s="122">
        <f t="shared" si="5"/>
        <v>0</v>
      </c>
      <c r="P36" s="107"/>
      <c r="Q36" s="122">
        <f t="shared" si="6"/>
        <v>0</v>
      </c>
      <c r="R36" s="107"/>
      <c r="S36" s="122">
        <f t="shared" si="7"/>
        <v>0</v>
      </c>
      <c r="T36" s="107"/>
      <c r="U36" s="122">
        <f t="shared" si="8"/>
        <v>0</v>
      </c>
      <c r="V36" s="107"/>
      <c r="W36" s="122">
        <f t="shared" si="11"/>
        <v>0</v>
      </c>
      <c r="X36" s="107"/>
      <c r="Y36" s="122">
        <f t="shared" si="12"/>
        <v>0</v>
      </c>
      <c r="Z36" s="123"/>
      <c r="AA36" s="122" t="e">
        <f t="shared" si="13"/>
        <v>#DIV/0!</v>
      </c>
      <c r="AB36" s="123"/>
      <c r="AC36" s="122" t="e">
        <f t="shared" si="14"/>
        <v>#DIV/0!</v>
      </c>
      <c r="AD36" s="121">
        <f t="shared" si="22"/>
        <v>0</v>
      </c>
      <c r="AE36" s="122">
        <f t="shared" si="19"/>
        <v>0</v>
      </c>
      <c r="AF36" s="124">
        <f t="shared" si="20"/>
        <v>0</v>
      </c>
      <c r="AG36" s="125">
        <f t="shared" si="21"/>
        <v>0</v>
      </c>
      <c r="AH36" s="137"/>
    </row>
    <row r="37" spans="1:36" ht="13.8" thickBot="1" x14ac:dyDescent="0.3">
      <c r="A37" s="146" t="s">
        <v>131</v>
      </c>
      <c r="B37" s="107"/>
      <c r="C37" s="122" t="e">
        <f>B37/B$2</f>
        <v>#DIV/0!</v>
      </c>
      <c r="D37" s="107"/>
      <c r="E37" s="122" t="e">
        <f>D37/D$2</f>
        <v>#DIV/0!</v>
      </c>
      <c r="F37" s="107"/>
      <c r="G37" s="122" t="e">
        <f>F37/F$2</f>
        <v>#DIV/0!</v>
      </c>
      <c r="H37" s="107"/>
      <c r="I37" s="122" t="e">
        <f>H37/H$2</f>
        <v>#DIV/0!</v>
      </c>
      <c r="J37" s="107"/>
      <c r="K37" s="122" t="e">
        <f>J37/J$2</f>
        <v>#DIV/0!</v>
      </c>
      <c r="L37" s="107"/>
      <c r="M37" s="122">
        <f>L37/L$2</f>
        <v>0</v>
      </c>
      <c r="N37" s="107"/>
      <c r="O37" s="122">
        <f>N37/N$2</f>
        <v>0</v>
      </c>
      <c r="P37" s="107"/>
      <c r="Q37" s="122">
        <f>P37/P$2</f>
        <v>0</v>
      </c>
      <c r="R37" s="107"/>
      <c r="S37" s="122">
        <f>R37/R$2</f>
        <v>0</v>
      </c>
      <c r="T37" s="107"/>
      <c r="U37" s="122">
        <f>T37/T$2</f>
        <v>0</v>
      </c>
      <c r="V37" s="107">
        <v>94</v>
      </c>
      <c r="W37" s="122">
        <f>V37/V$2</f>
        <v>1.583346963031038E-3</v>
      </c>
      <c r="X37" s="107">
        <v>106.05</v>
      </c>
      <c r="Y37" s="122">
        <f>X37/X$2</f>
        <v>1.4838456017025397E-3</v>
      </c>
      <c r="Z37" s="123"/>
      <c r="AA37" s="122" t="e">
        <f>Z37/Z$2</f>
        <v>#DIV/0!</v>
      </c>
      <c r="AB37" s="123"/>
      <c r="AC37" s="122" t="e">
        <f>AB37/AB$2</f>
        <v>#DIV/0!</v>
      </c>
      <c r="AD37" s="121">
        <f t="shared" si="22"/>
        <v>28.578571428571429</v>
      </c>
      <c r="AE37" s="122">
        <f>AD37/AD$2</f>
        <v>5.4078029473918221E-4</v>
      </c>
      <c r="AF37" s="124">
        <f t="shared" si="20"/>
        <v>200.05</v>
      </c>
      <c r="AG37" s="125">
        <f>AF37/AF$3</f>
        <v>5.9628856050278182E-4</v>
      </c>
      <c r="AH37" s="137"/>
    </row>
    <row r="38" spans="1:36" ht="13.8" thickBot="1" x14ac:dyDescent="0.3">
      <c r="A38" s="145"/>
      <c r="B38" s="107"/>
      <c r="C38" s="122" t="e">
        <f t="shared" si="17"/>
        <v>#DIV/0!</v>
      </c>
      <c r="D38" s="107"/>
      <c r="E38" s="122" t="e">
        <f t="shared" si="18"/>
        <v>#DIV/0!</v>
      </c>
      <c r="F38" s="107"/>
      <c r="G38" s="122" t="e">
        <f t="shared" si="1"/>
        <v>#DIV/0!</v>
      </c>
      <c r="H38" s="107"/>
      <c r="I38" s="122" t="e">
        <f t="shared" si="2"/>
        <v>#DIV/0!</v>
      </c>
      <c r="J38" s="107"/>
      <c r="K38" s="122" t="e">
        <f t="shared" si="3"/>
        <v>#DIV/0!</v>
      </c>
      <c r="L38" s="107"/>
      <c r="M38" s="122">
        <f t="shared" si="4"/>
        <v>0</v>
      </c>
      <c r="N38" s="107"/>
      <c r="O38" s="122">
        <f t="shared" si="5"/>
        <v>0</v>
      </c>
      <c r="P38" s="107"/>
      <c r="Q38" s="122">
        <f t="shared" si="6"/>
        <v>0</v>
      </c>
      <c r="R38" s="107"/>
      <c r="S38" s="122">
        <f t="shared" si="7"/>
        <v>0</v>
      </c>
      <c r="T38" s="107"/>
      <c r="U38" s="122">
        <f t="shared" si="8"/>
        <v>0</v>
      </c>
      <c r="V38" s="107"/>
      <c r="W38" s="122">
        <f t="shared" si="11"/>
        <v>0</v>
      </c>
      <c r="X38" s="107"/>
      <c r="Y38" s="122">
        <f t="shared" si="12"/>
        <v>0</v>
      </c>
      <c r="Z38" s="123"/>
      <c r="AA38" s="122" t="e">
        <f t="shared" si="13"/>
        <v>#DIV/0!</v>
      </c>
      <c r="AB38" s="123"/>
      <c r="AC38" s="122" t="e">
        <f t="shared" si="14"/>
        <v>#DIV/0!</v>
      </c>
      <c r="AD38" s="121">
        <f t="shared" si="22"/>
        <v>0</v>
      </c>
      <c r="AE38" s="122">
        <f t="shared" si="19"/>
        <v>0</v>
      </c>
      <c r="AF38" s="124">
        <f t="shared" si="20"/>
        <v>0</v>
      </c>
      <c r="AG38" s="125">
        <f t="shared" si="21"/>
        <v>0</v>
      </c>
      <c r="AH38" s="137"/>
    </row>
    <row r="39" spans="1:36" ht="13.8" thickBot="1" x14ac:dyDescent="0.3">
      <c r="A39" s="145"/>
      <c r="B39" s="107"/>
      <c r="C39" s="122" t="e">
        <f t="shared" si="17"/>
        <v>#DIV/0!</v>
      </c>
      <c r="D39" s="107"/>
      <c r="E39" s="122" t="e">
        <f t="shared" si="18"/>
        <v>#DIV/0!</v>
      </c>
      <c r="F39" s="107"/>
      <c r="G39" s="122" t="e">
        <f t="shared" si="1"/>
        <v>#DIV/0!</v>
      </c>
      <c r="H39" s="107"/>
      <c r="I39" s="122" t="e">
        <f t="shared" si="2"/>
        <v>#DIV/0!</v>
      </c>
      <c r="J39" s="107"/>
      <c r="K39" s="122" t="e">
        <f t="shared" si="3"/>
        <v>#DIV/0!</v>
      </c>
      <c r="L39" s="107"/>
      <c r="M39" s="122">
        <f t="shared" si="4"/>
        <v>0</v>
      </c>
      <c r="N39" s="107"/>
      <c r="O39" s="122">
        <f t="shared" si="5"/>
        <v>0</v>
      </c>
      <c r="P39" s="107"/>
      <c r="Q39" s="122">
        <f t="shared" si="6"/>
        <v>0</v>
      </c>
      <c r="R39" s="107"/>
      <c r="S39" s="122">
        <f t="shared" si="7"/>
        <v>0</v>
      </c>
      <c r="T39" s="107"/>
      <c r="U39" s="122">
        <f t="shared" si="8"/>
        <v>0</v>
      </c>
      <c r="V39" s="107"/>
      <c r="W39" s="122">
        <f t="shared" si="11"/>
        <v>0</v>
      </c>
      <c r="X39" s="107"/>
      <c r="Y39" s="122">
        <f t="shared" si="12"/>
        <v>0</v>
      </c>
      <c r="Z39" s="123"/>
      <c r="AA39" s="122" t="e">
        <f t="shared" si="13"/>
        <v>#DIV/0!</v>
      </c>
      <c r="AB39" s="123"/>
      <c r="AC39" s="122" t="e">
        <f t="shared" si="14"/>
        <v>#DIV/0!</v>
      </c>
      <c r="AD39" s="121">
        <f t="shared" si="22"/>
        <v>0</v>
      </c>
      <c r="AE39" s="122">
        <f t="shared" si="19"/>
        <v>0</v>
      </c>
      <c r="AF39" s="124">
        <f t="shared" si="20"/>
        <v>0</v>
      </c>
      <c r="AG39" s="125">
        <f t="shared" si="21"/>
        <v>0</v>
      </c>
      <c r="AH39" s="137"/>
    </row>
    <row r="40" spans="1:36" ht="13.8" thickBot="1" x14ac:dyDescent="0.3">
      <c r="A40" s="145"/>
      <c r="B40" s="107"/>
      <c r="C40" s="122" t="e">
        <f t="shared" si="17"/>
        <v>#DIV/0!</v>
      </c>
      <c r="D40" s="107"/>
      <c r="E40" s="122" t="e">
        <f t="shared" si="18"/>
        <v>#DIV/0!</v>
      </c>
      <c r="F40" s="107"/>
      <c r="G40" s="122" t="e">
        <f t="shared" si="1"/>
        <v>#DIV/0!</v>
      </c>
      <c r="H40" s="107"/>
      <c r="I40" s="122" t="e">
        <f t="shared" si="2"/>
        <v>#DIV/0!</v>
      </c>
      <c r="J40" s="107"/>
      <c r="K40" s="122" t="e">
        <f t="shared" si="3"/>
        <v>#DIV/0!</v>
      </c>
      <c r="L40" s="107"/>
      <c r="M40" s="122">
        <f t="shared" si="4"/>
        <v>0</v>
      </c>
      <c r="N40" s="107"/>
      <c r="O40" s="122">
        <f t="shared" si="5"/>
        <v>0</v>
      </c>
      <c r="P40" s="107"/>
      <c r="Q40" s="122">
        <f t="shared" si="6"/>
        <v>0</v>
      </c>
      <c r="R40" s="107"/>
      <c r="S40" s="122">
        <f t="shared" si="7"/>
        <v>0</v>
      </c>
      <c r="T40" s="107"/>
      <c r="U40" s="122">
        <f t="shared" si="8"/>
        <v>0</v>
      </c>
      <c r="V40" s="107"/>
      <c r="W40" s="122">
        <f t="shared" si="11"/>
        <v>0</v>
      </c>
      <c r="X40" s="107"/>
      <c r="Y40" s="122">
        <f t="shared" si="12"/>
        <v>0</v>
      </c>
      <c r="Z40" s="123"/>
      <c r="AA40" s="122" t="e">
        <f t="shared" si="13"/>
        <v>#DIV/0!</v>
      </c>
      <c r="AB40" s="123"/>
      <c r="AC40" s="122" t="e">
        <f t="shared" si="14"/>
        <v>#DIV/0!</v>
      </c>
      <c r="AD40" s="121">
        <f t="shared" si="22"/>
        <v>0</v>
      </c>
      <c r="AE40" s="122">
        <f t="shared" si="19"/>
        <v>0</v>
      </c>
      <c r="AF40" s="124">
        <f t="shared" si="20"/>
        <v>0</v>
      </c>
      <c r="AG40" s="125">
        <f t="shared" si="21"/>
        <v>0</v>
      </c>
      <c r="AH40" s="137"/>
    </row>
    <row r="41" spans="1:36" ht="13.8" thickBot="1" x14ac:dyDescent="0.3">
      <c r="A41" s="144" t="s">
        <v>107</v>
      </c>
      <c r="B41" s="117">
        <f>SUM(B42:B47)</f>
        <v>0</v>
      </c>
      <c r="C41" s="116" t="e">
        <f t="shared" si="17"/>
        <v>#DIV/0!</v>
      </c>
      <c r="D41" s="117">
        <f>SUM(D42:D47)</f>
        <v>687.08</v>
      </c>
      <c r="E41" s="116" t="e">
        <f t="shared" si="18"/>
        <v>#DIV/0!</v>
      </c>
      <c r="F41" s="117">
        <f>SUM(F42:F47)</f>
        <v>6224.49</v>
      </c>
      <c r="G41" s="116" t="e">
        <f t="shared" si="1"/>
        <v>#DIV/0!</v>
      </c>
      <c r="H41" s="117">
        <f>SUM(H42:H47)</f>
        <v>14494.150000000001</v>
      </c>
      <c r="I41" s="116" t="e">
        <f t="shared" si="2"/>
        <v>#DIV/0!</v>
      </c>
      <c r="J41" s="117">
        <f>SUM(J42:J47)</f>
        <v>14352.289999999999</v>
      </c>
      <c r="K41" s="116" t="e">
        <f t="shared" si="3"/>
        <v>#DIV/0!</v>
      </c>
      <c r="L41" s="117">
        <f>SUM(L42:L47)</f>
        <v>5843.15</v>
      </c>
      <c r="M41" s="116">
        <f t="shared" si="4"/>
        <v>10.022211930980069</v>
      </c>
      <c r="N41" s="117">
        <f>SUM(N42:N47)</f>
        <v>2506.96</v>
      </c>
      <c r="O41" s="116">
        <f t="shared" si="5"/>
        <v>0.12769653074520035</v>
      </c>
      <c r="P41" s="117">
        <f>SUM(P42:P47)</f>
        <v>4776.2299999999996</v>
      </c>
      <c r="Q41" s="116">
        <f t="shared" si="6"/>
        <v>6.0203360587403221E-2</v>
      </c>
      <c r="R41" s="117">
        <f>SUM(R42:R47)</f>
        <v>1717</v>
      </c>
      <c r="S41" s="116">
        <f t="shared" si="7"/>
        <v>2.349214819071465E-2</v>
      </c>
      <c r="T41" s="117">
        <f>SUM(T42:T47)</f>
        <v>1879.77</v>
      </c>
      <c r="U41" s="116">
        <f t="shared" si="8"/>
        <v>2.8287453145054292E-2</v>
      </c>
      <c r="V41" s="117">
        <f>SUM(V42:V47)</f>
        <v>62888.08</v>
      </c>
      <c r="W41" s="116">
        <f t="shared" si="11"/>
        <v>1.0592941540303507</v>
      </c>
      <c r="X41" s="117">
        <f>SUM(X42:X47)</f>
        <v>5471.5899999999992</v>
      </c>
      <c r="Y41" s="116">
        <f t="shared" si="12"/>
        <v>7.6558177801222052E-2</v>
      </c>
      <c r="Z41" s="117">
        <f>SUM(Z42:Z47)</f>
        <v>0</v>
      </c>
      <c r="AA41" s="116" t="e">
        <f t="shared" si="13"/>
        <v>#DIV/0!</v>
      </c>
      <c r="AB41" s="117">
        <f>SUM(AB42:AB47)</f>
        <v>0</v>
      </c>
      <c r="AC41" s="116" t="e">
        <f t="shared" si="14"/>
        <v>#DIV/0!</v>
      </c>
      <c r="AD41" s="117">
        <f t="shared" si="22"/>
        <v>17262.97</v>
      </c>
      <c r="AE41" s="116">
        <f t="shared" si="19"/>
        <v>0.3266599251822826</v>
      </c>
      <c r="AF41" s="117">
        <f>SUM(AF42:AF47)</f>
        <v>120840.79</v>
      </c>
      <c r="AG41" s="118">
        <f t="shared" ref="AG41:AG50" si="23">AF41/AF$3</f>
        <v>0.36018985613156185</v>
      </c>
      <c r="AH41" s="136"/>
    </row>
    <row r="42" spans="1:36" ht="13.8" thickBot="1" x14ac:dyDescent="0.3">
      <c r="A42" s="48" t="s">
        <v>130</v>
      </c>
      <c r="B42" s="107"/>
      <c r="C42" s="122" t="e">
        <f t="shared" si="17"/>
        <v>#DIV/0!</v>
      </c>
      <c r="D42" s="107"/>
      <c r="E42" s="122" t="e">
        <f t="shared" si="18"/>
        <v>#DIV/0!</v>
      </c>
      <c r="F42" s="107"/>
      <c r="G42" s="122" t="e">
        <f t="shared" si="1"/>
        <v>#DIV/0!</v>
      </c>
      <c r="H42" s="107"/>
      <c r="I42" s="122" t="e">
        <f t="shared" si="2"/>
        <v>#DIV/0!</v>
      </c>
      <c r="J42" s="107"/>
      <c r="K42" s="122" t="e">
        <f t="shared" si="3"/>
        <v>#DIV/0!</v>
      </c>
      <c r="L42" s="107"/>
      <c r="M42" s="122">
        <f t="shared" si="4"/>
        <v>0</v>
      </c>
      <c r="N42" s="107"/>
      <c r="O42" s="122">
        <f t="shared" si="5"/>
        <v>0</v>
      </c>
      <c r="P42" s="107"/>
      <c r="Q42" s="122">
        <f t="shared" si="6"/>
        <v>0</v>
      </c>
      <c r="R42" s="107"/>
      <c r="S42" s="122">
        <f t="shared" si="7"/>
        <v>0</v>
      </c>
      <c r="T42" s="107"/>
      <c r="U42" s="122">
        <f t="shared" si="8"/>
        <v>0</v>
      </c>
      <c r="V42" s="107">
        <v>60905.760000000002</v>
      </c>
      <c r="W42" s="122">
        <f t="shared" si="11"/>
        <v>1.0259037247563541</v>
      </c>
      <c r="X42" s="107">
        <v>2840.1</v>
      </c>
      <c r="Y42" s="122">
        <f t="shared" si="12"/>
        <v>3.973851856101257E-2</v>
      </c>
      <c r="Z42" s="123"/>
      <c r="AA42" s="122" t="e">
        <f t="shared" si="13"/>
        <v>#DIV/0!</v>
      </c>
      <c r="AB42" s="123"/>
      <c r="AC42" s="122" t="e">
        <f t="shared" si="14"/>
        <v>#DIV/0!</v>
      </c>
      <c r="AD42" s="121">
        <f t="shared" si="22"/>
        <v>9106.5514285714289</v>
      </c>
      <c r="AE42" s="122">
        <f t="shared" si="19"/>
        <v>0.17231944493477955</v>
      </c>
      <c r="AF42" s="124">
        <f>V42+X42</f>
        <v>63745.86</v>
      </c>
      <c r="AG42" s="125">
        <f t="shared" si="23"/>
        <v>0.1900071337036334</v>
      </c>
      <c r="AH42" s="137"/>
      <c r="AJ42" s="110"/>
    </row>
    <row r="43" spans="1:36" ht="13.8" thickBot="1" x14ac:dyDescent="0.3">
      <c r="A43" s="107" t="s">
        <v>15</v>
      </c>
      <c r="B43" s="107"/>
      <c r="C43" s="122" t="e">
        <f t="shared" si="17"/>
        <v>#DIV/0!</v>
      </c>
      <c r="D43" s="107">
        <v>687.08</v>
      </c>
      <c r="E43" s="122" t="e">
        <f t="shared" si="18"/>
        <v>#DIV/0!</v>
      </c>
      <c r="F43" s="107"/>
      <c r="G43" s="122" t="e">
        <f t="shared" si="1"/>
        <v>#DIV/0!</v>
      </c>
      <c r="H43" s="107">
        <v>20</v>
      </c>
      <c r="I43" s="122" t="e">
        <f t="shared" si="2"/>
        <v>#DIV/0!</v>
      </c>
      <c r="J43" s="107">
        <v>65.92</v>
      </c>
      <c r="K43" s="122" t="e">
        <f t="shared" si="3"/>
        <v>#DIV/0!</v>
      </c>
      <c r="L43" s="107">
        <v>20</v>
      </c>
      <c r="M43" s="122">
        <f t="shared" si="4"/>
        <v>3.430414050975953E-2</v>
      </c>
      <c r="N43" s="107">
        <v>25</v>
      </c>
      <c r="O43" s="122">
        <f t="shared" si="5"/>
        <v>1.2734201058772412E-3</v>
      </c>
      <c r="P43" s="107">
        <v>25</v>
      </c>
      <c r="Q43" s="122">
        <f t="shared" si="6"/>
        <v>3.1511966858486308E-4</v>
      </c>
      <c r="R43" s="107">
        <v>25</v>
      </c>
      <c r="S43" s="122">
        <f t="shared" si="7"/>
        <v>3.4205224505991043E-4</v>
      </c>
      <c r="T43" s="107">
        <v>41.5</v>
      </c>
      <c r="U43" s="122">
        <f t="shared" si="8"/>
        <v>6.2450688409739126E-4</v>
      </c>
      <c r="V43" s="107">
        <v>94</v>
      </c>
      <c r="W43" s="122">
        <f t="shared" si="11"/>
        <v>1.583346963031038E-3</v>
      </c>
      <c r="X43" s="107">
        <f>80.5+20</f>
        <v>100.5</v>
      </c>
      <c r="Y43" s="122">
        <f t="shared" si="12"/>
        <v>1.4061903156162682E-3</v>
      </c>
      <c r="Z43" s="123"/>
      <c r="AA43" s="122" t="e">
        <f t="shared" si="13"/>
        <v>#DIV/0!</v>
      </c>
      <c r="AB43" s="123"/>
      <c r="AC43" s="122" t="e">
        <f t="shared" si="14"/>
        <v>#DIV/0!</v>
      </c>
      <c r="AD43" s="121">
        <f t="shared" si="22"/>
        <v>157.71428571428572</v>
      </c>
      <c r="AE43" s="122">
        <f t="shared" si="19"/>
        <v>2.9843611366761171E-3</v>
      </c>
      <c r="AF43" s="124">
        <f>B43+D43+F43+H43+J43+L43+N43+P43+R43+T43+V43+X43</f>
        <v>1104</v>
      </c>
      <c r="AG43" s="125">
        <f t="shared" si="23"/>
        <v>3.290690181429998E-3</v>
      </c>
      <c r="AH43" s="137"/>
      <c r="AJ43" s="110"/>
    </row>
    <row r="44" spans="1:36" ht="13.8" thickBot="1" x14ac:dyDescent="0.3">
      <c r="A44" s="107" t="s">
        <v>16</v>
      </c>
      <c r="B44" s="107"/>
      <c r="C44" s="122" t="e">
        <f t="shared" si="17"/>
        <v>#DIV/0!</v>
      </c>
      <c r="D44" s="107"/>
      <c r="E44" s="122" t="e">
        <f t="shared" si="18"/>
        <v>#DIV/0!</v>
      </c>
      <c r="F44" s="107"/>
      <c r="G44" s="122" t="e">
        <f t="shared" si="1"/>
        <v>#DIV/0!</v>
      </c>
      <c r="H44" s="107"/>
      <c r="I44" s="122" t="e">
        <f t="shared" si="2"/>
        <v>#DIV/0!</v>
      </c>
      <c r="J44" s="107"/>
      <c r="K44" s="122" t="e">
        <f t="shared" si="3"/>
        <v>#DIV/0!</v>
      </c>
      <c r="L44" s="107"/>
      <c r="M44" s="122">
        <f t="shared" si="4"/>
        <v>0</v>
      </c>
      <c r="N44" s="107"/>
      <c r="O44" s="122">
        <f t="shared" si="5"/>
        <v>0</v>
      </c>
      <c r="P44" s="107"/>
      <c r="Q44" s="122">
        <f t="shared" si="6"/>
        <v>0</v>
      </c>
      <c r="R44" s="107"/>
      <c r="S44" s="122">
        <f t="shared" si="7"/>
        <v>0</v>
      </c>
      <c r="T44" s="107"/>
      <c r="U44" s="122">
        <f t="shared" si="8"/>
        <v>0</v>
      </c>
      <c r="V44" s="107"/>
      <c r="W44" s="122">
        <f t="shared" si="11"/>
        <v>0</v>
      </c>
      <c r="X44" s="107"/>
      <c r="Y44" s="122">
        <f t="shared" si="12"/>
        <v>0</v>
      </c>
      <c r="Z44" s="123"/>
      <c r="AA44" s="122" t="e">
        <f t="shared" si="13"/>
        <v>#DIV/0!</v>
      </c>
      <c r="AB44" s="123"/>
      <c r="AC44" s="122" t="e">
        <f t="shared" si="14"/>
        <v>#DIV/0!</v>
      </c>
      <c r="AD44" s="121">
        <f t="shared" si="22"/>
        <v>0</v>
      </c>
      <c r="AE44" s="122">
        <f t="shared" si="19"/>
        <v>0</v>
      </c>
      <c r="AF44" s="124">
        <f>B44+D44+F44+H44+J44+L44+N44+P44+R44+T44+V44+X44</f>
        <v>0</v>
      </c>
      <c r="AG44" s="125">
        <f t="shared" si="23"/>
        <v>0</v>
      </c>
      <c r="AH44" s="137"/>
      <c r="AJ44" s="110"/>
    </row>
    <row r="45" spans="1:36" ht="13.8" thickBot="1" x14ac:dyDescent="0.3">
      <c r="A45" s="109" t="s">
        <v>122</v>
      </c>
      <c r="B45" s="107"/>
      <c r="C45" s="122" t="e">
        <f t="shared" si="17"/>
        <v>#DIV/0!</v>
      </c>
      <c r="D45" s="107"/>
      <c r="E45" s="122" t="e">
        <f t="shared" si="18"/>
        <v>#DIV/0!</v>
      </c>
      <c r="F45" s="107">
        <f>2011.37+1915.33+1157.79</f>
        <v>5084.49</v>
      </c>
      <c r="G45" s="122" t="e">
        <f t="shared" si="1"/>
        <v>#DIV/0!</v>
      </c>
      <c r="H45" s="107">
        <f>154.54+10236.72+3227.69</f>
        <v>13618.95</v>
      </c>
      <c r="I45" s="122" t="e">
        <f t="shared" si="2"/>
        <v>#DIV/0!</v>
      </c>
      <c r="J45" s="107">
        <f>1640+225.5+6367.62+5690.65</f>
        <v>13923.769999999999</v>
      </c>
      <c r="K45" s="122" t="e">
        <f t="shared" si="3"/>
        <v>#DIV/0!</v>
      </c>
      <c r="L45" s="107">
        <f>3156.47+2666.68</f>
        <v>5823.15</v>
      </c>
      <c r="M45" s="122">
        <f t="shared" si="4"/>
        <v>9.9879077904703095</v>
      </c>
      <c r="N45" s="48">
        <f>1379.01+1038.45</f>
        <v>2417.46</v>
      </c>
      <c r="O45" s="122">
        <f t="shared" si="5"/>
        <v>0.12313768676615981</v>
      </c>
      <c r="P45" s="107">
        <f>3394.45+1356.78</f>
        <v>4751.2299999999996</v>
      </c>
      <c r="Q45" s="122">
        <f t="shared" si="6"/>
        <v>5.9888240918818357E-2</v>
      </c>
      <c r="R45" s="107">
        <v>1162</v>
      </c>
      <c r="S45" s="122">
        <f t="shared" si="7"/>
        <v>1.5898588350384636E-2</v>
      </c>
      <c r="T45" s="107">
        <f>88.5+217.65</f>
        <v>306.14999999999998</v>
      </c>
      <c r="U45" s="122">
        <f>T45/T$2</f>
        <v>4.6070550016003931E-3</v>
      </c>
      <c r="V45" s="107"/>
      <c r="W45" s="122">
        <f>V45/V$2</f>
        <v>0</v>
      </c>
      <c r="X45" s="107"/>
      <c r="Y45" s="122">
        <f>X45/X$2</f>
        <v>0</v>
      </c>
      <c r="Z45" s="123"/>
      <c r="AA45" s="122" t="e">
        <f>Z45/Z$2</f>
        <v>#DIV/0!</v>
      </c>
      <c r="AB45" s="123"/>
      <c r="AC45" s="122" t="e">
        <f>AB45/AB$2</f>
        <v>#DIV/0!</v>
      </c>
      <c r="AD45" s="121">
        <f t="shared" si="22"/>
        <v>6726.7428571428582</v>
      </c>
      <c r="AE45" s="122">
        <f>AD45/AD$2</f>
        <v>0.12728732764030407</v>
      </c>
      <c r="AF45" s="124">
        <f>B45+D45+F45+H45+J45+L45+N45+P45+R45+T45+V45+X45</f>
        <v>47087.200000000004</v>
      </c>
      <c r="AG45" s="125">
        <f t="shared" si="23"/>
        <v>0.14035270535419439</v>
      </c>
      <c r="AH45" s="137"/>
    </row>
    <row r="46" spans="1:36" ht="13.8" thickBot="1" x14ac:dyDescent="0.3">
      <c r="A46" s="107" t="s">
        <v>120</v>
      </c>
      <c r="B46" s="107"/>
      <c r="C46" s="122" t="e">
        <f t="shared" si="17"/>
        <v>#DIV/0!</v>
      </c>
      <c r="D46" s="107"/>
      <c r="E46" s="122" t="e">
        <f t="shared" si="18"/>
        <v>#DIV/0!</v>
      </c>
      <c r="F46" s="107"/>
      <c r="G46" s="122" t="e">
        <f t="shared" si="1"/>
        <v>#DIV/0!</v>
      </c>
      <c r="H46" s="107"/>
      <c r="I46" s="122" t="e">
        <f t="shared" si="2"/>
        <v>#DIV/0!</v>
      </c>
      <c r="J46" s="107"/>
      <c r="K46" s="122" t="e">
        <f t="shared" si="3"/>
        <v>#DIV/0!</v>
      </c>
      <c r="L46" s="107"/>
      <c r="M46" s="122">
        <f t="shared" si="4"/>
        <v>0</v>
      </c>
      <c r="N46" s="107">
        <v>64.5</v>
      </c>
      <c r="O46" s="122">
        <f t="shared" si="5"/>
        <v>3.2854238731632821E-3</v>
      </c>
      <c r="P46" s="107"/>
      <c r="Q46" s="122">
        <f t="shared" si="6"/>
        <v>0</v>
      </c>
      <c r="R46" s="107">
        <v>20</v>
      </c>
      <c r="S46" s="122">
        <f t="shared" si="7"/>
        <v>2.7364179604792834E-4</v>
      </c>
      <c r="T46" s="107">
        <v>1122.1199999999999</v>
      </c>
      <c r="U46" s="122">
        <f t="shared" si="8"/>
        <v>1.6886064211647338E-2</v>
      </c>
      <c r="V46" s="107">
        <v>1038.32</v>
      </c>
      <c r="W46" s="122">
        <f t="shared" si="11"/>
        <v>1.7489583177174334E-2</v>
      </c>
      <c r="X46" s="107">
        <v>2181.21</v>
      </c>
      <c r="Y46" s="122">
        <f t="shared" si="12"/>
        <v>3.051936694851105E-2</v>
      </c>
      <c r="Z46" s="123"/>
      <c r="AA46" s="122" t="e">
        <f t="shared" si="13"/>
        <v>#DIV/0!</v>
      </c>
      <c r="AB46" s="123"/>
      <c r="AC46" s="122" t="e">
        <f t="shared" si="14"/>
        <v>#DIV/0!</v>
      </c>
      <c r="AD46" s="121">
        <f t="shared" si="22"/>
        <v>632.30714285714282</v>
      </c>
      <c r="AE46" s="122">
        <f t="shared" si="19"/>
        <v>1.1964882287227351E-2</v>
      </c>
      <c r="AF46" s="124">
        <f>B46+D46+F46+H46+J46+L46+N46+P46+R46+T46+V46+X46</f>
        <v>4426.1499999999996</v>
      </c>
      <c r="AG46" s="125">
        <f t="shared" si="23"/>
        <v>1.3193014806645276E-2</v>
      </c>
      <c r="AH46" s="137"/>
      <c r="AJ46" s="110"/>
    </row>
    <row r="47" spans="1:36" ht="13.8" thickBot="1" x14ac:dyDescent="0.3">
      <c r="A47" s="107" t="s">
        <v>119</v>
      </c>
      <c r="B47" s="107"/>
      <c r="C47" s="122" t="e">
        <f t="shared" si="17"/>
        <v>#DIV/0!</v>
      </c>
      <c r="D47" s="107"/>
      <c r="E47" s="122" t="e">
        <f t="shared" si="18"/>
        <v>#DIV/0!</v>
      </c>
      <c r="F47" s="107">
        <v>1140</v>
      </c>
      <c r="G47" s="122" t="e">
        <f t="shared" si="1"/>
        <v>#DIV/0!</v>
      </c>
      <c r="H47" s="107">
        <v>855.2</v>
      </c>
      <c r="I47" s="122" t="e">
        <f t="shared" si="2"/>
        <v>#DIV/0!</v>
      </c>
      <c r="J47" s="107">
        <v>362.6</v>
      </c>
      <c r="K47" s="122" t="e">
        <f t="shared" si="3"/>
        <v>#DIV/0!</v>
      </c>
      <c r="L47" s="107"/>
      <c r="M47" s="122">
        <f t="shared" si="4"/>
        <v>0</v>
      </c>
      <c r="N47" s="107"/>
      <c r="O47" s="122">
        <f t="shared" si="5"/>
        <v>0</v>
      </c>
      <c r="P47" s="107"/>
      <c r="Q47" s="122">
        <f t="shared" si="6"/>
        <v>0</v>
      </c>
      <c r="R47" s="107">
        <f>450+60</f>
        <v>510</v>
      </c>
      <c r="S47" s="122">
        <f t="shared" si="7"/>
        <v>6.9778657992221734E-3</v>
      </c>
      <c r="T47" s="107">
        <v>410</v>
      </c>
      <c r="U47" s="122">
        <f t="shared" si="8"/>
        <v>6.1698270477091666E-3</v>
      </c>
      <c r="V47" s="107">
        <f>850</f>
        <v>850</v>
      </c>
      <c r="W47" s="122">
        <f t="shared" si="11"/>
        <v>1.4317499133791302E-2</v>
      </c>
      <c r="X47" s="107">
        <v>349.78</v>
      </c>
      <c r="Y47" s="122">
        <f t="shared" si="12"/>
        <v>4.8941019760821713E-3</v>
      </c>
      <c r="Z47" s="123"/>
      <c r="AA47" s="122" t="e">
        <f t="shared" si="13"/>
        <v>#DIV/0!</v>
      </c>
      <c r="AB47" s="123"/>
      <c r="AC47" s="122" t="e">
        <f t="shared" si="14"/>
        <v>#DIV/0!</v>
      </c>
      <c r="AD47" s="121">
        <f t="shared" si="22"/>
        <v>639.65428571428572</v>
      </c>
      <c r="AE47" s="122">
        <f t="shared" si="19"/>
        <v>1.2103909183295514E-2</v>
      </c>
      <c r="AF47" s="124">
        <f>B47+D47+F47+H47+J47+L47+N47+P47+R47+T47+V47+X47</f>
        <v>4477.58</v>
      </c>
      <c r="AG47" s="125">
        <f t="shared" si="23"/>
        <v>1.3346312085658814E-2</v>
      </c>
      <c r="AH47" s="137"/>
      <c r="AJ47" s="110"/>
    </row>
    <row r="48" spans="1:36" ht="13.8" thickBot="1" x14ac:dyDescent="0.3">
      <c r="A48" s="127" t="s">
        <v>109</v>
      </c>
      <c r="B48" s="119">
        <f>B2-B6-B19-B41</f>
        <v>0</v>
      </c>
      <c r="C48" s="116" t="e">
        <f>B48/B$2</f>
        <v>#DIV/0!</v>
      </c>
      <c r="D48" s="119">
        <f>D2-D6-D19-D41</f>
        <v>-687.08</v>
      </c>
      <c r="E48" s="116" t="e">
        <f>D48/D$2</f>
        <v>#DIV/0!</v>
      </c>
      <c r="F48" s="119">
        <f>F2-F6-F19-F41</f>
        <v>-6224.49</v>
      </c>
      <c r="G48" s="116" t="e">
        <f>F48/F$2</f>
        <v>#DIV/0!</v>
      </c>
      <c r="H48" s="119">
        <f>H2-H6-H19-H41</f>
        <v>-18029.480000000003</v>
      </c>
      <c r="I48" s="116" t="e">
        <f>H48/H$2</f>
        <v>#DIV/0!</v>
      </c>
      <c r="J48" s="119">
        <f>J2-J6-J19-J41</f>
        <v>-17612.509999999998</v>
      </c>
      <c r="K48" s="116" t="e">
        <f>J48/J$2</f>
        <v>#DIV/0!</v>
      </c>
      <c r="L48" s="119">
        <f>L2-L6-L19-L41</f>
        <v>-12873.57</v>
      </c>
      <c r="M48" s="116">
        <f>L48/L$2</f>
        <v>-22.08083770711125</v>
      </c>
      <c r="N48" s="119">
        <f>N2-N6-N19-N41</f>
        <v>-485.31999999999698</v>
      </c>
      <c r="O48" s="116">
        <f>N48/N$2</f>
        <v>-2.4720649831373554E-2</v>
      </c>
      <c r="P48" s="119">
        <f>P2-P6-P19-P41</f>
        <v>49107.44</v>
      </c>
      <c r="Q48" s="116">
        <f>P48/P$2</f>
        <v>0.61898880871404205</v>
      </c>
      <c r="R48" s="119">
        <f>R2-R6-R19-R41</f>
        <v>50336.880000000005</v>
      </c>
      <c r="S48" s="116">
        <f>R48/R$2</f>
        <v>0.68871371253245228</v>
      </c>
      <c r="T48" s="119">
        <f>T2-T6-T19-T41</f>
        <v>36529.89</v>
      </c>
      <c r="U48" s="116">
        <f>T48/T$2</f>
        <v>0.54971488627278198</v>
      </c>
      <c r="V48" s="119">
        <f>V2-V6-V19-V41</f>
        <v>-30415.329999999998</v>
      </c>
      <c r="W48" s="116">
        <f>V48/V$2</f>
        <v>-0.512319365798796</v>
      </c>
      <c r="X48" s="119">
        <f>X2-X6-X19-X41</f>
        <v>21001.119999999999</v>
      </c>
      <c r="Y48" s="116">
        <f>X48/X$2</f>
        <v>0.2938464831949763</v>
      </c>
      <c r="Z48" s="119">
        <f>Z2-Z6-Z19-Z41</f>
        <v>0</v>
      </c>
      <c r="AA48" s="116" t="e">
        <f>Z48/Z$2</f>
        <v>#DIV/0!</v>
      </c>
      <c r="AB48" s="119">
        <f>AB2-AB6-AB19-AB41</f>
        <v>0</v>
      </c>
      <c r="AC48" s="116" t="e">
        <f>AB48/AB$2</f>
        <v>#DIV/0!</v>
      </c>
      <c r="AD48" s="117">
        <f t="shared" si="22"/>
        <v>10092.507142857143</v>
      </c>
      <c r="AE48" s="116">
        <f>AD48/AD$2</f>
        <v>0.19097627049038299</v>
      </c>
      <c r="AF48" s="119">
        <f>AF3-AF6-AF19-AF41</f>
        <v>36211.059999999954</v>
      </c>
      <c r="AG48" s="116">
        <f>AF48/AF$2</f>
        <v>9.7886666831383098E-2</v>
      </c>
      <c r="AH48" s="119"/>
    </row>
    <row r="49" spans="1:34" ht="13.8" thickBot="1" x14ac:dyDescent="0.3">
      <c r="A49" s="127" t="s">
        <v>108</v>
      </c>
      <c r="B49" s="119">
        <f>B2-B6-B19</f>
        <v>0</v>
      </c>
      <c r="C49" s="116" t="e">
        <f>B49/B$2</f>
        <v>#DIV/0!</v>
      </c>
      <c r="D49" s="119">
        <f>D2-D6-D19</f>
        <v>0</v>
      </c>
      <c r="E49" s="116" t="e">
        <f>D49/D$2</f>
        <v>#DIV/0!</v>
      </c>
      <c r="F49" s="119">
        <f>F2-F6-F19</f>
        <v>0</v>
      </c>
      <c r="G49" s="116" t="e">
        <f>F49/F$2</f>
        <v>#DIV/0!</v>
      </c>
      <c r="H49" s="119">
        <f>H2-H6-H19</f>
        <v>-3535.33</v>
      </c>
      <c r="I49" s="116" t="e">
        <f>H49/H$2</f>
        <v>#DIV/0!</v>
      </c>
      <c r="J49" s="119">
        <f>J2-J6-J19</f>
        <v>-3260.2200000000003</v>
      </c>
      <c r="K49" s="116" t="e">
        <f>J49/J$2</f>
        <v>#DIV/0!</v>
      </c>
      <c r="L49" s="119">
        <f>L2-L6-L19</f>
        <v>-7030.42</v>
      </c>
      <c r="M49" s="116">
        <f>L49/L$2</f>
        <v>-12.05862577613118</v>
      </c>
      <c r="N49" s="119">
        <f>N2-N6-N19</f>
        <v>2021.6400000000031</v>
      </c>
      <c r="O49" s="116">
        <f>N49/N$2</f>
        <v>0.10297588091382678</v>
      </c>
      <c r="P49" s="119">
        <f>P2-P6-P19</f>
        <v>53883.670000000006</v>
      </c>
      <c r="Q49" s="116">
        <f>P49/P$2</f>
        <v>0.67919216930144533</v>
      </c>
      <c r="R49" s="119">
        <f>R2-R6-R19</f>
        <v>52053.880000000005</v>
      </c>
      <c r="S49" s="116">
        <f>R49/R$2</f>
        <v>0.71220586072316694</v>
      </c>
      <c r="T49" s="119">
        <f>T2-T6-T19</f>
        <v>38409.659999999996</v>
      </c>
      <c r="U49" s="116">
        <f>T49/T$2</f>
        <v>0.57800233941783619</v>
      </c>
      <c r="V49" s="119">
        <f>V2-V6-V19</f>
        <v>32472.750000000004</v>
      </c>
      <c r="W49" s="116">
        <f>V49/V$2</f>
        <v>0.54697478823155476</v>
      </c>
      <c r="X49" s="119">
        <f>X2-X6-X19</f>
        <v>26472.71</v>
      </c>
      <c r="Y49" s="116">
        <f>X49/X$2</f>
        <v>0.3704046609961984</v>
      </c>
      <c r="Z49" s="119">
        <f>Z2-Z6-Z19</f>
        <v>0</v>
      </c>
      <c r="AA49" s="116" t="e">
        <f>Z49/Z$2</f>
        <v>#DIV/0!</v>
      </c>
      <c r="AB49" s="119">
        <f>AB2-AB6-AB19</f>
        <v>0</v>
      </c>
      <c r="AC49" s="116" t="e">
        <f>AB49/AB$2</f>
        <v>#DIV/0!</v>
      </c>
      <c r="AD49" s="117">
        <f t="shared" si="22"/>
        <v>27355.477142857144</v>
      </c>
      <c r="AE49" s="116">
        <f>AD49/AD$2</f>
        <v>0.51763619567266561</v>
      </c>
      <c r="AF49" s="119">
        <f>AF3-AF6-AF19</f>
        <v>157051.84999999995</v>
      </c>
      <c r="AG49" s="116">
        <f t="shared" si="23"/>
        <v>0.46812407678479773</v>
      </c>
      <c r="AH49" s="119"/>
    </row>
    <row r="50" spans="1:34" ht="13.8" thickBot="1" x14ac:dyDescent="0.3">
      <c r="A50" s="139" t="s">
        <v>134</v>
      </c>
      <c r="B50" s="120" t="e">
        <f>B19/C18</f>
        <v>#DIV/0!</v>
      </c>
      <c r="C50" s="116" t="e">
        <f>B50/B$2</f>
        <v>#DIV/0!</v>
      </c>
      <c r="D50" s="120" t="e">
        <f>D19/E18</f>
        <v>#DIV/0!</v>
      </c>
      <c r="E50" s="116" t="e">
        <f>D50/D$2</f>
        <v>#DIV/0!</v>
      </c>
      <c r="F50" s="120" t="e">
        <f>F19/G18</f>
        <v>#DIV/0!</v>
      </c>
      <c r="G50" s="116" t="e">
        <f>F50/F$2</f>
        <v>#DIV/0!</v>
      </c>
      <c r="H50" s="120" t="e">
        <f>H19/I18</f>
        <v>#DIV/0!</v>
      </c>
      <c r="I50" s="116" t="e">
        <f>H50/H$2</f>
        <v>#DIV/0!</v>
      </c>
      <c r="J50" s="120" t="e">
        <f>J19/K18</f>
        <v>#DIV/0!</v>
      </c>
      <c r="K50" s="116" t="e">
        <f>J50/J$2</f>
        <v>#DIV/0!</v>
      </c>
      <c r="L50" s="120">
        <f>L19/M18</f>
        <v>-23063.428992731046</v>
      </c>
      <c r="M50" s="116">
        <f>L50/L$2</f>
        <v>-39.558555440175375</v>
      </c>
      <c r="N50" s="120">
        <f>N19/O18</f>
        <v>17471.394992620328</v>
      </c>
      <c r="O50" s="142">
        <f>N50/N$2</f>
        <v>0.88993702645302719</v>
      </c>
      <c r="P50" s="120">
        <f>P19/Q18</f>
        <v>22874.684899061554</v>
      </c>
      <c r="Q50" s="142">
        <f>P50/P$2</f>
        <v>0.28833052497501799</v>
      </c>
      <c r="R50" s="120">
        <f>R19/S18</f>
        <v>16320.033009077624</v>
      </c>
      <c r="S50" s="142">
        <f>R50/R$2</f>
        <v>0.22329215720827389</v>
      </c>
      <c r="T50" s="120">
        <f>T19/U18</f>
        <v>24252.664764572048</v>
      </c>
      <c r="U50" s="142">
        <f>T50/T$2</f>
        <v>0.36496279766702361</v>
      </c>
      <c r="V50" s="120">
        <f>V19/W18</f>
        <v>23217.158938311328</v>
      </c>
      <c r="W50" s="142">
        <f>V50/V$2</f>
        <v>0.39107253292749106</v>
      </c>
      <c r="X50" s="120">
        <f>X19/Y18</f>
        <v>42032.228336541848</v>
      </c>
      <c r="Y50" s="142">
        <f>X50/X$2</f>
        <v>0.58811256149867497</v>
      </c>
      <c r="Z50" s="120" t="e">
        <f>Z19/AA18</f>
        <v>#DIV/0!</v>
      </c>
      <c r="AA50" s="116" t="e">
        <f>Z50/Z$2</f>
        <v>#DIV/0!</v>
      </c>
      <c r="AB50" s="120" t="e">
        <f>AB19/AC18</f>
        <v>#DIV/0!</v>
      </c>
      <c r="AC50" s="116" t="e">
        <f>AB50/AB$2</f>
        <v>#DIV/0!</v>
      </c>
      <c r="AD50" s="117" t="e">
        <f t="shared" si="22"/>
        <v>#DIV/0!</v>
      </c>
      <c r="AE50" s="116" t="e">
        <f>AD50/AD$2</f>
        <v>#DIV/0!</v>
      </c>
      <c r="AF50" s="120">
        <f>AF19/AG18</f>
        <v>178662.24335012431</v>
      </c>
      <c r="AG50" s="142">
        <f t="shared" si="23"/>
        <v>0.53253812498597008</v>
      </c>
      <c r="AH50" s="120"/>
    </row>
    <row r="51" spans="1:34" ht="13.8" thickBot="1" x14ac:dyDescent="0.3">
      <c r="A51" s="147" t="s">
        <v>133</v>
      </c>
      <c r="B51" s="148" t="e">
        <f>(B19+B41)/C18</f>
        <v>#DIV/0!</v>
      </c>
      <c r="C51" s="149" t="e">
        <f>B51/B$2</f>
        <v>#DIV/0!</v>
      </c>
      <c r="D51" s="148" t="e">
        <f>(D19+D41)/E18</f>
        <v>#DIV/0!</v>
      </c>
      <c r="E51" s="149" t="e">
        <f>D51/D$2</f>
        <v>#DIV/0!</v>
      </c>
      <c r="F51" s="148" t="e">
        <f>(F19+F41)/G18</f>
        <v>#DIV/0!</v>
      </c>
      <c r="G51" s="149" t="e">
        <f>F51/F$2</f>
        <v>#DIV/0!</v>
      </c>
      <c r="H51" s="148" t="e">
        <f>(H19+H41)/I18</f>
        <v>#DIV/0!</v>
      </c>
      <c r="I51" s="149" t="e">
        <f>H51/H$2</f>
        <v>#DIV/0!</v>
      </c>
      <c r="J51" s="148" t="e">
        <f>(J19+J41)/K18</f>
        <v>#DIV/0!</v>
      </c>
      <c r="K51" s="149" t="e">
        <f>J51/J$2</f>
        <v>#DIV/0!</v>
      </c>
      <c r="L51" s="148">
        <f>(L19+L41)/M18</f>
        <v>-42716.557601246095</v>
      </c>
      <c r="M51" s="149">
        <f>L51/L$2</f>
        <v>-73.267739702319119</v>
      </c>
      <c r="N51" s="148">
        <f>(N19+N41)/O18</f>
        <v>20150.891100978166</v>
      </c>
      <c r="O51" s="150">
        <f>N51/N$2</f>
        <v>1.0264219951731348</v>
      </c>
      <c r="P51" s="148">
        <f>(P19+P41)/Q18</f>
        <v>27879.302517363263</v>
      </c>
      <c r="Q51" s="150">
        <f>P51/P$2</f>
        <v>0.35141266278594607</v>
      </c>
      <c r="R51" s="148">
        <f>(R19+R41)/S18</f>
        <v>18192.535665429343</v>
      </c>
      <c r="S51" s="150">
        <f>R51/R$2</f>
        <v>0.24891190670770394</v>
      </c>
      <c r="T51" s="148">
        <f>(T19+T41)/U18</f>
        <v>26317.922637112457</v>
      </c>
      <c r="U51" s="150">
        <f>T51/T$2</f>
        <v>0.39604153884383853</v>
      </c>
      <c r="V51" s="148">
        <f>(V19+V41)/W18</f>
        <v>93228.20896726058</v>
      </c>
      <c r="W51" s="150">
        <f>V51/V$2</f>
        <v>1.5703468248631387</v>
      </c>
      <c r="X51" s="148">
        <f>(X19+X41)/Y18</f>
        <v>48116.598828987124</v>
      </c>
      <c r="Y51" s="150">
        <f>X51/X$2</f>
        <v>0.67324472929069423</v>
      </c>
      <c r="Z51" s="148" t="e">
        <f>(Z19+Z41)/AA18</f>
        <v>#DIV/0!</v>
      </c>
      <c r="AA51" s="149" t="e">
        <f>Z51/Z$2</f>
        <v>#DIV/0!</v>
      </c>
      <c r="AB51" s="148" t="e">
        <f>(AB19+AB41)/AC18</f>
        <v>#DIV/0!</v>
      </c>
      <c r="AC51" s="149" t="e">
        <f>AB51/AB$2</f>
        <v>#DIV/0!</v>
      </c>
      <c r="AD51" s="151" t="e">
        <f t="shared" si="22"/>
        <v>#DIV/0!</v>
      </c>
      <c r="AE51" s="149" t="e">
        <f>AD51/AD$2</f>
        <v>#DIV/0!</v>
      </c>
      <c r="AF51" s="148">
        <f>(AF19+AF41)/AG18</f>
        <v>325828.64658988582</v>
      </c>
      <c r="AG51" s="150">
        <f>AF51/AF$3</f>
        <v>0.9711966740597483</v>
      </c>
      <c r="AH51" s="148"/>
    </row>
    <row r="52" spans="1:34" ht="13.8" thickBot="1" x14ac:dyDescent="0.3">
      <c r="A52" s="152" t="s">
        <v>138</v>
      </c>
      <c r="B52" s="153"/>
      <c r="C52" s="153"/>
      <c r="D52" s="153">
        <f>D41+D19+D6</f>
        <v>687.08</v>
      </c>
      <c r="E52" s="153"/>
      <c r="F52" s="153">
        <f>F41+F19+F6</f>
        <v>6224.49</v>
      </c>
      <c r="G52" s="153"/>
      <c r="H52" s="153">
        <f>H41+H19+H6</f>
        <v>18029.48</v>
      </c>
      <c r="I52" s="153"/>
      <c r="J52" s="153">
        <f>J41+J19+J6</f>
        <v>17612.509999999998</v>
      </c>
      <c r="K52" s="154"/>
      <c r="L52" s="153">
        <f>L41+L19+L6</f>
        <v>13456.59</v>
      </c>
      <c r="M52" s="154"/>
      <c r="N52" s="153">
        <f>N41+N19+N6</f>
        <v>20117.489999999998</v>
      </c>
      <c r="O52" s="154"/>
      <c r="P52" s="153">
        <f>P41+P19+P6</f>
        <v>30227.5</v>
      </c>
      <c r="Q52" s="154"/>
      <c r="R52" s="153">
        <f>R41+R19+R6</f>
        <v>22751.369999999995</v>
      </c>
      <c r="S52" s="154"/>
      <c r="T52" s="153">
        <f>T41+T19+T6</f>
        <v>29922.539999999997</v>
      </c>
      <c r="U52" s="154"/>
      <c r="V52" s="153">
        <f>V41+V19+V6</f>
        <v>89783.24</v>
      </c>
      <c r="W52" s="154"/>
      <c r="X52" s="153">
        <f>X41+X19+X6</f>
        <v>50468.579999999994</v>
      </c>
      <c r="Y52" s="154"/>
      <c r="Z52" s="154"/>
      <c r="AA52" s="154"/>
      <c r="AB52" s="154"/>
      <c r="AC52" s="154"/>
      <c r="AD52" s="155" t="e">
        <f>(B52+D52+F52+H52+J52+L52+N52+P52+R52+T52+V52+X52+Z52+AB52)/AJ$3</f>
        <v>#DIV/0!</v>
      </c>
      <c r="AE52" s="154"/>
      <c r="AF52" s="153">
        <f>D52+F52+H52+J52+L52+N52+P52+R52+T52+V52+X52</f>
        <v>299280.87</v>
      </c>
      <c r="AG52" s="154"/>
      <c r="AH52" s="154"/>
    </row>
    <row r="53" spans="1:34" ht="13.8" thickBot="1" x14ac:dyDescent="0.3">
      <c r="A53" s="152" t="s">
        <v>139</v>
      </c>
      <c r="B53" s="154"/>
      <c r="C53" s="154"/>
      <c r="D53" s="153">
        <f>D6+D19</f>
        <v>0</v>
      </c>
      <c r="E53" s="154"/>
      <c r="F53" s="153">
        <f>F6+F19</f>
        <v>0</v>
      </c>
      <c r="G53" s="154"/>
      <c r="H53" s="153">
        <f>H6+H19</f>
        <v>3535.33</v>
      </c>
      <c r="I53" s="154"/>
      <c r="J53" s="153">
        <f>J6+J19</f>
        <v>3260.2200000000003</v>
      </c>
      <c r="K53" s="154"/>
      <c r="L53" s="153">
        <f>L6+L19</f>
        <v>7613.44</v>
      </c>
      <c r="M53" s="154"/>
      <c r="N53" s="153">
        <f>N6+N19</f>
        <v>17610.53</v>
      </c>
      <c r="O53" s="154"/>
      <c r="P53" s="153">
        <f>P6+P19</f>
        <v>25451.27</v>
      </c>
      <c r="Q53" s="154"/>
      <c r="R53" s="153">
        <f>R6+R19</f>
        <v>21034.37</v>
      </c>
      <c r="S53" s="154"/>
      <c r="T53" s="153">
        <f>T6+T19</f>
        <v>28042.769999999997</v>
      </c>
      <c r="U53" s="154"/>
      <c r="V53" s="153">
        <f>V6+V19</f>
        <v>26895.160000000003</v>
      </c>
      <c r="W53" s="154"/>
      <c r="X53" s="153">
        <f>X6+X19</f>
        <v>44996.99</v>
      </c>
      <c r="Y53" s="154"/>
      <c r="Z53" s="154"/>
      <c r="AA53" s="154"/>
      <c r="AB53" s="154"/>
      <c r="AC53" s="154"/>
      <c r="AD53" s="155" t="e">
        <f>(B53+D53+F53+H53+J53+L53+N53+P53+R53+T53+V53+X53+Z53+AB53)/AJ$3</f>
        <v>#DIV/0!</v>
      </c>
      <c r="AE53" s="154"/>
      <c r="AF53" s="153">
        <f>D53+F53+H53+J53+L53+N53+P53+R53+T53+V53+X53</f>
        <v>178440.08</v>
      </c>
      <c r="AG53" s="154"/>
      <c r="AH53" s="154"/>
    </row>
    <row r="54" spans="1:34" x14ac:dyDescent="0.25">
      <c r="R54" s="140"/>
    </row>
    <row r="55" spans="1:34" x14ac:dyDescent="0.25">
      <c r="AF55" s="563">
        <f>AF48/AF2</f>
        <v>9.7886666831383098E-2</v>
      </c>
    </row>
  </sheetData>
  <conditionalFormatting sqref="B48:B49 D48:D49 F48:F49 H48:H49 J48:J49 L48:L49 N48:N49 P48:P49 R48:R49 T48:T49 V48:V49 X48:X49 Z48:Z49 AB48:AB49">
    <cfRule type="cellIs" dxfId="26" priority="43" stopIfTrue="1" operator="greaterThan">
      <formula>0</formula>
    </cfRule>
    <cfRule type="cellIs" dxfId="25" priority="44" stopIfTrue="1" operator="lessThan">
      <formula>0</formula>
    </cfRule>
  </conditionalFormatting>
  <conditionalFormatting sqref="C48:C49 E48:E49 G48:G49 I48:I49 K48:K49 M48:M49 O48:O49 Q48:Q49 S48:S49 U48:U49 W48:W49 Y48:Y49 AA48:AA49 AC48:AC49 AE48:AE49 AG48:AG49">
    <cfRule type="cellIs" dxfId="24" priority="79" stopIfTrue="1" operator="greaterThan">
      <formula>0</formula>
    </cfRule>
    <cfRule type="cellIs" dxfId="23" priority="80" stopIfTrue="1" operator="lessThan">
      <formula>0</formula>
    </cfRule>
  </conditionalFormatting>
  <conditionalFormatting sqref="C50:C51 E50:E51 G50:G51 I50:I51 K50:K51 M50:M51 AA50:AA51 AC50:AC51 AE50:AE51">
    <cfRule type="cellIs" dxfId="22" priority="77" stopIfTrue="1" operator="lessThan">
      <formula>1</formula>
    </cfRule>
    <cfRule type="cellIs" dxfId="21" priority="78" stopIfTrue="1" operator="greaterThan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4294967295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AE87"/>
  <sheetViews>
    <sheetView tabSelected="1" zoomScaleNormal="10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AC7" sqref="AC7:AC12"/>
    </sheetView>
  </sheetViews>
  <sheetFormatPr defaultColWidth="28.88671875" defaultRowHeight="14.4" x14ac:dyDescent="0.3"/>
  <cols>
    <col min="1" max="1" width="32" style="165" customWidth="1"/>
    <col min="2" max="2" width="10.88671875" style="165" customWidth="1"/>
    <col min="3" max="3" width="7" style="165" bestFit="1" customWidth="1"/>
    <col min="4" max="4" width="10" style="165" customWidth="1"/>
    <col min="5" max="5" width="7" style="165" bestFit="1" customWidth="1"/>
    <col min="6" max="6" width="10.109375" style="165" bestFit="1" customWidth="1"/>
    <col min="7" max="7" width="7" style="165" bestFit="1" customWidth="1"/>
    <col min="8" max="8" width="11.5546875" style="165" bestFit="1" customWidth="1"/>
    <col min="9" max="9" width="7" style="165" bestFit="1" customWidth="1"/>
    <col min="10" max="10" width="10.33203125" style="165" customWidth="1"/>
    <col min="11" max="11" width="7" style="165" bestFit="1" customWidth="1"/>
    <col min="12" max="12" width="10.5546875" style="165" bestFit="1" customWidth="1"/>
    <col min="13" max="13" width="7" style="165" bestFit="1" customWidth="1"/>
    <col min="14" max="14" width="10.5546875" style="165" bestFit="1" customWidth="1"/>
    <col min="15" max="15" width="7" style="165" bestFit="1" customWidth="1"/>
    <col min="16" max="16" width="10.5546875" style="165" bestFit="1" customWidth="1"/>
    <col min="17" max="17" width="7" style="165" bestFit="1" customWidth="1"/>
    <col min="18" max="18" width="10.5546875" style="165" bestFit="1" customWidth="1"/>
    <col min="19" max="19" width="7" style="165" bestFit="1" customWidth="1"/>
    <col min="20" max="20" width="9.88671875" style="165" bestFit="1" customWidth="1"/>
    <col min="21" max="21" width="7" style="165" bestFit="1" customWidth="1"/>
    <col min="22" max="22" width="10.44140625" style="165" bestFit="1" customWidth="1"/>
    <col min="23" max="23" width="7" style="165" bestFit="1" customWidth="1"/>
    <col min="24" max="24" width="10.5546875" style="165" bestFit="1" customWidth="1"/>
    <col min="25" max="25" width="7" style="165" bestFit="1" customWidth="1"/>
    <col min="26" max="26" width="10.44140625" style="165" customWidth="1"/>
    <col min="27" max="27" width="9.109375" style="165" customWidth="1"/>
    <col min="28" max="29" width="15.5546875" style="165" customWidth="1"/>
    <col min="30" max="30" width="8.33203125" style="165" customWidth="1"/>
    <col min="31" max="31" width="8" style="165" customWidth="1"/>
    <col min="32" max="34" width="28.88671875" style="165"/>
    <col min="35" max="35" width="23" style="165" customWidth="1"/>
    <col min="36" max="16384" width="28.88671875" style="165"/>
  </cols>
  <sheetData>
    <row r="1" spans="1:31" x14ac:dyDescent="0.3">
      <c r="A1" s="160"/>
      <c r="B1" s="161" t="s">
        <v>31</v>
      </c>
      <c r="C1" s="162" t="s">
        <v>32</v>
      </c>
      <c r="D1" s="161" t="s">
        <v>33</v>
      </c>
      <c r="E1" s="162" t="s">
        <v>32</v>
      </c>
      <c r="F1" s="161" t="s">
        <v>34</v>
      </c>
      <c r="G1" s="162" t="s">
        <v>32</v>
      </c>
      <c r="H1" s="161" t="s">
        <v>35</v>
      </c>
      <c r="I1" s="162" t="s">
        <v>32</v>
      </c>
      <c r="J1" s="161" t="s">
        <v>36</v>
      </c>
      <c r="K1" s="187" t="s">
        <v>32</v>
      </c>
      <c r="L1" s="161" t="s">
        <v>37</v>
      </c>
      <c r="M1" s="187" t="s">
        <v>32</v>
      </c>
      <c r="N1" s="161" t="s">
        <v>38</v>
      </c>
      <c r="O1" s="187" t="s">
        <v>32</v>
      </c>
      <c r="P1" s="161" t="s">
        <v>39</v>
      </c>
      <c r="Q1" s="187" t="s">
        <v>32</v>
      </c>
      <c r="R1" s="161" t="s">
        <v>40</v>
      </c>
      <c r="S1" s="187" t="s">
        <v>32</v>
      </c>
      <c r="T1" s="161" t="s">
        <v>41</v>
      </c>
      <c r="U1" s="187" t="s">
        <v>32</v>
      </c>
      <c r="V1" s="161" t="s">
        <v>101</v>
      </c>
      <c r="W1" s="187" t="s">
        <v>32</v>
      </c>
      <c r="X1" s="161" t="s">
        <v>102</v>
      </c>
      <c r="Y1" s="187" t="s">
        <v>32</v>
      </c>
      <c r="Z1" s="158" t="s">
        <v>43</v>
      </c>
      <c r="AA1" s="188" t="s">
        <v>32</v>
      </c>
      <c r="AB1" s="163" t="s">
        <v>132</v>
      </c>
      <c r="AC1" s="164"/>
      <c r="AE1" s="166" t="s">
        <v>45</v>
      </c>
    </row>
    <row r="2" spans="1:31" x14ac:dyDescent="0.3">
      <c r="A2" s="156" t="s">
        <v>6</v>
      </c>
      <c r="B2" s="167">
        <f>SUM(B3:B5)</f>
        <v>50373.51</v>
      </c>
      <c r="C2" s="184">
        <v>1</v>
      </c>
      <c r="D2" s="167">
        <f>SUM(D3:D5)</f>
        <v>83321.14</v>
      </c>
      <c r="E2" s="184">
        <v>1</v>
      </c>
      <c r="F2" s="167">
        <f>SUM(F3:F5)</f>
        <v>74435.070000000007</v>
      </c>
      <c r="G2" s="184">
        <v>1</v>
      </c>
      <c r="H2" s="167">
        <f>SUM(H3:H5)</f>
        <v>59630.400000000001</v>
      </c>
      <c r="I2" s="184">
        <v>1</v>
      </c>
      <c r="J2" s="167">
        <f>SUM(J3:J5)</f>
        <v>77143.67</v>
      </c>
      <c r="K2" s="184">
        <v>1</v>
      </c>
      <c r="L2" s="167">
        <f>SUM(L3:L5)</f>
        <v>73645.919999999998</v>
      </c>
      <c r="M2" s="184">
        <v>1</v>
      </c>
      <c r="N2" s="167">
        <v>68965.240000000005</v>
      </c>
      <c r="O2" s="184">
        <v>1</v>
      </c>
      <c r="P2" s="167">
        <f>SUM(P3:P4)</f>
        <v>60950.63</v>
      </c>
      <c r="Q2" s="184">
        <v>1</v>
      </c>
      <c r="R2" s="167">
        <f>SUM(R3:R4)</f>
        <v>86238.26</v>
      </c>
      <c r="S2" s="184">
        <v>1</v>
      </c>
      <c r="T2" s="167">
        <f>T3</f>
        <v>57348.57</v>
      </c>
      <c r="U2" s="184">
        <v>1</v>
      </c>
      <c r="V2" s="167">
        <f>V3</f>
        <v>122826.3</v>
      </c>
      <c r="W2" s="184">
        <v>1</v>
      </c>
      <c r="X2" s="167">
        <f>SUM(X3:X5)</f>
        <v>95205.9</v>
      </c>
      <c r="Y2" s="184">
        <v>1</v>
      </c>
      <c r="Z2" s="195">
        <f t="shared" ref="Z2:Z33" si="0">(B2+D2+F2+H2+J2+L2+N2+P2+R2+T2+V2+X2)/AE$2</f>
        <v>75840.38416666667</v>
      </c>
      <c r="AA2" s="190">
        <v>1</v>
      </c>
      <c r="AB2" s="167">
        <f>Z2*12</f>
        <v>910084.6100000001</v>
      </c>
      <c r="AC2" s="169">
        <v>1</v>
      </c>
      <c r="AD2" s="170"/>
      <c r="AE2" s="194">
        <f>COUNTIF(B2:Y2,"&gt;1")</f>
        <v>12</v>
      </c>
    </row>
    <row r="3" spans="1:31" x14ac:dyDescent="0.3">
      <c r="A3" s="157" t="s">
        <v>27</v>
      </c>
      <c r="B3" s="157">
        <v>50367.01</v>
      </c>
      <c r="C3" s="185">
        <f t="shared" ref="C3:E12" si="1">B3/B$2</f>
        <v>0.99987096392528529</v>
      </c>
      <c r="D3" s="157">
        <v>82983.12</v>
      </c>
      <c r="E3" s="185">
        <f t="shared" si="1"/>
        <v>0.99594316640410818</v>
      </c>
      <c r="F3" s="157">
        <v>74435.070000000007</v>
      </c>
      <c r="G3" s="185">
        <f t="shared" ref="G3:G60" si="2">F3/F$2</f>
        <v>1</v>
      </c>
      <c r="H3" s="157">
        <v>59577.93</v>
      </c>
      <c r="I3" s="185">
        <f t="shared" ref="I3:I60" si="3">H3/H$2</f>
        <v>0.99912007969089589</v>
      </c>
      <c r="J3" s="157">
        <v>77143.67</v>
      </c>
      <c r="K3" s="185">
        <f t="shared" ref="K3:K60" si="4">J3/J$2</f>
        <v>1</v>
      </c>
      <c r="L3" s="157">
        <v>73645.919999999998</v>
      </c>
      <c r="M3" s="185">
        <f t="shared" ref="M3:M60" si="5">L3/L$2</f>
        <v>1</v>
      </c>
      <c r="N3" s="157">
        <v>68965.240000000005</v>
      </c>
      <c r="O3" s="185">
        <f t="shared" ref="O3:O60" si="6">N3/N$2</f>
        <v>1</v>
      </c>
      <c r="P3" s="157">
        <v>60950.63</v>
      </c>
      <c r="Q3" s="185">
        <f t="shared" ref="Q3:Q60" si="7">P3/P$2</f>
        <v>1</v>
      </c>
      <c r="R3" s="157">
        <v>86238.26</v>
      </c>
      <c r="S3" s="185">
        <f t="shared" ref="S3:S60" si="8">R3/R$2</f>
        <v>1</v>
      </c>
      <c r="T3" s="157">
        <v>57348.57</v>
      </c>
      <c r="U3" s="185">
        <f t="shared" ref="U3:U60" si="9">T3/T$2</f>
        <v>1</v>
      </c>
      <c r="V3" s="157">
        <v>122826.3</v>
      </c>
      <c r="W3" s="185">
        <f>V3/V$2</f>
        <v>1</v>
      </c>
      <c r="X3" s="157">
        <v>95079.28</v>
      </c>
      <c r="Y3" s="185">
        <f>X3/X$2</f>
        <v>0.99867004040715968</v>
      </c>
      <c r="Z3" s="191">
        <f t="shared" si="0"/>
        <v>75796.75</v>
      </c>
      <c r="AA3" s="185">
        <f>Z3/Z$2</f>
        <v>0.99942465788977575</v>
      </c>
      <c r="AB3" s="172">
        <f>L3+N3+P3+R3+T3+V3+X3+J3+H3+F3+D3+B3</f>
        <v>909561.00000000012</v>
      </c>
      <c r="AC3" s="173">
        <f>AB3/AB$2</f>
        <v>0.99942465788977575</v>
      </c>
      <c r="AE3" s="159"/>
    </row>
    <row r="4" spans="1:31" x14ac:dyDescent="0.3">
      <c r="A4" s="157" t="s">
        <v>53</v>
      </c>
      <c r="B4" s="157">
        <v>6.5</v>
      </c>
      <c r="C4" s="185">
        <f t="shared" si="1"/>
        <v>1.2903607471466649E-4</v>
      </c>
      <c r="D4" s="157">
        <v>338.02</v>
      </c>
      <c r="E4" s="185">
        <f t="shared" si="1"/>
        <v>4.056833595891751E-3</v>
      </c>
      <c r="F4" s="157"/>
      <c r="G4" s="185">
        <f t="shared" si="2"/>
        <v>0</v>
      </c>
      <c r="H4" s="157">
        <v>52.47</v>
      </c>
      <c r="I4" s="185">
        <f t="shared" si="3"/>
        <v>8.7992030910408105E-4</v>
      </c>
      <c r="J4" s="157"/>
      <c r="K4" s="185">
        <f t="shared" si="4"/>
        <v>0</v>
      </c>
      <c r="L4" s="157"/>
      <c r="M4" s="185">
        <f t="shared" si="5"/>
        <v>0</v>
      </c>
      <c r="N4" s="157"/>
      <c r="O4" s="185">
        <f t="shared" si="6"/>
        <v>0</v>
      </c>
      <c r="P4" s="157"/>
      <c r="Q4" s="185">
        <f t="shared" si="7"/>
        <v>0</v>
      </c>
      <c r="R4" s="157"/>
      <c r="S4" s="185">
        <f t="shared" si="8"/>
        <v>0</v>
      </c>
      <c r="T4" s="157"/>
      <c r="U4" s="185">
        <f t="shared" si="9"/>
        <v>0</v>
      </c>
      <c r="V4" s="157"/>
      <c r="W4" s="185">
        <f>V4/V$2</f>
        <v>0</v>
      </c>
      <c r="X4" s="157">
        <v>126.62</v>
      </c>
      <c r="Y4" s="185">
        <f>X4/X$2</f>
        <v>1.3299595928403598E-3</v>
      </c>
      <c r="Z4" s="191">
        <f t="shared" si="0"/>
        <v>43.634166666666665</v>
      </c>
      <c r="AA4" s="185">
        <f t="shared" ref="AA4:AA5" si="10">Z4/Z$2</f>
        <v>5.7534211022423508E-4</v>
      </c>
      <c r="AB4" s="172">
        <f>L4+N4+P4+R4+T4+V4+X4+J4+H4+F4+D4+B4</f>
        <v>523.61</v>
      </c>
      <c r="AC4" s="173">
        <f>AB4/AB$2</f>
        <v>5.7534211022423508E-4</v>
      </c>
      <c r="AE4" s="159"/>
    </row>
    <row r="5" spans="1:31" x14ac:dyDescent="0.3">
      <c r="A5" s="157"/>
      <c r="B5" s="157"/>
      <c r="C5" s="185">
        <f t="shared" si="1"/>
        <v>0</v>
      </c>
      <c r="D5" s="157"/>
      <c r="E5" s="185">
        <f t="shared" si="1"/>
        <v>0</v>
      </c>
      <c r="F5" s="157"/>
      <c r="G5" s="185">
        <f t="shared" si="2"/>
        <v>0</v>
      </c>
      <c r="H5" s="157"/>
      <c r="I5" s="185">
        <f t="shared" si="3"/>
        <v>0</v>
      </c>
      <c r="J5" s="157"/>
      <c r="K5" s="185">
        <f t="shared" si="4"/>
        <v>0</v>
      </c>
      <c r="L5" s="157"/>
      <c r="M5" s="185">
        <f t="shared" si="5"/>
        <v>0</v>
      </c>
      <c r="N5" s="157"/>
      <c r="O5" s="185">
        <f t="shared" si="6"/>
        <v>0</v>
      </c>
      <c r="P5" s="157"/>
      <c r="Q5" s="185">
        <f t="shared" si="7"/>
        <v>0</v>
      </c>
      <c r="R5" s="157"/>
      <c r="S5" s="185">
        <f t="shared" si="8"/>
        <v>0</v>
      </c>
      <c r="T5" s="157"/>
      <c r="U5" s="185">
        <f t="shared" si="9"/>
        <v>0</v>
      </c>
      <c r="V5" s="157"/>
      <c r="W5" s="185">
        <f>V5/V$2</f>
        <v>0</v>
      </c>
      <c r="X5" s="157"/>
      <c r="Y5" s="185">
        <f>X5/X$2</f>
        <v>0</v>
      </c>
      <c r="Z5" s="191">
        <f t="shared" si="0"/>
        <v>0</v>
      </c>
      <c r="AA5" s="185">
        <f t="shared" si="10"/>
        <v>0</v>
      </c>
      <c r="AB5" s="172">
        <f>L5+N5+P5+R5+T5+V5+X5+J5+H5+F5+D5+B5</f>
        <v>0</v>
      </c>
      <c r="AC5" s="173">
        <f>AB5/AB$2</f>
        <v>0</v>
      </c>
      <c r="AE5" s="159"/>
    </row>
    <row r="6" spans="1:31" x14ac:dyDescent="0.3">
      <c r="A6" s="156" t="s">
        <v>105</v>
      </c>
      <c r="B6" s="167">
        <f>SUBTOTAL(9,B7:B12)</f>
        <v>4853.3899999999994</v>
      </c>
      <c r="C6" s="184">
        <f t="shared" si="1"/>
        <v>9.6348060716833092E-2</v>
      </c>
      <c r="D6" s="167">
        <f>SUBTOTAL(9,D7:D12)</f>
        <v>4087.23</v>
      </c>
      <c r="E6" s="184">
        <f t="shared" si="1"/>
        <v>4.9053937572145559E-2</v>
      </c>
      <c r="F6" s="167">
        <f>SUBTOTAL(9,F7:F12)</f>
        <v>8779.32</v>
      </c>
      <c r="G6" s="184">
        <f t="shared" si="2"/>
        <v>0.1179460165752514</v>
      </c>
      <c r="H6" s="167">
        <f>SUBTOTAL(9,H7:H12)</f>
        <v>8097.3899999999994</v>
      </c>
      <c r="I6" s="184">
        <f t="shared" si="3"/>
        <v>0.13579298478628349</v>
      </c>
      <c r="J6" s="167">
        <f>SUBTOTAL(9,J7:J12)</f>
        <v>7304.1</v>
      </c>
      <c r="K6" s="184">
        <f t="shared" si="4"/>
        <v>9.4681780112354008E-2</v>
      </c>
      <c r="L6" s="167">
        <f>SUBTOTAL(9,L7:L12)</f>
        <v>8145.73</v>
      </c>
      <c r="M6" s="184">
        <f t="shared" si="5"/>
        <v>0.11060667040346565</v>
      </c>
      <c r="N6" s="167">
        <f>SUBTOTAL(9,N7:N12)</f>
        <v>9829.489999999998</v>
      </c>
      <c r="O6" s="184">
        <f t="shared" si="6"/>
        <v>0.14252817796327538</v>
      </c>
      <c r="P6" s="167">
        <f>SUBTOTAL(9,P7:P12)</f>
        <v>9188.31</v>
      </c>
      <c r="Q6" s="184">
        <f t="shared" si="7"/>
        <v>0.15075004146798809</v>
      </c>
      <c r="R6" s="167">
        <f>SUBTOTAL(9,R7:R12)</f>
        <v>8209.33</v>
      </c>
      <c r="S6" s="184">
        <f t="shared" si="8"/>
        <v>9.5193595047024376E-2</v>
      </c>
      <c r="T6" s="167">
        <f>SUBTOTAL(9,T7:T12)</f>
        <v>10631.45</v>
      </c>
      <c r="U6" s="184">
        <f t="shared" si="9"/>
        <v>0.18538300083158135</v>
      </c>
      <c r="V6" s="167">
        <f>SUBTOTAL(9,V7:V12)</f>
        <v>6790.3200000000006</v>
      </c>
      <c r="W6" s="184">
        <f>V6/V$2</f>
        <v>5.5283925348235681E-2</v>
      </c>
      <c r="X6" s="167">
        <f>SUBTOTAL(9,X7:X12)</f>
        <v>13682.15</v>
      </c>
      <c r="Y6" s="184">
        <f>X6/X$2</f>
        <v>0.14371115655647393</v>
      </c>
      <c r="Z6" s="195">
        <f t="shared" si="0"/>
        <v>8299.850833333332</v>
      </c>
      <c r="AA6" s="184">
        <f>Z6/Z$2</f>
        <v>0.10943840705096637</v>
      </c>
      <c r="AB6" s="167">
        <f>SUBTOTAL(9,AB7:AB12)</f>
        <v>99598.209999999992</v>
      </c>
      <c r="AC6" s="174">
        <f>AB6/AB$2</f>
        <v>0.10943840705096637</v>
      </c>
      <c r="AE6" s="175"/>
    </row>
    <row r="7" spans="1:31" x14ac:dyDescent="0.3">
      <c r="A7" s="176" t="s">
        <v>162</v>
      </c>
      <c r="B7" s="176">
        <v>4398.6899999999996</v>
      </c>
      <c r="C7" s="185">
        <f t="shared" si="1"/>
        <v>8.7321490997947129E-2</v>
      </c>
      <c r="D7" s="176">
        <v>3227.41</v>
      </c>
      <c r="E7" s="185">
        <f t="shared" si="1"/>
        <v>3.8734587644864198E-2</v>
      </c>
      <c r="F7" s="176">
        <v>6412.19</v>
      </c>
      <c r="G7" s="185">
        <f t="shared" si="2"/>
        <v>8.6144743331335608E-2</v>
      </c>
      <c r="H7" s="176">
        <v>6061.2</v>
      </c>
      <c r="I7" s="185">
        <f t="shared" si="3"/>
        <v>0.10164614022377846</v>
      </c>
      <c r="J7" s="176">
        <v>5782.35</v>
      </c>
      <c r="K7" s="185">
        <f t="shared" si="4"/>
        <v>7.4955599078965263E-2</v>
      </c>
      <c r="L7" s="176">
        <v>6972.07</v>
      </c>
      <c r="M7" s="185">
        <f t="shared" si="5"/>
        <v>9.4670146017593368E-2</v>
      </c>
      <c r="N7" s="176">
        <v>6776.23</v>
      </c>
      <c r="O7" s="185">
        <f t="shared" si="6"/>
        <v>9.8255729988034543E-2</v>
      </c>
      <c r="P7" s="176">
        <v>7019.04</v>
      </c>
      <c r="Q7" s="185">
        <f t="shared" si="7"/>
        <v>0.11515943313465341</v>
      </c>
      <c r="R7" s="176">
        <v>6465.12</v>
      </c>
      <c r="S7" s="185">
        <f t="shared" si="8"/>
        <v>7.4968117399400222E-2</v>
      </c>
      <c r="T7" s="176">
        <v>8618.51</v>
      </c>
      <c r="U7" s="185">
        <f t="shared" si="9"/>
        <v>0.15028291028006452</v>
      </c>
      <c r="V7" s="176">
        <v>5462.18</v>
      </c>
      <c r="W7" s="185">
        <f t="shared" ref="W7:W9" si="11">V7/V$2</f>
        <v>4.4470768882560172E-2</v>
      </c>
      <c r="X7" s="157">
        <v>13299.92</v>
      </c>
      <c r="Y7" s="185">
        <f t="shared" ref="Y7:Y9" si="12">X7/X$2</f>
        <v>0.13969638436273382</v>
      </c>
      <c r="Z7" s="191">
        <f t="shared" si="0"/>
        <v>6707.9091666666673</v>
      </c>
      <c r="AA7" s="185">
        <f t="shared" ref="AA7" si="13">Z7/Z$2</f>
        <v>8.8447721360764467E-2</v>
      </c>
      <c r="AB7" s="172">
        <f>L7+N7+P7+R7+T7+V7+X7+J7+H7+F7+D7+B7</f>
        <v>80494.91</v>
      </c>
      <c r="AC7" s="173">
        <f>AB7/AB$2</f>
        <v>8.8447721360764467E-2</v>
      </c>
    </row>
    <row r="8" spans="1:31" x14ac:dyDescent="0.3">
      <c r="A8" s="176" t="s">
        <v>26</v>
      </c>
      <c r="B8" s="176">
        <f>SUBTOTAL(9,B9:B11)</f>
        <v>454.7</v>
      </c>
      <c r="C8" s="185">
        <f t="shared" si="1"/>
        <v>9.0265697188859767E-3</v>
      </c>
      <c r="D8" s="176">
        <f>SUBTOTAL(9,D9:D11)</f>
        <v>859.82</v>
      </c>
      <c r="E8" s="185">
        <f t="shared" si="1"/>
        <v>1.0319349927281361E-2</v>
      </c>
      <c r="F8" s="176">
        <f>SUBTOTAL(9,F9:F11)</f>
        <v>2367.13</v>
      </c>
      <c r="G8" s="185">
        <f t="shared" si="2"/>
        <v>3.1801273243915802E-2</v>
      </c>
      <c r="H8" s="176">
        <f>SUBTOTAL(9,H9:H11)</f>
        <v>2036.19</v>
      </c>
      <c r="I8" s="185">
        <f t="shared" si="3"/>
        <v>3.4146844562505031E-2</v>
      </c>
      <c r="J8" s="176">
        <f>SUBTOTAL(9,J9:J11)</f>
        <v>1521.75</v>
      </c>
      <c r="K8" s="185">
        <f t="shared" si="4"/>
        <v>1.9726181033388742E-2</v>
      </c>
      <c r="L8" s="176">
        <f>SUBTOTAL(9,L9:L11)</f>
        <v>1173.6600000000001</v>
      </c>
      <c r="M8" s="185">
        <f t="shared" si="5"/>
        <v>1.5936524385872293E-2</v>
      </c>
      <c r="N8" s="176">
        <f>SUBTOTAL(9,N9:N11)</f>
        <v>3053.26</v>
      </c>
      <c r="O8" s="185">
        <f t="shared" si="6"/>
        <v>4.427244797524086E-2</v>
      </c>
      <c r="P8" s="176">
        <f>SUBTOTAL(9,P9:P11)</f>
        <v>2169.27</v>
      </c>
      <c r="Q8" s="185">
        <f t="shared" si="7"/>
        <v>3.5590608333334703E-2</v>
      </c>
      <c r="R8" s="176">
        <f>SUBTOTAL(9,R9:R11)</f>
        <v>1744.21</v>
      </c>
      <c r="S8" s="185">
        <f t="shared" si="8"/>
        <v>2.0225477647624154E-2</v>
      </c>
      <c r="T8" s="176">
        <f>SUBTOTAL(9,T9:T11)</f>
        <v>2012.9399999999998</v>
      </c>
      <c r="U8" s="185">
        <f t="shared" si="9"/>
        <v>3.5100090551516798E-2</v>
      </c>
      <c r="V8" s="176">
        <f>SUBTOTAL(9,V9:V11)</f>
        <v>1328.1399999999999</v>
      </c>
      <c r="W8" s="185">
        <f t="shared" si="11"/>
        <v>1.0813156465675509E-2</v>
      </c>
      <c r="X8" s="176">
        <f>SUBTOTAL(9,X9:X12)</f>
        <v>382.22999999999996</v>
      </c>
      <c r="Y8" s="185">
        <f t="shared" si="12"/>
        <v>4.0147721937400941E-3</v>
      </c>
      <c r="Z8" s="191">
        <f t="shared" si="0"/>
        <v>1591.9416666666666</v>
      </c>
      <c r="AA8" s="185">
        <f t="shared" ref="AA8:AA12" si="14">Z8/Z$2</f>
        <v>2.0990685690201922E-2</v>
      </c>
      <c r="AB8" s="172">
        <f>SUBTOTAL(9,AB9:AB12)</f>
        <v>19103.3</v>
      </c>
      <c r="AC8" s="173">
        <f t="shared" ref="AC8:AC12" si="15">AB8/AB$2</f>
        <v>2.0990685690201922E-2</v>
      </c>
    </row>
    <row r="9" spans="1:31" x14ac:dyDescent="0.3">
      <c r="A9" s="176" t="s">
        <v>141</v>
      </c>
      <c r="B9" s="176">
        <v>3.01</v>
      </c>
      <c r="C9" s="185">
        <f t="shared" si="1"/>
        <v>5.9753628444791712E-5</v>
      </c>
      <c r="D9" s="176">
        <v>828.07</v>
      </c>
      <c r="E9" s="185">
        <f t="shared" si="1"/>
        <v>9.9382941712031318E-3</v>
      </c>
      <c r="F9" s="176">
        <v>1806.06</v>
      </c>
      <c r="G9" s="185">
        <f t="shared" si="2"/>
        <v>2.426356286089339E-2</v>
      </c>
      <c r="H9" s="176">
        <v>1935.95</v>
      </c>
      <c r="I9" s="185">
        <f t="shared" si="3"/>
        <v>3.2465822801792374E-2</v>
      </c>
      <c r="J9" s="176">
        <v>1413.04</v>
      </c>
      <c r="K9" s="185">
        <f t="shared" si="4"/>
        <v>1.8316992178360195E-2</v>
      </c>
      <c r="L9" s="176">
        <v>1037</v>
      </c>
      <c r="M9" s="185">
        <f t="shared" si="5"/>
        <v>1.4080888662942903E-2</v>
      </c>
      <c r="N9" s="176">
        <v>1740.8</v>
      </c>
      <c r="O9" s="185">
        <f t="shared" si="6"/>
        <v>2.5241701471639913E-2</v>
      </c>
      <c r="P9" s="176">
        <v>1368.77</v>
      </c>
      <c r="Q9" s="185">
        <f t="shared" si="7"/>
        <v>2.2457027925716272E-2</v>
      </c>
      <c r="R9" s="176">
        <v>1325.38</v>
      </c>
      <c r="S9" s="185">
        <f t="shared" si="8"/>
        <v>1.5368816578627632E-2</v>
      </c>
      <c r="T9" s="176">
        <v>1349.61</v>
      </c>
      <c r="U9" s="185">
        <f t="shared" si="9"/>
        <v>2.3533455149797107E-2</v>
      </c>
      <c r="V9" s="176">
        <v>1037</v>
      </c>
      <c r="W9" s="185">
        <f t="shared" si="11"/>
        <v>8.4428172142285481E-3</v>
      </c>
      <c r="X9" s="176"/>
      <c r="Y9" s="185">
        <f t="shared" si="12"/>
        <v>0</v>
      </c>
      <c r="Z9" s="191">
        <f t="shared" si="0"/>
        <v>1153.7241666666669</v>
      </c>
      <c r="AA9" s="185">
        <f t="shared" si="14"/>
        <v>1.5212530623938363E-2</v>
      </c>
      <c r="AB9" s="172">
        <f>L9+N9+P9+R9+T9+V9+X9+J9+H9+F9+D9+B9</f>
        <v>13844.689999999999</v>
      </c>
      <c r="AC9" s="173">
        <f t="shared" si="15"/>
        <v>1.5212530623938358E-2</v>
      </c>
    </row>
    <row r="10" spans="1:31" x14ac:dyDescent="0.3">
      <c r="A10" s="176" t="s">
        <v>142</v>
      </c>
      <c r="B10" s="176">
        <v>109.19</v>
      </c>
      <c r="C10" s="185">
        <f t="shared" si="1"/>
        <v>2.1676075381683747E-3</v>
      </c>
      <c r="D10" s="176">
        <v>31.75</v>
      </c>
      <c r="E10" s="185">
        <f t="shared" si="1"/>
        <v>3.8105575607822937E-4</v>
      </c>
      <c r="F10" s="176">
        <v>561.07000000000005</v>
      </c>
      <c r="G10" s="185">
        <f t="shared" si="2"/>
        <v>7.5377103830224111E-3</v>
      </c>
      <c r="H10" s="176">
        <v>100.24</v>
      </c>
      <c r="I10" s="185">
        <f t="shared" si="3"/>
        <v>1.6810217607126565E-3</v>
      </c>
      <c r="J10" s="176">
        <v>108.71</v>
      </c>
      <c r="K10" s="185">
        <f t="shared" si="4"/>
        <v>1.409188855028546E-3</v>
      </c>
      <c r="L10" s="176">
        <f>114.62+22.04</f>
        <v>136.66</v>
      </c>
      <c r="M10" s="185">
        <f t="shared" si="5"/>
        <v>1.8556357229293898E-3</v>
      </c>
      <c r="N10" s="176">
        <f>1093.72+218.74</f>
        <v>1312.46</v>
      </c>
      <c r="O10" s="185">
        <f t="shared" si="6"/>
        <v>1.9030746503600943E-2</v>
      </c>
      <c r="P10" s="176">
        <f>697.21+103.29</f>
        <v>800.5</v>
      </c>
      <c r="Q10" s="185">
        <f t="shared" si="7"/>
        <v>1.3133580407618429E-2</v>
      </c>
      <c r="R10" s="176">
        <v>418.83</v>
      </c>
      <c r="S10" s="185">
        <f t="shared" si="8"/>
        <v>4.856661068996522E-3</v>
      </c>
      <c r="T10" s="176">
        <f>414.58+248.75</f>
        <v>663.32999999999993</v>
      </c>
      <c r="U10" s="185">
        <f t="shared" si="9"/>
        <v>1.1566635401719693E-2</v>
      </c>
      <c r="V10" s="176">
        <f>244.18+46.96</f>
        <v>291.14</v>
      </c>
      <c r="W10" s="185">
        <f t="shared" ref="W10:W60" si="16">V10/V$2</f>
        <v>2.3703392514469617E-3</v>
      </c>
      <c r="X10" s="176">
        <f>292.06+73.02</f>
        <v>365.08</v>
      </c>
      <c r="Y10" s="185">
        <f t="shared" ref="Y10:Y60" si="17">X10/X$2</f>
        <v>3.8346362988008098E-3</v>
      </c>
      <c r="Z10" s="191">
        <f t="shared" si="0"/>
        <v>408.24666666666667</v>
      </c>
      <c r="AA10" s="185">
        <f t="shared" si="14"/>
        <v>5.3829720293808725E-3</v>
      </c>
      <c r="AB10" s="172">
        <f t="shared" ref="AB10:AB12" si="18">L10+N10+P10+R10+T10+V10+X10+J10+H10+F10+D10+B10</f>
        <v>4898.9599999999982</v>
      </c>
      <c r="AC10" s="173">
        <f t="shared" si="15"/>
        <v>5.3829720293808699E-3</v>
      </c>
    </row>
    <row r="11" spans="1:31" hidden="1" x14ac:dyDescent="0.3">
      <c r="A11" s="157" t="s">
        <v>161</v>
      </c>
      <c r="B11" s="157">
        <v>342.5</v>
      </c>
      <c r="C11" s="185">
        <f t="shared" si="1"/>
        <v>6.799208552272811E-3</v>
      </c>
      <c r="D11" s="176"/>
      <c r="E11" s="185">
        <f t="shared" si="1"/>
        <v>0</v>
      </c>
      <c r="F11" s="157"/>
      <c r="G11" s="185">
        <f t="shared" si="2"/>
        <v>0</v>
      </c>
      <c r="H11" s="157"/>
      <c r="I11" s="185">
        <f t="shared" si="3"/>
        <v>0</v>
      </c>
      <c r="J11" s="157"/>
      <c r="K11" s="185">
        <f t="shared" si="4"/>
        <v>0</v>
      </c>
      <c r="L11" s="157"/>
      <c r="M11" s="185">
        <f t="shared" si="5"/>
        <v>0</v>
      </c>
      <c r="N11" s="157"/>
      <c r="O11" s="185">
        <f t="shared" si="6"/>
        <v>0</v>
      </c>
      <c r="P11" s="157"/>
      <c r="Q11" s="185">
        <f t="shared" si="7"/>
        <v>0</v>
      </c>
      <c r="R11" s="157"/>
      <c r="S11" s="185">
        <f t="shared" si="8"/>
        <v>0</v>
      </c>
      <c r="T11" s="157"/>
      <c r="U11" s="185">
        <f t="shared" si="9"/>
        <v>0</v>
      </c>
      <c r="V11" s="157"/>
      <c r="W11" s="185">
        <f t="shared" si="16"/>
        <v>0</v>
      </c>
      <c r="X11" s="157"/>
      <c r="Y11" s="185">
        <f t="shared" si="17"/>
        <v>0</v>
      </c>
      <c r="Z11" s="191">
        <f t="shared" si="0"/>
        <v>28.541666666666668</v>
      </c>
      <c r="AA11" s="185">
        <f t="shared" si="14"/>
        <v>3.7633863515173604E-4</v>
      </c>
      <c r="AB11" s="172">
        <f t="shared" si="18"/>
        <v>342.5</v>
      </c>
      <c r="AC11" s="173">
        <f t="shared" si="15"/>
        <v>3.7633863515173599E-4</v>
      </c>
    </row>
    <row r="12" spans="1:31" x14ac:dyDescent="0.3">
      <c r="A12" s="157" t="s">
        <v>187</v>
      </c>
      <c r="B12" s="157"/>
      <c r="C12" s="185">
        <f t="shared" si="1"/>
        <v>0</v>
      </c>
      <c r="D12" s="157"/>
      <c r="E12" s="185">
        <f t="shared" si="1"/>
        <v>0</v>
      </c>
      <c r="F12" s="157"/>
      <c r="G12" s="185">
        <f t="shared" si="2"/>
        <v>0</v>
      </c>
      <c r="H12" s="157"/>
      <c r="I12" s="185">
        <f t="shared" si="3"/>
        <v>0</v>
      </c>
      <c r="J12" s="157"/>
      <c r="K12" s="185">
        <f t="shared" si="4"/>
        <v>0</v>
      </c>
      <c r="L12" s="157"/>
      <c r="M12" s="185">
        <f t="shared" si="5"/>
        <v>0</v>
      </c>
      <c r="N12" s="157"/>
      <c r="O12" s="185">
        <f t="shared" si="6"/>
        <v>0</v>
      </c>
      <c r="P12" s="157"/>
      <c r="Q12" s="185">
        <f t="shared" si="7"/>
        <v>0</v>
      </c>
      <c r="R12" s="157"/>
      <c r="S12" s="185">
        <f t="shared" si="8"/>
        <v>0</v>
      </c>
      <c r="T12" s="157"/>
      <c r="U12" s="185">
        <f t="shared" si="9"/>
        <v>0</v>
      </c>
      <c r="V12" s="157"/>
      <c r="W12" s="185">
        <f t="shared" si="16"/>
        <v>0</v>
      </c>
      <c r="X12" s="157">
        <v>17.149999999999999</v>
      </c>
      <c r="Y12" s="185">
        <f t="shared" si="17"/>
        <v>1.8013589493928421E-4</v>
      </c>
      <c r="Z12" s="191">
        <f t="shared" si="0"/>
        <v>1.4291666666666665</v>
      </c>
      <c r="AA12" s="185">
        <f t="shared" si="14"/>
        <v>1.884440173095554E-5</v>
      </c>
      <c r="AB12" s="172">
        <f t="shared" si="18"/>
        <v>17.149999999999999</v>
      </c>
      <c r="AC12" s="173">
        <f t="shared" si="15"/>
        <v>1.884440173095554E-5</v>
      </c>
    </row>
    <row r="13" spans="1:31" x14ac:dyDescent="0.3">
      <c r="A13" s="156" t="s">
        <v>8</v>
      </c>
      <c r="B13" s="167">
        <f>B2-B6</f>
        <v>45520.12</v>
      </c>
      <c r="C13" s="184">
        <f>B13/B$2</f>
        <v>0.90365193928316689</v>
      </c>
      <c r="D13" s="167">
        <f>D2-D6</f>
        <v>79233.91</v>
      </c>
      <c r="E13" s="184">
        <f>D13/D$2</f>
        <v>0.95094606242785451</v>
      </c>
      <c r="F13" s="167">
        <f>F2-F6</f>
        <v>65655.75</v>
      </c>
      <c r="G13" s="184">
        <f t="shared" si="2"/>
        <v>0.8820539834247485</v>
      </c>
      <c r="H13" s="167">
        <f>H2-H6</f>
        <v>51533.01</v>
      </c>
      <c r="I13" s="184">
        <f t="shared" si="3"/>
        <v>0.86420701521371646</v>
      </c>
      <c r="J13" s="167">
        <f>J2-J6</f>
        <v>69839.569999999992</v>
      </c>
      <c r="K13" s="184">
        <f t="shared" si="4"/>
        <v>0.90531821988764594</v>
      </c>
      <c r="L13" s="167">
        <f>L2-L6</f>
        <v>65500.19</v>
      </c>
      <c r="M13" s="184">
        <f t="shared" si="5"/>
        <v>0.88939332959653439</v>
      </c>
      <c r="N13" s="167">
        <f>N2-N6</f>
        <v>59135.750000000007</v>
      </c>
      <c r="O13" s="184">
        <f t="shared" si="6"/>
        <v>0.85747182203672467</v>
      </c>
      <c r="P13" s="167">
        <f>P2-P6</f>
        <v>51762.32</v>
      </c>
      <c r="Q13" s="184">
        <f t="shared" si="7"/>
        <v>0.84924995853201191</v>
      </c>
      <c r="R13" s="167">
        <f>R2-R6</f>
        <v>78028.929999999993</v>
      </c>
      <c r="S13" s="184">
        <f t="shared" si="8"/>
        <v>0.9048064049529756</v>
      </c>
      <c r="T13" s="167">
        <f>T2-T6</f>
        <v>46717.119999999995</v>
      </c>
      <c r="U13" s="184">
        <f t="shared" si="9"/>
        <v>0.81461699916841857</v>
      </c>
      <c r="V13" s="167">
        <f>V2-V6</f>
        <v>116035.98</v>
      </c>
      <c r="W13" s="184">
        <f t="shared" si="16"/>
        <v>0.94471607465176421</v>
      </c>
      <c r="X13" s="167">
        <f>X2-X6</f>
        <v>81523.75</v>
      </c>
      <c r="Y13" s="184">
        <f t="shared" si="17"/>
        <v>0.85628884344352618</v>
      </c>
      <c r="Z13" s="189">
        <f t="shared" si="0"/>
        <v>67540.53333333334</v>
      </c>
      <c r="AA13" s="184">
        <f>Z13/Z$2</f>
        <v>0.8905615929490337</v>
      </c>
      <c r="AB13" s="167">
        <f>SUM(AB3-AB6)</f>
        <v>809962.79000000015</v>
      </c>
      <c r="AC13" s="174">
        <f>AB13/AB$2</f>
        <v>0.88998625083880945</v>
      </c>
    </row>
    <row r="14" spans="1:31" x14ac:dyDescent="0.3">
      <c r="A14" s="156" t="s">
        <v>106</v>
      </c>
      <c r="B14" s="167">
        <f>SUBTOTAL(9,B15:B54)</f>
        <v>49167.569999999992</v>
      </c>
      <c r="C14" s="184">
        <f t="shared" ref="C14:C60" si="19">B14/B$2</f>
        <v>0.97606003631670679</v>
      </c>
      <c r="D14" s="167">
        <f>SUBTOTAL(9,D15:D54)</f>
        <v>42991.830000000009</v>
      </c>
      <c r="E14" s="184">
        <f t="shared" ref="E14:E60" si="20">D14/D$2</f>
        <v>0.51597745782162863</v>
      </c>
      <c r="F14" s="167">
        <f>SUBTOTAL(9,F15:F54)</f>
        <v>40632.040000000008</v>
      </c>
      <c r="G14" s="184">
        <f t="shared" si="2"/>
        <v>0.54587226155627988</v>
      </c>
      <c r="H14" s="167">
        <f>SUBTOTAL(9,H15:H54)</f>
        <v>40724.330000000009</v>
      </c>
      <c r="I14" s="184">
        <f t="shared" si="3"/>
        <v>0.68294577933403111</v>
      </c>
      <c r="J14" s="167">
        <f>SUBTOTAL(9,J15:J54)</f>
        <v>43225.340000000011</v>
      </c>
      <c r="K14" s="184">
        <f t="shared" si="4"/>
        <v>0.56032257734173152</v>
      </c>
      <c r="L14" s="167">
        <f>SUBTOTAL(9,L15:L54)</f>
        <v>42701.31</v>
      </c>
      <c r="M14" s="184">
        <f t="shared" si="5"/>
        <v>0.57981908570087792</v>
      </c>
      <c r="N14" s="167">
        <f>SUBTOTAL(9,N15:N54)</f>
        <v>49963.380000000012</v>
      </c>
      <c r="O14" s="184">
        <f t="shared" si="6"/>
        <v>0.7244719223771281</v>
      </c>
      <c r="P14" s="167">
        <f>SUBTOTAL(9,P15:P54)</f>
        <v>47347.669999999991</v>
      </c>
      <c r="Q14" s="184">
        <f t="shared" si="7"/>
        <v>0.77682002630653679</v>
      </c>
      <c r="R14" s="167">
        <f>SUBTOTAL(9,R15:R54)</f>
        <v>50892.590000000004</v>
      </c>
      <c r="S14" s="184">
        <f t="shared" si="8"/>
        <v>0.59013934186520001</v>
      </c>
      <c r="T14" s="167">
        <f>SUBTOTAL(9,T15:T54)</f>
        <v>46938.289999999994</v>
      </c>
      <c r="U14" s="184">
        <f t="shared" si="9"/>
        <v>0.8184735905359104</v>
      </c>
      <c r="V14" s="167">
        <f>SUBTOTAL(9,V15:V54)</f>
        <v>58003.41</v>
      </c>
      <c r="W14" s="184">
        <f t="shared" si="16"/>
        <v>0.47223933310699745</v>
      </c>
      <c r="X14" s="167">
        <f>SUBTOTAL(9,X15:X54)</f>
        <v>63536.869999999995</v>
      </c>
      <c r="Y14" s="184">
        <f t="shared" si="17"/>
        <v>0.66736273697323378</v>
      </c>
      <c r="Z14" s="189">
        <f t="shared" si="0"/>
        <v>48010.385833333334</v>
      </c>
      <c r="AA14" s="184">
        <f>Z14/Z$2</f>
        <v>0.63304512972700411</v>
      </c>
      <c r="AB14" s="177">
        <f>SUBTOTAL(9,AB15:AB54)</f>
        <v>576124.62999999989</v>
      </c>
      <c r="AC14" s="168">
        <f>AB14/AB$3</f>
        <v>0.6334095569181174</v>
      </c>
    </row>
    <row r="15" spans="1:31" x14ac:dyDescent="0.3">
      <c r="A15" s="157" t="s">
        <v>19</v>
      </c>
      <c r="B15" s="157">
        <v>506.79</v>
      </c>
      <c r="C15" s="185">
        <f t="shared" si="19"/>
        <v>1.0060644969945513E-2</v>
      </c>
      <c r="D15" s="157">
        <v>482.77</v>
      </c>
      <c r="E15" s="185">
        <f t="shared" si="20"/>
        <v>5.7940877909255679E-3</v>
      </c>
      <c r="F15" s="157">
        <v>458.43</v>
      </c>
      <c r="G15" s="185">
        <f t="shared" si="2"/>
        <v>6.1587904733615478E-3</v>
      </c>
      <c r="H15" s="157">
        <v>424.67</v>
      </c>
      <c r="I15" s="185">
        <f t="shared" si="3"/>
        <v>7.1217030239609331E-3</v>
      </c>
      <c r="J15" s="157">
        <v>327.31</v>
      </c>
      <c r="K15" s="185">
        <f t="shared" si="4"/>
        <v>4.2428627002059922E-3</v>
      </c>
      <c r="L15" s="157">
        <v>375.99</v>
      </c>
      <c r="M15" s="185">
        <f t="shared" si="5"/>
        <v>5.1053744728832232E-3</v>
      </c>
      <c r="N15" s="157">
        <v>375.99</v>
      </c>
      <c r="O15" s="185">
        <f t="shared" si="6"/>
        <v>5.4518769165452039E-3</v>
      </c>
      <c r="P15" s="157">
        <v>375.99</v>
      </c>
      <c r="Q15" s="185">
        <f t="shared" si="7"/>
        <v>6.1687631448600292E-3</v>
      </c>
      <c r="R15" s="157">
        <v>400.33</v>
      </c>
      <c r="S15" s="185">
        <f t="shared" si="8"/>
        <v>4.6421391155155494E-3</v>
      </c>
      <c r="T15" s="157">
        <v>375.99</v>
      </c>
      <c r="U15" s="185">
        <f t="shared" si="9"/>
        <v>6.5562227619625039E-3</v>
      </c>
      <c r="V15" s="157">
        <v>400.33</v>
      </c>
      <c r="W15" s="185">
        <f t="shared" si="16"/>
        <v>3.2593182404745563E-3</v>
      </c>
      <c r="X15" s="157">
        <v>400.33</v>
      </c>
      <c r="Y15" s="185">
        <f t="shared" si="17"/>
        <v>4.2048864618684347E-3</v>
      </c>
      <c r="Z15" s="191">
        <f t="shared" si="0"/>
        <v>408.74333333333328</v>
      </c>
      <c r="AA15" s="185">
        <f t="shared" ref="AA15:AA60" si="21">Z15/Z$2</f>
        <v>5.3895208710319793E-3</v>
      </c>
      <c r="AB15" s="172">
        <f t="shared" ref="AB15:AB54" si="22">L15+N15+P15+R15+T15+V15+X15+J15+H15+F15+D15+B15</f>
        <v>4904.9199999999992</v>
      </c>
      <c r="AC15" s="173">
        <f t="shared" ref="AC15:AC63" si="23">AB15/AB$3</f>
        <v>5.3926234744013854E-3</v>
      </c>
    </row>
    <row r="16" spans="1:31" x14ac:dyDescent="0.3">
      <c r="A16" s="157" t="s">
        <v>160</v>
      </c>
      <c r="B16" s="176">
        <v>525</v>
      </c>
      <c r="C16" s="185">
        <f t="shared" si="19"/>
        <v>1.0422144496184602E-2</v>
      </c>
      <c r="D16" s="176">
        <v>538.17999999999995</v>
      </c>
      <c r="E16" s="185">
        <f t="shared" si="20"/>
        <v>6.4591050962576838E-3</v>
      </c>
      <c r="F16" s="176">
        <v>528.17999999999995</v>
      </c>
      <c r="G16" s="185">
        <f t="shared" si="2"/>
        <v>7.0958487712848243E-3</v>
      </c>
      <c r="H16" s="176">
        <f>697+528.18</f>
        <v>1225.1799999999998</v>
      </c>
      <c r="I16" s="185">
        <f t="shared" si="3"/>
        <v>2.0546231452413532E-2</v>
      </c>
      <c r="J16" s="176">
        <v>528.17999999999995</v>
      </c>
      <c r="K16" s="185">
        <f t="shared" si="4"/>
        <v>6.8467056337869325E-3</v>
      </c>
      <c r="L16" s="176">
        <v>528.17999999999995</v>
      </c>
      <c r="M16" s="185">
        <f t="shared" si="5"/>
        <v>7.1718840636385553E-3</v>
      </c>
      <c r="N16" s="176">
        <v>528.17999999999995</v>
      </c>
      <c r="O16" s="185">
        <f t="shared" si="6"/>
        <v>7.6586407877359654E-3</v>
      </c>
      <c r="P16" s="176">
        <v>528.17999999999995</v>
      </c>
      <c r="Q16" s="185">
        <f t="shared" si="7"/>
        <v>8.665702060831856E-3</v>
      </c>
      <c r="R16" s="176">
        <v>528.17999999999995</v>
      </c>
      <c r="S16" s="185">
        <f t="shared" si="8"/>
        <v>6.1246597507881072E-3</v>
      </c>
      <c r="T16" s="176">
        <v>528.17999999999995</v>
      </c>
      <c r="U16" s="185">
        <f t="shared" si="9"/>
        <v>9.2099942509464485E-3</v>
      </c>
      <c r="V16" s="176">
        <v>528.17999999999995</v>
      </c>
      <c r="W16" s="185">
        <f t="shared" si="16"/>
        <v>4.3002190898854716E-3</v>
      </c>
      <c r="X16" s="176">
        <v>1056.3599999999999</v>
      </c>
      <c r="Y16" s="185">
        <f t="shared" si="17"/>
        <v>1.1095530844201881E-2</v>
      </c>
      <c r="Z16" s="191">
        <f t="shared" si="0"/>
        <v>630.84666666666669</v>
      </c>
      <c r="AA16" s="185">
        <f t="shared" si="21"/>
        <v>8.3180837438839896E-3</v>
      </c>
      <c r="AB16" s="172">
        <f t="shared" si="22"/>
        <v>7570.16</v>
      </c>
      <c r="AC16" s="173">
        <f t="shared" si="23"/>
        <v>8.3228722427632663E-3</v>
      </c>
    </row>
    <row r="17" spans="1:29" x14ac:dyDescent="0.3">
      <c r="A17" s="157" t="s">
        <v>192</v>
      </c>
      <c r="B17" s="157"/>
      <c r="C17" s="185">
        <f t="shared" si="19"/>
        <v>0</v>
      </c>
      <c r="D17" s="157"/>
      <c r="E17" s="185">
        <f t="shared" si="20"/>
        <v>0</v>
      </c>
      <c r="F17" s="157"/>
      <c r="G17" s="185">
        <f t="shared" si="2"/>
        <v>0</v>
      </c>
      <c r="H17" s="157"/>
      <c r="I17" s="185">
        <f t="shared" si="3"/>
        <v>0</v>
      </c>
      <c r="J17" s="157"/>
      <c r="K17" s="185">
        <f t="shared" si="4"/>
        <v>0</v>
      </c>
      <c r="L17" s="157"/>
      <c r="M17" s="185">
        <f t="shared" si="5"/>
        <v>0</v>
      </c>
      <c r="N17" s="157"/>
      <c r="O17" s="185">
        <f t="shared" si="6"/>
        <v>0</v>
      </c>
      <c r="P17" s="157">
        <f>49.32+48.87</f>
        <v>98.19</v>
      </c>
      <c r="Q17" s="185">
        <f t="shared" si="7"/>
        <v>1.6109759653017532E-3</v>
      </c>
      <c r="R17" s="157">
        <v>100.84</v>
      </c>
      <c r="S17" s="185">
        <f t="shared" si="8"/>
        <v>1.1693185831903382E-3</v>
      </c>
      <c r="T17" s="157">
        <v>52.1</v>
      </c>
      <c r="U17" s="185">
        <f t="shared" si="9"/>
        <v>9.0847949652449926E-4</v>
      </c>
      <c r="V17" s="157">
        <v>430.62</v>
      </c>
      <c r="W17" s="185">
        <f t="shared" si="16"/>
        <v>3.5059266622864973E-3</v>
      </c>
      <c r="X17" s="157">
        <v>885.39</v>
      </c>
      <c r="Y17" s="185">
        <f t="shared" si="17"/>
        <v>9.2997387766934614E-3</v>
      </c>
      <c r="Z17" s="191">
        <f t="shared" si="0"/>
        <v>130.595</v>
      </c>
      <c r="AA17" s="185">
        <f t="shared" si="21"/>
        <v>1.7219717626034792E-3</v>
      </c>
      <c r="AB17" s="172">
        <f t="shared" si="22"/>
        <v>1567.1399999999999</v>
      </c>
      <c r="AC17" s="173">
        <f t="shared" si="23"/>
        <v>1.7229630558038434E-3</v>
      </c>
    </row>
    <row r="18" spans="1:29" x14ac:dyDescent="0.3">
      <c r="A18" s="176" t="s">
        <v>14</v>
      </c>
      <c r="B18" s="157">
        <v>218.7</v>
      </c>
      <c r="C18" s="185">
        <f t="shared" si="19"/>
        <v>4.3415676215534712E-3</v>
      </c>
      <c r="D18" s="157">
        <v>287.69</v>
      </c>
      <c r="E18" s="185">
        <f t="shared" si="20"/>
        <v>3.4527852115321515E-3</v>
      </c>
      <c r="F18" s="157">
        <v>381.6</v>
      </c>
      <c r="G18" s="185">
        <f t="shared" si="2"/>
        <v>5.1266157202512199E-3</v>
      </c>
      <c r="H18" s="157">
        <v>235.36</v>
      </c>
      <c r="I18" s="185">
        <f t="shared" si="3"/>
        <v>3.946980063860045E-3</v>
      </c>
      <c r="J18" s="157">
        <v>220.39</v>
      </c>
      <c r="K18" s="185">
        <f t="shared" si="4"/>
        <v>2.8568773043854408E-3</v>
      </c>
      <c r="L18" s="157">
        <v>218.24</v>
      </c>
      <c r="M18" s="185">
        <f t="shared" si="5"/>
        <v>2.9633685070401729E-3</v>
      </c>
      <c r="N18" s="157">
        <v>158.82</v>
      </c>
      <c r="O18" s="185">
        <f t="shared" si="6"/>
        <v>2.3028992576550156E-3</v>
      </c>
      <c r="P18" s="157">
        <v>199.12</v>
      </c>
      <c r="Q18" s="185">
        <f t="shared" si="7"/>
        <v>3.2669063469893587E-3</v>
      </c>
      <c r="R18" s="157">
        <v>179.53</v>
      </c>
      <c r="S18" s="185">
        <f t="shared" si="8"/>
        <v>2.0817906112669715E-3</v>
      </c>
      <c r="T18" s="157">
        <v>152.28</v>
      </c>
      <c r="U18" s="185">
        <f t="shared" si="9"/>
        <v>2.6553408393618183E-3</v>
      </c>
      <c r="V18" s="157">
        <v>149.16999999999999</v>
      </c>
      <c r="W18" s="185">
        <f t="shared" si="16"/>
        <v>1.2144793093987198E-3</v>
      </c>
      <c r="X18" s="157">
        <v>186.36</v>
      </c>
      <c r="Y18" s="185">
        <f t="shared" si="17"/>
        <v>1.9574417131711379E-3</v>
      </c>
      <c r="Z18" s="191">
        <f t="shared" si="0"/>
        <v>215.60500000000002</v>
      </c>
      <c r="AA18" s="185">
        <f t="shared" si="21"/>
        <v>2.8428785319202354E-3</v>
      </c>
      <c r="AB18" s="172">
        <f t="shared" si="22"/>
        <v>2587.2599999999998</v>
      </c>
      <c r="AC18" s="173">
        <f t="shared" si="23"/>
        <v>2.8445151012411476E-3</v>
      </c>
    </row>
    <row r="19" spans="1:29" x14ac:dyDescent="0.3">
      <c r="A19" s="157" t="s">
        <v>123</v>
      </c>
      <c r="B19" s="157">
        <f>SUBTOTAL(9,B20:B27)</f>
        <v>11978.79</v>
      </c>
      <c r="C19" s="185">
        <f>B19/B$2</f>
        <v>0.23779939098943076</v>
      </c>
      <c r="D19" s="157">
        <f>SUBTOTAL(9,D20:D27)</f>
        <v>12504.220000000001</v>
      </c>
      <c r="E19" s="185">
        <f t="shared" si="20"/>
        <v>0.15007259862263048</v>
      </c>
      <c r="F19" s="157">
        <f>SUBTOTAL(9,F20:F27)</f>
        <v>14352.450000000003</v>
      </c>
      <c r="G19" s="185">
        <f t="shared" si="2"/>
        <v>0.19281838520471603</v>
      </c>
      <c r="H19" s="157">
        <f>SUBTOTAL(9,H20:H27)</f>
        <v>13623.419999999998</v>
      </c>
      <c r="I19" s="185">
        <f t="shared" si="3"/>
        <v>0.22846434033647264</v>
      </c>
      <c r="J19" s="157">
        <f>SUBTOTAL(9,J20:J29)</f>
        <v>16439.070000000003</v>
      </c>
      <c r="K19" s="185">
        <f t="shared" si="4"/>
        <v>0.21309681014657461</v>
      </c>
      <c r="L19" s="157">
        <f>SUBTOTAL(9,L20:L29)</f>
        <v>17380.07</v>
      </c>
      <c r="M19" s="185">
        <f t="shared" si="5"/>
        <v>0.23599501506668666</v>
      </c>
      <c r="N19" s="157">
        <f>SUBTOTAL(9,N20:N29)</f>
        <v>23637.75</v>
      </c>
      <c r="O19" s="185">
        <f t="shared" si="6"/>
        <v>0.3427487528499864</v>
      </c>
      <c r="P19" s="157">
        <f>SUBTOTAL(9,P20:P29)</f>
        <v>19470.769999999997</v>
      </c>
      <c r="Q19" s="185">
        <f t="shared" si="7"/>
        <v>0.31945149705589587</v>
      </c>
      <c r="R19" s="157">
        <f>SUBTOTAL(9,R20:R29)</f>
        <v>23032.949999999997</v>
      </c>
      <c r="S19" s="185">
        <f t="shared" si="8"/>
        <v>0.26708505018538176</v>
      </c>
      <c r="T19" s="157">
        <f>SUBTOTAL(9,T20:T29)</f>
        <v>20220.429999999997</v>
      </c>
      <c r="U19" s="185">
        <f t="shared" si="9"/>
        <v>0.35258821623625486</v>
      </c>
      <c r="V19" s="157">
        <f>SUBTOTAL(9,V20:V29)</f>
        <v>26993.539999999997</v>
      </c>
      <c r="W19" s="185">
        <f t="shared" si="16"/>
        <v>0.21977003296525252</v>
      </c>
      <c r="X19" s="157">
        <f>SUBTOTAL(9,X20:X29)</f>
        <v>33391.800000000003</v>
      </c>
      <c r="Y19" s="185">
        <f t="shared" si="17"/>
        <v>0.35073246510983042</v>
      </c>
      <c r="Z19" s="191">
        <f t="shared" si="0"/>
        <v>19418.771666666667</v>
      </c>
      <c r="AA19" s="185">
        <f t="shared" si="21"/>
        <v>0.25604790745774725</v>
      </c>
      <c r="AB19" s="172">
        <f>SUBTOTAL(9,AB20:AB29)</f>
        <v>233025.25999999998</v>
      </c>
      <c r="AC19" s="173">
        <f>AB19/AB$3</f>
        <v>0.25619530740654001</v>
      </c>
    </row>
    <row r="20" spans="1:29" x14ac:dyDescent="0.3">
      <c r="A20" s="157" t="s">
        <v>145</v>
      </c>
      <c r="B20" s="157">
        <f>2273+2163.36+2078.82+1547.93</f>
        <v>8063.1100000000006</v>
      </c>
      <c r="C20" s="185">
        <f t="shared" si="19"/>
        <v>0.16006647144501149</v>
      </c>
      <c r="D20" s="157">
        <f>2163+1531.42+2078.82+2273+800</f>
        <v>8846.24</v>
      </c>
      <c r="E20" s="185">
        <f t="shared" si="20"/>
        <v>0.10617041485510159</v>
      </c>
      <c r="F20" s="157">
        <f>1374.3+2163+2273+2078.82+1539.87</f>
        <v>9428.9900000000016</v>
      </c>
      <c r="G20" s="185">
        <f t="shared" si="2"/>
        <v>0.12667402610086886</v>
      </c>
      <c r="H20" s="157">
        <f>1226.67+2078.82+2273+1538.53+1149.86</f>
        <v>8266.8799999999992</v>
      </c>
      <c r="I20" s="185">
        <f t="shared" si="3"/>
        <v>0.13863532694732886</v>
      </c>
      <c r="J20" s="157">
        <f>1819+3240.26+2343.82+1609.62+2456.2</f>
        <v>11468.900000000001</v>
      </c>
      <c r="K20" s="185">
        <f t="shared" si="4"/>
        <v>0.14866935939137976</v>
      </c>
      <c r="L20" s="157">
        <f>1819+2231.87+3023.89+2077.61+1534.56+215.4</f>
        <v>10902.33</v>
      </c>
      <c r="M20" s="185">
        <f t="shared" si="5"/>
        <v>0.1480371214046888</v>
      </c>
      <c r="N20" s="157">
        <f>2144.32+1819+992.07+1299.7+2231.87+3023.89+4999.19</f>
        <v>16510.039999999997</v>
      </c>
      <c r="O20" s="185">
        <f t="shared" si="6"/>
        <v>0.2393965423741003</v>
      </c>
      <c r="P20" s="157">
        <f>2144.32+3023.89+1614+1438.69+2231.87+1566.4</f>
        <v>12019.17</v>
      </c>
      <c r="Q20" s="185">
        <f t="shared" si="7"/>
        <v>0.19719517255194902</v>
      </c>
      <c r="R20" s="157">
        <f>1880+2969.89+1354.49+1325.85+1788.52+2231.87</f>
        <v>11550.619999999999</v>
      </c>
      <c r="S20" s="185">
        <f t="shared" si="8"/>
        <v>0.13393846304412912</v>
      </c>
      <c r="T20" s="157">
        <f>1638.34+63.28+1885.74+1512.85+2231.87+2969.89+1788.52</f>
        <v>12090.49</v>
      </c>
      <c r="U20" s="185">
        <f t="shared" si="9"/>
        <v>0.2108246116686083</v>
      </c>
      <c r="V20" s="157">
        <f>664.79+1699+1580.85+2858.41+1920.65+1376.05+2231.87</f>
        <v>12331.619999999999</v>
      </c>
      <c r="W20" s="185">
        <f t="shared" si="16"/>
        <v>0.1003988559453472</v>
      </c>
      <c r="X20" s="157">
        <f>1540.85+1819+2915.89+2288.26+1369.4+1678.52+8004.13</f>
        <v>19616.05</v>
      </c>
      <c r="Y20" s="185">
        <f t="shared" si="17"/>
        <v>0.20603817620546627</v>
      </c>
      <c r="Z20" s="191">
        <f t="shared" si="0"/>
        <v>11757.87</v>
      </c>
      <c r="AA20" s="185">
        <f t="shared" si="21"/>
        <v>0.15503442037109055</v>
      </c>
      <c r="AB20" s="172">
        <f t="shared" si="22"/>
        <v>141094.44</v>
      </c>
      <c r="AC20" s="173">
        <f t="shared" si="23"/>
        <v>0.15512366955047543</v>
      </c>
    </row>
    <row r="21" spans="1:29" x14ac:dyDescent="0.3">
      <c r="A21" s="157" t="s">
        <v>183</v>
      </c>
      <c r="B21" s="157"/>
      <c r="C21" s="185"/>
      <c r="D21" s="157"/>
      <c r="E21" s="185"/>
      <c r="F21" s="157"/>
      <c r="G21" s="185"/>
      <c r="H21" s="157"/>
      <c r="I21" s="185"/>
      <c r="J21" s="157"/>
      <c r="K21" s="185"/>
      <c r="L21" s="157"/>
      <c r="M21" s="185"/>
      <c r="N21" s="157"/>
      <c r="O21" s="185"/>
      <c r="P21" s="157"/>
      <c r="Q21" s="185"/>
      <c r="R21" s="157">
        <f>1869.15+1459.12</f>
        <v>3328.27</v>
      </c>
      <c r="S21" s="185"/>
      <c r="T21" s="157"/>
      <c r="U21" s="185"/>
      <c r="V21" s="157"/>
      <c r="W21" s="185"/>
      <c r="X21" s="157"/>
      <c r="Y21" s="185">
        <f t="shared" si="17"/>
        <v>0</v>
      </c>
      <c r="Z21" s="191">
        <f t="shared" si="0"/>
        <v>277.35583333333335</v>
      </c>
      <c r="AA21" s="185">
        <f t="shared" si="21"/>
        <v>3.6570995305590325E-3</v>
      </c>
      <c r="AB21" s="172">
        <f t="shared" si="22"/>
        <v>3328.27</v>
      </c>
      <c r="AC21" s="173">
        <f t="shared" si="23"/>
        <v>3.6592048251848962E-3</v>
      </c>
    </row>
    <row r="22" spans="1:29" x14ac:dyDescent="0.3">
      <c r="A22" s="157" t="s">
        <v>188</v>
      </c>
      <c r="B22" s="157"/>
      <c r="C22" s="185"/>
      <c r="D22" s="157"/>
      <c r="E22" s="185"/>
      <c r="F22" s="157"/>
      <c r="G22" s="185"/>
      <c r="H22" s="157"/>
      <c r="I22" s="185"/>
      <c r="J22" s="157"/>
      <c r="K22" s="185"/>
      <c r="L22" s="157"/>
      <c r="M22" s="185"/>
      <c r="N22" s="157"/>
      <c r="O22" s="185"/>
      <c r="P22" s="157"/>
      <c r="Q22" s="185"/>
      <c r="R22" s="157"/>
      <c r="S22" s="185"/>
      <c r="T22" s="157"/>
      <c r="U22" s="185"/>
      <c r="V22" s="157">
        <f>1097.05+1562.5+550+250+318.75+1189.5</f>
        <v>4967.8</v>
      </c>
      <c r="W22" s="185"/>
      <c r="X22" s="157">
        <f>1181.39+886.43+955.82+630.67+363.34+463.25</f>
        <v>4480.9000000000005</v>
      </c>
      <c r="Y22" s="185">
        <f t="shared" si="17"/>
        <v>4.7065360445098472E-2</v>
      </c>
      <c r="Z22" s="191">
        <f t="shared" si="0"/>
        <v>787.39166666666677</v>
      </c>
      <c r="AA22" s="185">
        <f t="shared" si="21"/>
        <v>1.0382221494768492E-2</v>
      </c>
      <c r="AB22" s="172">
        <f t="shared" si="22"/>
        <v>9448.7000000000007</v>
      </c>
      <c r="AC22" s="173">
        <f t="shared" si="23"/>
        <v>1.0388198262678368E-2</v>
      </c>
    </row>
    <row r="23" spans="1:29" x14ac:dyDescent="0.3">
      <c r="A23" s="157" t="s">
        <v>146</v>
      </c>
      <c r="B23" s="157">
        <v>2080</v>
      </c>
      <c r="C23" s="185">
        <f t="shared" si="19"/>
        <v>4.129154390869328E-2</v>
      </c>
      <c r="D23" s="157">
        <v>1976</v>
      </c>
      <c r="E23" s="185">
        <f t="shared" si="20"/>
        <v>2.3715470047577361E-2</v>
      </c>
      <c r="F23" s="157">
        <f>2730+390</f>
        <v>3120</v>
      </c>
      <c r="G23" s="185">
        <f t="shared" si="2"/>
        <v>4.1915726014632615E-2</v>
      </c>
      <c r="H23" s="157">
        <v>3334</v>
      </c>
      <c r="I23" s="185">
        <f t="shared" si="3"/>
        <v>5.5911078912769321E-2</v>
      </c>
      <c r="J23" s="157">
        <v>2565</v>
      </c>
      <c r="K23" s="185">
        <f t="shared" si="4"/>
        <v>3.3249649647210201E-2</v>
      </c>
      <c r="L23" s="157">
        <f>3672+135</f>
        <v>3807</v>
      </c>
      <c r="M23" s="185">
        <f t="shared" si="5"/>
        <v>5.1693291359521346E-2</v>
      </c>
      <c r="N23" s="157">
        <f>3015+322.2</f>
        <v>3337.2</v>
      </c>
      <c r="O23" s="185">
        <f t="shared" si="6"/>
        <v>4.8389594526169991E-2</v>
      </c>
      <c r="P23" s="157">
        <v>3935</v>
      </c>
      <c r="Q23" s="185">
        <f t="shared" si="7"/>
        <v>6.4560448349754551E-2</v>
      </c>
      <c r="R23" s="157">
        <v>4293</v>
      </c>
      <c r="S23" s="185">
        <f t="shared" si="8"/>
        <v>4.9780688988854835E-2</v>
      </c>
      <c r="T23" s="157">
        <v>3645</v>
      </c>
      <c r="U23" s="185">
        <f t="shared" si="9"/>
        <v>6.3558690303873316E-2</v>
      </c>
      <c r="V23" s="157">
        <v>3678</v>
      </c>
      <c r="W23" s="185">
        <f t="shared" si="16"/>
        <v>2.9944726821535778E-2</v>
      </c>
      <c r="X23" s="157">
        <v>3564</v>
      </c>
      <c r="Y23" s="185">
        <f t="shared" si="17"/>
        <v>3.7434654785050085E-2</v>
      </c>
      <c r="Z23" s="191">
        <f t="shared" si="0"/>
        <v>3277.85</v>
      </c>
      <c r="AA23" s="185">
        <f t="shared" si="21"/>
        <v>4.3220377059227488E-2</v>
      </c>
      <c r="AB23" s="172">
        <f t="shared" si="22"/>
        <v>39334.199999999997</v>
      </c>
      <c r="AC23" s="173">
        <f t="shared" si="23"/>
        <v>4.3245257877151715E-2</v>
      </c>
    </row>
    <row r="24" spans="1:29" x14ac:dyDescent="0.3">
      <c r="A24" s="157" t="s">
        <v>147</v>
      </c>
      <c r="B24" s="157">
        <v>177.49</v>
      </c>
      <c r="C24" s="185">
        <f t="shared" si="19"/>
        <v>3.5234789078624857E-3</v>
      </c>
      <c r="D24" s="157">
        <v>161.35</v>
      </c>
      <c r="E24" s="185">
        <f t="shared" si="20"/>
        <v>1.9364833462432222E-3</v>
      </c>
      <c r="F24" s="157">
        <v>178.01</v>
      </c>
      <c r="G24" s="185">
        <f t="shared" si="2"/>
        <v>2.3914802525207535E-3</v>
      </c>
      <c r="H24" s="157">
        <v>186.45</v>
      </c>
      <c r="I24" s="185">
        <f t="shared" si="3"/>
        <v>3.1267608468163888E-3</v>
      </c>
      <c r="J24" s="157">
        <f>109.26+52.03</f>
        <v>161.29000000000002</v>
      </c>
      <c r="K24" s="185">
        <f t="shared" si="4"/>
        <v>2.0907742657304226E-3</v>
      </c>
      <c r="L24" s="157">
        <v>462.26</v>
      </c>
      <c r="M24" s="185">
        <f t="shared" si="5"/>
        <v>6.2767903503683576E-3</v>
      </c>
      <c r="N24" s="157">
        <v>370.45</v>
      </c>
      <c r="O24" s="185">
        <f t="shared" si="6"/>
        <v>5.371546593617306E-3</v>
      </c>
      <c r="P24" s="157">
        <v>689.45</v>
      </c>
      <c r="Q24" s="185">
        <f t="shared" si="7"/>
        <v>1.1311614006286729E-2</v>
      </c>
      <c r="R24" s="157">
        <v>774.45</v>
      </c>
      <c r="S24" s="185">
        <f t="shared" si="8"/>
        <v>8.9803528039642741E-3</v>
      </c>
      <c r="T24" s="157">
        <v>336.85</v>
      </c>
      <c r="U24" s="185">
        <f t="shared" si="9"/>
        <v>5.8737297198517774E-3</v>
      </c>
      <c r="V24" s="157">
        <v>320.45</v>
      </c>
      <c r="W24" s="185">
        <f t="shared" si="16"/>
        <v>2.6089689260361988E-3</v>
      </c>
      <c r="X24" s="157">
        <v>329.45</v>
      </c>
      <c r="Y24" s="185">
        <f t="shared" si="17"/>
        <v>3.4603947864575622E-3</v>
      </c>
      <c r="Z24" s="191">
        <f t="shared" si="0"/>
        <v>345.66249999999997</v>
      </c>
      <c r="AA24" s="185">
        <f t="shared" si="21"/>
        <v>4.557763041394579E-3</v>
      </c>
      <c r="AB24" s="172">
        <f t="shared" si="22"/>
        <v>4147.95</v>
      </c>
      <c r="AC24" s="173">
        <f t="shared" si="23"/>
        <v>4.5603868239733223E-3</v>
      </c>
    </row>
    <row r="25" spans="1:29" x14ac:dyDescent="0.3">
      <c r="A25" s="157" t="s">
        <v>143</v>
      </c>
      <c r="B25" s="157">
        <v>14.18</v>
      </c>
      <c r="C25" s="185">
        <f t="shared" si="19"/>
        <v>2.814971599159955E-4</v>
      </c>
      <c r="D25" s="157">
        <v>35.44</v>
      </c>
      <c r="E25" s="185">
        <f t="shared" si="20"/>
        <v>4.253422360759826E-4</v>
      </c>
      <c r="F25" s="157">
        <v>35.18</v>
      </c>
      <c r="G25" s="185">
        <f t="shared" si="2"/>
        <v>4.726266798701203E-4</v>
      </c>
      <c r="H25" s="157">
        <f>24.73+14.18+21</f>
        <v>59.91</v>
      </c>
      <c r="I25" s="185">
        <f t="shared" si="3"/>
        <v>1.0046888835224985E-3</v>
      </c>
      <c r="J25" s="165">
        <v>14.18</v>
      </c>
      <c r="K25" s="185">
        <f>L25/J$2</f>
        <v>1.6706490629756143E-3</v>
      </c>
      <c r="L25" s="157">
        <f>52.47+35.74+40.67</f>
        <v>128.88</v>
      </c>
      <c r="M25" s="185" t="e">
        <f>#REF!/L$2</f>
        <v>#REF!</v>
      </c>
      <c r="N25" s="157">
        <f>26.66+37.36+14.16</f>
        <v>78.179999999999993</v>
      </c>
      <c r="O25" s="185">
        <f t="shared" si="6"/>
        <v>1.1336145571305195E-3</v>
      </c>
      <c r="P25" s="157">
        <v>224.55</v>
      </c>
      <c r="Q25" s="185">
        <f t="shared" si="7"/>
        <v>3.6841292698697294E-3</v>
      </c>
      <c r="R25" s="157">
        <v>119.71</v>
      </c>
      <c r="S25" s="185">
        <f t="shared" si="8"/>
        <v>1.3881309757409299E-3</v>
      </c>
      <c r="T25" s="157">
        <v>93.66</v>
      </c>
      <c r="U25" s="185">
        <f t="shared" si="9"/>
        <v>1.6331706265736007E-3</v>
      </c>
      <c r="V25" s="157">
        <v>94.35</v>
      </c>
      <c r="W25" s="185">
        <f t="shared" si="16"/>
        <v>7.681579596552203E-4</v>
      </c>
      <c r="X25" s="157">
        <v>77.86</v>
      </c>
      <c r="Y25" s="185">
        <f t="shared" si="17"/>
        <v>8.1780645947362508E-4</v>
      </c>
      <c r="Z25" s="191">
        <f t="shared" si="0"/>
        <v>81.34</v>
      </c>
      <c r="AA25" s="185">
        <f t="shared" si="21"/>
        <v>1.072515664230384E-3</v>
      </c>
      <c r="AB25" s="172">
        <f t="shared" si="22"/>
        <v>976.07999999999981</v>
      </c>
      <c r="AC25" s="173">
        <f t="shared" si="23"/>
        <v>1.073133082882841E-3</v>
      </c>
    </row>
    <row r="26" spans="1:29" x14ac:dyDescent="0.3">
      <c r="A26" s="157" t="s">
        <v>144</v>
      </c>
      <c r="B26" s="157">
        <v>795.87</v>
      </c>
      <c r="C26" s="185">
        <f t="shared" si="19"/>
        <v>1.5799375505101788E-2</v>
      </c>
      <c r="D26" s="157">
        <v>786.28</v>
      </c>
      <c r="E26" s="185">
        <f t="shared" si="20"/>
        <v>9.4367407839115024E-3</v>
      </c>
      <c r="F26" s="157">
        <v>841.91</v>
      </c>
      <c r="G26" s="185">
        <f t="shared" si="2"/>
        <v>1.1310663105442098E-2</v>
      </c>
      <c r="H26" s="157">
        <f>106.66+207+198+172.75+249.64</f>
        <v>934.05</v>
      </c>
      <c r="I26" s="185">
        <f t="shared" si="3"/>
        <v>1.5663990179505753E-2</v>
      </c>
      <c r="J26" s="157">
        <f>180+368.65+235.44+180.84+247.04</f>
        <v>1211.97</v>
      </c>
      <c r="K26" s="185">
        <f t="shared" si="4"/>
        <v>1.571055667950462E-2</v>
      </c>
      <c r="L26" s="157">
        <f>180+223.47+343.75+206.97+176.18</f>
        <v>1130.3700000000001</v>
      </c>
      <c r="M26" s="185">
        <f t="shared" si="5"/>
        <v>1.5348711781996887E-2</v>
      </c>
      <c r="N26" s="157">
        <f>1130.37+172+99.9</f>
        <v>1402.27</v>
      </c>
      <c r="O26" s="185">
        <f t="shared" si="6"/>
        <v>2.0332996738646889E-2</v>
      </c>
      <c r="P26" s="157">
        <v>1358.92</v>
      </c>
      <c r="Q26" s="185">
        <f t="shared" si="7"/>
        <v>2.2295421720825531E-2</v>
      </c>
      <c r="R26" s="157">
        <v>1154.21</v>
      </c>
      <c r="S26" s="185">
        <f t="shared" si="8"/>
        <v>1.338396669877152E-2</v>
      </c>
      <c r="T26" s="157">
        <v>1700.94</v>
      </c>
      <c r="U26" s="185">
        <f t="shared" si="9"/>
        <v>2.9659675908222299E-2</v>
      </c>
      <c r="V26" s="157">
        <f>1591.65</f>
        <v>1591.65</v>
      </c>
      <c r="W26" s="185">
        <f t="shared" si="16"/>
        <v>1.2958543894915015E-2</v>
      </c>
      <c r="X26" s="157">
        <f>1745.71+978.65</f>
        <v>2724.36</v>
      </c>
      <c r="Y26" s="185">
        <f t="shared" si="17"/>
        <v>2.8615453454040141E-2</v>
      </c>
      <c r="Z26" s="191">
        <f t="shared" si="0"/>
        <v>1302.7333333333333</v>
      </c>
      <c r="AA26" s="185">
        <f t="shared" si="21"/>
        <v>1.7177303987153458E-2</v>
      </c>
      <c r="AB26" s="172">
        <f t="shared" si="22"/>
        <v>15632.800000000001</v>
      </c>
      <c r="AC26" s="173">
        <f t="shared" si="23"/>
        <v>1.7187192502756823E-2</v>
      </c>
    </row>
    <row r="27" spans="1:29" x14ac:dyDescent="0.3">
      <c r="A27" s="157" t="s">
        <v>148</v>
      </c>
      <c r="B27" s="157">
        <v>848.14</v>
      </c>
      <c r="C27" s="185">
        <f t="shared" si="19"/>
        <v>1.6837024062845728E-2</v>
      </c>
      <c r="D27" s="157">
        <v>698.91</v>
      </c>
      <c r="E27" s="185">
        <f t="shared" si="20"/>
        <v>8.388147353720796E-3</v>
      </c>
      <c r="F27" s="157">
        <v>748.36</v>
      </c>
      <c r="G27" s="185">
        <f t="shared" si="2"/>
        <v>1.0053863051381558E-2</v>
      </c>
      <c r="H27" s="157">
        <v>842.13</v>
      </c>
      <c r="I27" s="185">
        <f t="shared" si="3"/>
        <v>1.4122494566529824E-2</v>
      </c>
      <c r="J27" s="157">
        <v>1017.73</v>
      </c>
      <c r="K27" s="185">
        <f t="shared" si="4"/>
        <v>1.319265728477787E-2</v>
      </c>
      <c r="L27" s="157">
        <v>949.23</v>
      </c>
      <c r="M27" s="185">
        <f t="shared" si="5"/>
        <v>1.288910505836576E-2</v>
      </c>
      <c r="N27" s="157">
        <f>250+190.32+160+96.26+250.67+198.64+793.72</f>
        <v>1939.61</v>
      </c>
      <c r="O27" s="185">
        <f t="shared" si="6"/>
        <v>2.8124458060321399E-2</v>
      </c>
      <c r="P27" s="157">
        <v>1000.68</v>
      </c>
      <c r="Q27" s="185">
        <f t="shared" si="7"/>
        <v>1.6417877879195013E-2</v>
      </c>
      <c r="R27" s="157">
        <v>970.14</v>
      </c>
      <c r="S27" s="185">
        <f t="shared" si="8"/>
        <v>1.1249531240542192E-2</v>
      </c>
      <c r="T27" s="157">
        <v>1399.46</v>
      </c>
      <c r="U27" s="185">
        <f t="shared" si="9"/>
        <v>2.4402700886874774E-2</v>
      </c>
      <c r="V27" s="157">
        <f>1359.25+1708.87</f>
        <v>3068.12</v>
      </c>
      <c r="W27" s="185">
        <f t="shared" si="16"/>
        <v>2.4979340743798355E-2</v>
      </c>
      <c r="X27" s="157">
        <v>1552.63</v>
      </c>
      <c r="Y27" s="185">
        <f t="shared" si="17"/>
        <v>1.6308127962657779E-2</v>
      </c>
      <c r="Z27" s="191">
        <f t="shared" si="0"/>
        <v>1252.9283333333333</v>
      </c>
      <c r="AA27" s="185">
        <f t="shared" si="21"/>
        <v>1.6520595815811015E-2</v>
      </c>
      <c r="AB27" s="172">
        <f t="shared" si="22"/>
        <v>15035.139999999998</v>
      </c>
      <c r="AC27" s="173">
        <f t="shared" si="23"/>
        <v>1.6530106282041553E-2</v>
      </c>
    </row>
    <row r="28" spans="1:29" x14ac:dyDescent="0.3">
      <c r="A28" s="157" t="s">
        <v>184</v>
      </c>
      <c r="B28" s="157"/>
      <c r="C28" s="185">
        <f t="shared" si="19"/>
        <v>0</v>
      </c>
      <c r="D28" s="157"/>
      <c r="E28" s="185">
        <f t="shared" si="20"/>
        <v>0</v>
      </c>
      <c r="F28" s="157"/>
      <c r="G28" s="185">
        <f t="shared" si="2"/>
        <v>0</v>
      </c>
      <c r="H28" s="157"/>
      <c r="I28" s="185">
        <f t="shared" si="3"/>
        <v>0</v>
      </c>
      <c r="J28" s="157"/>
      <c r="K28" s="185">
        <f t="shared" si="4"/>
        <v>0</v>
      </c>
      <c r="L28" s="157"/>
      <c r="M28" s="185">
        <f t="shared" si="5"/>
        <v>0</v>
      </c>
      <c r="N28" s="157"/>
      <c r="O28" s="185">
        <f t="shared" si="6"/>
        <v>0</v>
      </c>
      <c r="P28" s="157"/>
      <c r="Q28" s="185">
        <f t="shared" si="7"/>
        <v>0</v>
      </c>
      <c r="R28" s="157">
        <v>599.54999999999995</v>
      </c>
      <c r="S28" s="185">
        <f t="shared" si="8"/>
        <v>6.9522506599738907E-3</v>
      </c>
      <c r="T28" s="157">
        <v>599.54999999999995</v>
      </c>
      <c r="U28" s="185">
        <f t="shared" si="9"/>
        <v>1.0454489100600067E-2</v>
      </c>
      <c r="V28" s="157">
        <v>644.54999999999995</v>
      </c>
      <c r="W28" s="185">
        <f t="shared" si="16"/>
        <v>5.2476546146875708E-3</v>
      </c>
      <c r="X28" s="157">
        <v>749.55</v>
      </c>
      <c r="Y28" s="185">
        <f t="shared" si="17"/>
        <v>7.8729364461656258E-3</v>
      </c>
      <c r="Z28" s="191">
        <f t="shared" si="0"/>
        <v>216.1</v>
      </c>
      <c r="AA28" s="185">
        <f t="shared" si="21"/>
        <v>2.8494053975926478E-3</v>
      </c>
      <c r="AB28" s="172">
        <f t="shared" si="22"/>
        <v>2593.1999999999998</v>
      </c>
      <c r="AC28" s="173">
        <f t="shared" si="23"/>
        <v>2.8510457242559867E-3</v>
      </c>
    </row>
    <row r="29" spans="1:29" x14ac:dyDescent="0.3">
      <c r="A29" s="157" t="s">
        <v>185</v>
      </c>
      <c r="B29" s="157"/>
      <c r="C29" s="185">
        <f t="shared" si="19"/>
        <v>0</v>
      </c>
      <c r="D29" s="157"/>
      <c r="E29" s="185">
        <f t="shared" si="20"/>
        <v>0</v>
      </c>
      <c r="F29" s="157"/>
      <c r="G29" s="185">
        <f t="shared" si="2"/>
        <v>0</v>
      </c>
      <c r="H29" s="157"/>
      <c r="I29" s="185">
        <f t="shared" si="3"/>
        <v>0</v>
      </c>
      <c r="J29" s="157"/>
      <c r="K29" s="185">
        <f t="shared" si="4"/>
        <v>0</v>
      </c>
      <c r="L29" s="157"/>
      <c r="M29" s="185">
        <f t="shared" si="5"/>
        <v>0</v>
      </c>
      <c r="N29" s="157"/>
      <c r="O29" s="185">
        <f t="shared" si="6"/>
        <v>0</v>
      </c>
      <c r="P29" s="157">
        <v>243</v>
      </c>
      <c r="Q29" s="185">
        <f t="shared" si="7"/>
        <v>3.9868332780153386E-3</v>
      </c>
      <c r="R29" s="157">
        <v>243</v>
      </c>
      <c r="S29" s="185">
        <f t="shared" si="8"/>
        <v>2.8177748484257453E-3</v>
      </c>
      <c r="T29" s="157">
        <v>354.48</v>
      </c>
      <c r="U29" s="185">
        <f t="shared" si="9"/>
        <v>6.1811480216507585E-3</v>
      </c>
      <c r="V29" s="157">
        <v>297</v>
      </c>
      <c r="W29" s="185">
        <f t="shared" si="16"/>
        <v>2.418048903207212E-3</v>
      </c>
      <c r="X29" s="157">
        <v>297</v>
      </c>
      <c r="Y29" s="185">
        <f t="shared" si="17"/>
        <v>3.1195545654208409E-3</v>
      </c>
      <c r="Z29" s="191">
        <f t="shared" si="0"/>
        <v>119.54</v>
      </c>
      <c r="AA29" s="185">
        <f t="shared" si="21"/>
        <v>1.576205095919598E-3</v>
      </c>
      <c r="AB29" s="172">
        <f t="shared" si="22"/>
        <v>1434.48</v>
      </c>
      <c r="AC29" s="173">
        <f t="shared" si="23"/>
        <v>1.5771124751391054E-3</v>
      </c>
    </row>
    <row r="30" spans="1:29" x14ac:dyDescent="0.3">
      <c r="A30" s="157" t="s">
        <v>125</v>
      </c>
      <c r="B30" s="157">
        <f>SUBTOTAL(9,B31:B34)</f>
        <v>5923.5599999999995</v>
      </c>
      <c r="C30" s="185">
        <f t="shared" si="19"/>
        <v>0.11759275857489382</v>
      </c>
      <c r="D30" s="157">
        <f>SUBTOTAL(9,D31:D34)</f>
        <v>6069.81</v>
      </c>
      <c r="E30" s="185">
        <f t="shared" si="20"/>
        <v>7.2848379174840869E-2</v>
      </c>
      <c r="F30" s="157">
        <f>SUBTOTAL(9,F31:F34)</f>
        <v>6117.2100000000009</v>
      </c>
      <c r="G30" s="185">
        <f t="shared" si="2"/>
        <v>8.2181826389093215E-2</v>
      </c>
      <c r="H30" s="157">
        <f>SUBTOTAL(9,H31:H34)</f>
        <v>6117.2100000000009</v>
      </c>
      <c r="I30" s="185">
        <f t="shared" si="3"/>
        <v>0.10258542622554939</v>
      </c>
      <c r="J30" s="157">
        <f>SUBTOTAL(9,J31:J34)</f>
        <v>6235.2300000000005</v>
      </c>
      <c r="K30" s="185">
        <f t="shared" si="4"/>
        <v>8.0826203886851647E-2</v>
      </c>
      <c r="L30" s="157">
        <f>SUBTOTAL(9,L31:L34)</f>
        <v>6117.2100000000009</v>
      </c>
      <c r="M30" s="185">
        <f t="shared" si="5"/>
        <v>8.3062442563009611E-2</v>
      </c>
      <c r="N30" s="157">
        <f>SUBTOTAL(9,N31:N34)</f>
        <v>6117.2100000000009</v>
      </c>
      <c r="O30" s="185">
        <f t="shared" si="6"/>
        <v>8.8699901573604328E-2</v>
      </c>
      <c r="P30" s="157">
        <f>SUBTOTAL(9,P31:P34)</f>
        <v>6171.4600000000009</v>
      </c>
      <c r="Q30" s="185">
        <f t="shared" si="7"/>
        <v>0.10125342428782116</v>
      </c>
      <c r="R30" s="157">
        <f>SUBTOTAL(9,R31:R34)</f>
        <v>6340.9500000000007</v>
      </c>
      <c r="S30" s="185">
        <f t="shared" si="8"/>
        <v>7.3528269239198488E-2</v>
      </c>
      <c r="T30" s="157">
        <f>SUBTOTAL(9,T31:T34)</f>
        <v>6171.4600000000009</v>
      </c>
      <c r="U30" s="185">
        <f t="shared" si="9"/>
        <v>0.10761314536700742</v>
      </c>
      <c r="V30" s="157">
        <f>SUBTOTAL(9,V31:V34)</f>
        <v>6909.2900000000009</v>
      </c>
      <c r="W30" s="185">
        <f t="shared" si="16"/>
        <v>5.6252528977914343E-2</v>
      </c>
      <c r="X30" s="157">
        <f>SUBTOTAL(9,X31:X34)</f>
        <v>6996.5000000000009</v>
      </c>
      <c r="Y30" s="185">
        <f t="shared" si="17"/>
        <v>7.3488092649720255E-2</v>
      </c>
      <c r="Z30" s="191">
        <f t="shared" si="0"/>
        <v>6273.9250000000002</v>
      </c>
      <c r="AA30" s="185">
        <f t="shared" si="21"/>
        <v>8.2725385280386185E-2</v>
      </c>
      <c r="AB30" s="172">
        <f>SUBTOTAL(9,AB31:AB34)</f>
        <v>75287.100000000006</v>
      </c>
      <c r="AC30" s="173">
        <f t="shared" si="23"/>
        <v>8.2773008077523108E-2</v>
      </c>
    </row>
    <row r="31" spans="1:29" x14ac:dyDescent="0.3">
      <c r="A31" s="175" t="s">
        <v>145</v>
      </c>
      <c r="B31" s="157">
        <v>4512.32</v>
      </c>
      <c r="C31" s="185"/>
      <c r="D31" s="157">
        <f>4637.27</f>
        <v>4637.2700000000004</v>
      </c>
      <c r="E31" s="185">
        <f t="shared" si="20"/>
        <v>5.5655383495713098E-2</v>
      </c>
      <c r="F31" s="157">
        <v>4637.2700000000004</v>
      </c>
      <c r="G31" s="185">
        <f t="shared" si="2"/>
        <v>6.2299531658934426E-2</v>
      </c>
      <c r="H31" s="157">
        <v>4637.2700000000004</v>
      </c>
      <c r="I31" s="185">
        <f t="shared" si="3"/>
        <v>7.7766877297485854E-2</v>
      </c>
      <c r="J31" s="157">
        <v>4637.2700000000004</v>
      </c>
      <c r="K31" s="185">
        <f t="shared" si="4"/>
        <v>6.0112125855562748E-2</v>
      </c>
      <c r="L31" s="157">
        <v>4637.2700000000004</v>
      </c>
      <c r="M31" s="185">
        <f t="shared" si="5"/>
        <v>6.296709987464344E-2</v>
      </c>
      <c r="N31" s="157">
        <v>4637.2700000000004</v>
      </c>
      <c r="O31" s="185">
        <f t="shared" si="6"/>
        <v>6.7240685307554934E-2</v>
      </c>
      <c r="P31" s="157">
        <v>4637.2700000000004</v>
      </c>
      <c r="Q31" s="185">
        <f t="shared" si="7"/>
        <v>7.6082396523218881E-2</v>
      </c>
      <c r="R31" s="157">
        <v>4637.2700000000004</v>
      </c>
      <c r="S31" s="185">
        <f t="shared" si="8"/>
        <v>5.3772768606416693E-2</v>
      </c>
      <c r="T31" s="157">
        <v>4637.2700000000004</v>
      </c>
      <c r="U31" s="185">
        <f t="shared" si="9"/>
        <v>8.0861126964456145E-2</v>
      </c>
      <c r="V31" s="157">
        <v>4637.2700000000004</v>
      </c>
      <c r="W31" s="185">
        <f t="shared" si="16"/>
        <v>3.7754699115743126E-2</v>
      </c>
      <c r="X31" s="157">
        <v>4637.2700000000004</v>
      </c>
      <c r="Y31" s="185">
        <f t="shared" si="17"/>
        <v>4.870780067201718E-2</v>
      </c>
      <c r="Z31" s="191">
        <f t="shared" si="0"/>
        <v>4626.8575000000019</v>
      </c>
      <c r="AA31" s="185">
        <f t="shared" si="21"/>
        <v>6.1007833106858075E-2</v>
      </c>
      <c r="AB31" s="172">
        <f t="shared" si="22"/>
        <v>55522.290000000015</v>
      </c>
      <c r="AC31" s="173">
        <f t="shared" si="23"/>
        <v>6.1042953688647608E-2</v>
      </c>
    </row>
    <row r="32" spans="1:29" x14ac:dyDescent="0.3">
      <c r="A32" s="165" t="s">
        <v>158</v>
      </c>
      <c r="B32" s="157">
        <v>621.03</v>
      </c>
      <c r="C32" s="185">
        <f t="shared" si="19"/>
        <v>1.2328503612315281E-2</v>
      </c>
      <c r="D32" s="157">
        <v>642.33000000000004</v>
      </c>
      <c r="E32" s="185">
        <f t="shared" si="20"/>
        <v>7.7090879937552464E-3</v>
      </c>
      <c r="F32" s="157">
        <v>642.33000000000004</v>
      </c>
      <c r="G32" s="185">
        <f t="shared" si="2"/>
        <v>8.6294000932624904E-3</v>
      </c>
      <c r="H32" s="157">
        <v>642.33000000000004</v>
      </c>
      <c r="I32" s="185">
        <f t="shared" si="3"/>
        <v>1.077185462448684E-2</v>
      </c>
      <c r="J32" s="157">
        <v>642.33000000000004</v>
      </c>
      <c r="K32" s="185">
        <f t="shared" si="4"/>
        <v>8.3264122642855865E-3</v>
      </c>
      <c r="L32" s="157">
        <v>642.33000000000004</v>
      </c>
      <c r="M32" s="185">
        <f t="shared" si="5"/>
        <v>8.7218680953405174E-3</v>
      </c>
      <c r="N32" s="157">
        <v>642.33000000000004</v>
      </c>
      <c r="O32" s="185">
        <f t="shared" si="6"/>
        <v>9.3138224415662153E-3</v>
      </c>
      <c r="P32" s="157">
        <v>642.33000000000004</v>
      </c>
      <c r="Q32" s="185">
        <f t="shared" si="7"/>
        <v>1.0538529298220545E-2</v>
      </c>
      <c r="R32" s="157">
        <v>642.33000000000004</v>
      </c>
      <c r="S32" s="185">
        <f t="shared" si="8"/>
        <v>7.4483181826720535E-3</v>
      </c>
      <c r="T32" s="157">
        <v>642.33000000000004</v>
      </c>
      <c r="U32" s="185">
        <f t="shared" si="9"/>
        <v>1.1200453646882564E-2</v>
      </c>
      <c r="V32" s="157">
        <v>642.33000000000004</v>
      </c>
      <c r="W32" s="185">
        <f t="shared" si="16"/>
        <v>5.2295803097545069E-3</v>
      </c>
      <c r="X32" s="157">
        <v>642.33000000000004</v>
      </c>
      <c r="Y32" s="185">
        <f t="shared" si="17"/>
        <v>6.7467457373965277E-3</v>
      </c>
      <c r="Z32" s="191">
        <f t="shared" si="0"/>
        <v>640.55499999999995</v>
      </c>
      <c r="AA32" s="185">
        <f t="shared" si="21"/>
        <v>8.446093819782315E-3</v>
      </c>
      <c r="AB32" s="172">
        <f t="shared" si="22"/>
        <v>7686.66</v>
      </c>
      <c r="AC32" s="173">
        <f t="shared" si="23"/>
        <v>8.4509560106468939E-3</v>
      </c>
    </row>
    <row r="33" spans="1:29" x14ac:dyDescent="0.3">
      <c r="A33" s="165" t="s">
        <v>159</v>
      </c>
      <c r="B33" s="157">
        <v>512.45000000000005</v>
      </c>
      <c r="C33" s="185">
        <f t="shared" si="19"/>
        <v>1.0173005613466285E-2</v>
      </c>
      <c r="D33" s="157">
        <v>512.45000000000005</v>
      </c>
      <c r="E33" s="185">
        <f t="shared" si="20"/>
        <v>6.1502999118831069E-3</v>
      </c>
      <c r="F33" s="157">
        <v>559.85</v>
      </c>
      <c r="G33" s="185">
        <f t="shared" si="2"/>
        <v>7.5213202593884844E-3</v>
      </c>
      <c r="H33" s="157">
        <v>559.85</v>
      </c>
      <c r="I33" s="185">
        <f t="shared" si="3"/>
        <v>9.3886675252891141E-3</v>
      </c>
      <c r="J33" s="157">
        <v>559.85</v>
      </c>
      <c r="K33" s="185">
        <f t="shared" si="4"/>
        <v>7.2572383450255872E-3</v>
      </c>
      <c r="L33" s="157">
        <v>559.85</v>
      </c>
      <c r="M33" s="185">
        <f t="shared" si="5"/>
        <v>7.6019146749745272E-3</v>
      </c>
      <c r="N33" s="157">
        <v>559.85</v>
      </c>
      <c r="O33" s="185">
        <f t="shared" si="6"/>
        <v>8.1178576337876882E-3</v>
      </c>
      <c r="P33" s="157">
        <v>559.85</v>
      </c>
      <c r="Q33" s="185">
        <f t="shared" si="7"/>
        <v>9.1853029246785484E-3</v>
      </c>
      <c r="R33" s="157">
        <v>559.85</v>
      </c>
      <c r="S33" s="185">
        <f t="shared" si="8"/>
        <v>6.491898143584994E-3</v>
      </c>
      <c r="T33" s="157">
        <v>559.85</v>
      </c>
      <c r="U33" s="185">
        <f t="shared" si="9"/>
        <v>9.7622312116936831E-3</v>
      </c>
      <c r="V33" s="157">
        <v>559.85</v>
      </c>
      <c r="W33" s="185">
        <f t="shared" si="16"/>
        <v>4.5580628904395883E-3</v>
      </c>
      <c r="X33" s="157">
        <v>559.85</v>
      </c>
      <c r="Y33" s="185">
        <f t="shared" si="17"/>
        <v>5.8804128735719116E-3</v>
      </c>
      <c r="Z33" s="191">
        <f t="shared" si="0"/>
        <v>551.95000000000016</v>
      </c>
      <c r="AA33" s="185">
        <f t="shared" si="21"/>
        <v>7.2777848644204647E-3</v>
      </c>
      <c r="AB33" s="172">
        <f t="shared" si="22"/>
        <v>6623.4000000000005</v>
      </c>
      <c r="AC33" s="173">
        <f t="shared" si="23"/>
        <v>7.2819744909907082E-3</v>
      </c>
    </row>
    <row r="34" spans="1:29" x14ac:dyDescent="0.3">
      <c r="A34" s="157" t="s">
        <v>182</v>
      </c>
      <c r="B34" s="176">
        <v>277.76</v>
      </c>
      <c r="C34" s="185">
        <f>B34/B$2</f>
        <v>5.514009248114733E-3</v>
      </c>
      <c r="D34" s="176">
        <v>277.76</v>
      </c>
      <c r="E34" s="185">
        <f>D34/D$2</f>
        <v>3.3336077734894168E-3</v>
      </c>
      <c r="F34" s="176">
        <v>277.76</v>
      </c>
      <c r="G34" s="185">
        <f>F34/F$2</f>
        <v>3.7315743775078059E-3</v>
      </c>
      <c r="H34" s="176">
        <v>277.76</v>
      </c>
      <c r="I34" s="185">
        <f>H34/H$2</f>
        <v>4.6580267782875846E-3</v>
      </c>
      <c r="J34" s="176">
        <v>395.78</v>
      </c>
      <c r="K34" s="185">
        <f>J34/J$2</f>
        <v>5.13042742197772E-3</v>
      </c>
      <c r="L34" s="176">
        <v>277.76</v>
      </c>
      <c r="M34" s="185">
        <f>L34/L$2</f>
        <v>3.7715599180511289E-3</v>
      </c>
      <c r="N34" s="176">
        <v>277.76</v>
      </c>
      <c r="O34" s="185">
        <f>N34/N$2</f>
        <v>4.0275361906954863E-3</v>
      </c>
      <c r="P34" s="176">
        <v>332.01</v>
      </c>
      <c r="Q34" s="185">
        <f>P34/P$2</f>
        <v>5.4471955417031781E-3</v>
      </c>
      <c r="R34" s="176">
        <v>501.5</v>
      </c>
      <c r="S34" s="185">
        <f>R34/R$2</f>
        <v>5.8152843065247374E-3</v>
      </c>
      <c r="T34" s="176">
        <v>332.01</v>
      </c>
      <c r="U34" s="185">
        <f>T34/T$2</f>
        <v>5.789333543975028E-3</v>
      </c>
      <c r="V34" s="176">
        <v>1069.8399999999999</v>
      </c>
      <c r="W34" s="185">
        <f>V34/V$2</f>
        <v>8.7101866619771172E-3</v>
      </c>
      <c r="X34" s="176">
        <v>1157.05</v>
      </c>
      <c r="Y34" s="185">
        <f>X34/X$2</f>
        <v>1.2153133366734625E-2</v>
      </c>
      <c r="Z34" s="191">
        <f t="shared" ref="Z34:Z68" si="24">(B34+D34+F34+H34+J34+L34+N34+P34+R34+T34+V34+X34)/AE$2</f>
        <v>454.56250000000006</v>
      </c>
      <c r="AA34" s="185">
        <f t="shared" si="21"/>
        <v>5.9936734893253499E-3</v>
      </c>
      <c r="AB34" s="172">
        <f t="shared" si="22"/>
        <v>5454.7500000000009</v>
      </c>
      <c r="AC34" s="173">
        <f>AB34/AB$3</f>
        <v>5.9971238872379099E-3</v>
      </c>
    </row>
    <row r="35" spans="1:29" x14ac:dyDescent="0.3">
      <c r="A35" s="157" t="s">
        <v>136</v>
      </c>
      <c r="B35" s="157">
        <v>25000</v>
      </c>
      <c r="C35" s="185">
        <f t="shared" si="19"/>
        <v>0.4962925950564096</v>
      </c>
      <c r="D35" s="157">
        <v>18693.03</v>
      </c>
      <c r="E35" s="185">
        <f t="shared" si="20"/>
        <v>0.22434918677300861</v>
      </c>
      <c r="F35" s="157"/>
      <c r="G35" s="185">
        <f t="shared" si="2"/>
        <v>0</v>
      </c>
      <c r="H35" s="157"/>
      <c r="I35" s="185">
        <f t="shared" si="3"/>
        <v>0</v>
      </c>
      <c r="J35" s="157"/>
      <c r="K35" s="185">
        <f t="shared" si="4"/>
        <v>0</v>
      </c>
      <c r="L35" s="157"/>
      <c r="M35" s="185">
        <f t="shared" si="5"/>
        <v>0</v>
      </c>
      <c r="N35" s="157"/>
      <c r="O35" s="185">
        <f t="shared" si="6"/>
        <v>0</v>
      </c>
      <c r="P35" s="157"/>
      <c r="Q35" s="185">
        <f t="shared" si="7"/>
        <v>0</v>
      </c>
      <c r="R35" s="157"/>
      <c r="S35" s="185">
        <f t="shared" si="8"/>
        <v>0</v>
      </c>
      <c r="T35" s="157"/>
      <c r="U35" s="185">
        <f t="shared" si="9"/>
        <v>0</v>
      </c>
      <c r="V35" s="157"/>
      <c r="W35" s="185">
        <f t="shared" si="16"/>
        <v>0</v>
      </c>
      <c r="X35" s="157"/>
      <c r="Y35" s="185">
        <f t="shared" si="17"/>
        <v>0</v>
      </c>
      <c r="Z35" s="191">
        <f t="shared" si="24"/>
        <v>3641.0858333333331</v>
      </c>
      <c r="AA35" s="185">
        <f t="shared" si="21"/>
        <v>4.8009854819982059E-2</v>
      </c>
      <c r="AB35" s="172">
        <f t="shared" si="22"/>
        <v>43693.03</v>
      </c>
      <c r="AC35" s="173">
        <f t="shared" si="23"/>
        <v>4.8037492812466664E-2</v>
      </c>
    </row>
    <row r="36" spans="1:29" x14ac:dyDescent="0.3">
      <c r="A36" s="157" t="s">
        <v>137</v>
      </c>
      <c r="B36" s="157"/>
      <c r="C36" s="185">
        <f t="shared" si="19"/>
        <v>0</v>
      </c>
      <c r="D36" s="157"/>
      <c r="E36" s="185">
        <f t="shared" si="20"/>
        <v>0</v>
      </c>
      <c r="F36" s="157">
        <v>15000</v>
      </c>
      <c r="G36" s="185">
        <f t="shared" si="2"/>
        <v>0.20151791353188758</v>
      </c>
      <c r="H36" s="157">
        <v>15000</v>
      </c>
      <c r="I36" s="185">
        <f t="shared" si="3"/>
        <v>0.25154954519842226</v>
      </c>
      <c r="J36" s="226">
        <v>15000</v>
      </c>
      <c r="K36" s="185">
        <f>J36/J$2</f>
        <v>0.19444239559772047</v>
      </c>
      <c r="L36" s="157">
        <v>6032.85</v>
      </c>
      <c r="M36" s="185">
        <f t="shared" si="5"/>
        <v>8.1916961591354961E-2</v>
      </c>
      <c r="N36" s="157">
        <v>7772.71</v>
      </c>
      <c r="O36" s="185">
        <f t="shared" si="6"/>
        <v>0.11270474807308725</v>
      </c>
      <c r="P36" s="157">
        <v>15000</v>
      </c>
      <c r="Q36" s="185">
        <f t="shared" si="7"/>
        <v>0.24610081963057642</v>
      </c>
      <c r="R36" s="157">
        <v>15000</v>
      </c>
      <c r="S36" s="185">
        <f t="shared" si="8"/>
        <v>0.17393671903862626</v>
      </c>
      <c r="T36" s="157"/>
      <c r="U36" s="185">
        <f t="shared" si="9"/>
        <v>0</v>
      </c>
      <c r="V36" s="157"/>
      <c r="W36" s="185">
        <f t="shared" si="16"/>
        <v>0</v>
      </c>
      <c r="X36" s="157"/>
      <c r="Y36" s="185">
        <f t="shared" si="17"/>
        <v>0</v>
      </c>
      <c r="Z36" s="191">
        <f t="shared" si="24"/>
        <v>7400.4633333333331</v>
      </c>
      <c r="AA36" s="185">
        <f t="shared" si="21"/>
        <v>9.7579454727841172E-2</v>
      </c>
      <c r="AB36" s="172">
        <f t="shared" si="22"/>
        <v>88805.56</v>
      </c>
      <c r="AC36" s="173">
        <f t="shared" si="23"/>
        <v>9.7635628616442427E-2</v>
      </c>
    </row>
    <row r="37" spans="1:29" x14ac:dyDescent="0.3">
      <c r="A37" s="157" t="s">
        <v>135</v>
      </c>
      <c r="B37" s="157"/>
      <c r="C37" s="185">
        <f t="shared" si="19"/>
        <v>0</v>
      </c>
      <c r="D37" s="157"/>
      <c r="E37" s="185">
        <f t="shared" si="20"/>
        <v>0</v>
      </c>
      <c r="F37" s="157"/>
      <c r="G37" s="185">
        <f t="shared" si="2"/>
        <v>0</v>
      </c>
      <c r="H37" s="157"/>
      <c r="I37" s="185">
        <f t="shared" si="3"/>
        <v>0</v>
      </c>
      <c r="J37" s="157"/>
      <c r="K37" s="185">
        <f>J37/J$2</f>
        <v>0</v>
      </c>
      <c r="L37" s="157">
        <v>8967.15</v>
      </c>
      <c r="M37" s="185">
        <f t="shared" si="5"/>
        <v>0.12176030932874489</v>
      </c>
      <c r="N37" s="157">
        <v>7227.29</v>
      </c>
      <c r="O37" s="185">
        <f t="shared" si="6"/>
        <v>0.10479612628042764</v>
      </c>
      <c r="P37" s="157"/>
      <c r="Q37" s="185">
        <f t="shared" si="7"/>
        <v>0</v>
      </c>
      <c r="R37" s="157"/>
      <c r="S37" s="185">
        <f t="shared" si="8"/>
        <v>0</v>
      </c>
      <c r="T37" s="157">
        <v>14000</v>
      </c>
      <c r="U37" s="185">
        <f t="shared" si="9"/>
        <v>0.24412116989142013</v>
      </c>
      <c r="V37" s="157">
        <v>15000</v>
      </c>
      <c r="W37" s="185">
        <f t="shared" si="16"/>
        <v>0.12212368198016223</v>
      </c>
      <c r="X37" s="157">
        <v>15000</v>
      </c>
      <c r="Y37" s="185">
        <f t="shared" si="17"/>
        <v>0.15755326087984045</v>
      </c>
      <c r="Z37" s="191">
        <f t="shared" si="24"/>
        <v>5016.2033333333338</v>
      </c>
      <c r="AA37" s="185">
        <f t="shared" si="21"/>
        <v>6.6141586549848377E-2</v>
      </c>
      <c r="AB37" s="172">
        <f t="shared" si="22"/>
        <v>60194.44</v>
      </c>
      <c r="AC37" s="173">
        <f t="shared" si="23"/>
        <v>6.6179662496523045E-2</v>
      </c>
    </row>
    <row r="38" spans="1:29" x14ac:dyDescent="0.3">
      <c r="A38" s="157" t="s">
        <v>21</v>
      </c>
      <c r="B38" s="157">
        <v>59.92</v>
      </c>
      <c r="C38" s="185">
        <f t="shared" si="19"/>
        <v>1.1895140918312026E-3</v>
      </c>
      <c r="D38" s="157">
        <v>71.28</v>
      </c>
      <c r="E38" s="185">
        <f t="shared" si="20"/>
        <v>8.5548517459074617E-4</v>
      </c>
      <c r="F38" s="157">
        <v>65.599999999999994</v>
      </c>
      <c r="G38" s="185">
        <f t="shared" si="2"/>
        <v>8.8130500851278822E-4</v>
      </c>
      <c r="H38" s="157">
        <v>76.959999999999994</v>
      </c>
      <c r="I38" s="185">
        <f t="shared" si="3"/>
        <v>1.290616866564705E-3</v>
      </c>
      <c r="J38" s="157">
        <v>71.28</v>
      </c>
      <c r="K38" s="185">
        <f>J38/J$2</f>
        <v>9.2399026388036772E-4</v>
      </c>
      <c r="L38" s="157">
        <v>71.28</v>
      </c>
      <c r="M38" s="185">
        <f t="shared" si="5"/>
        <v>9.6787439141231453E-4</v>
      </c>
      <c r="N38" s="157">
        <v>82.65</v>
      </c>
      <c r="O38" s="185">
        <f t="shared" si="6"/>
        <v>1.1984298176878671E-3</v>
      </c>
      <c r="P38" s="157">
        <f>76.97</f>
        <v>76.97</v>
      </c>
      <c r="Q38" s="185">
        <f t="shared" si="7"/>
        <v>1.2628253391310312E-3</v>
      </c>
      <c r="R38" s="157">
        <f>375.42+82.65</f>
        <v>458.07000000000005</v>
      </c>
      <c r="S38" s="185">
        <f t="shared" si="8"/>
        <v>5.3116795260015693E-3</v>
      </c>
      <c r="T38" s="157">
        <f>375.4+86.93</f>
        <v>462.33</v>
      </c>
      <c r="U38" s="185">
        <f t="shared" si="9"/>
        <v>8.0617528911357331E-3</v>
      </c>
      <c r="V38" s="157">
        <f>375.4+86.93</f>
        <v>462.33</v>
      </c>
      <c r="W38" s="185">
        <f t="shared" si="16"/>
        <v>3.7640961259925599E-3</v>
      </c>
      <c r="X38" s="157">
        <f>86.93+375.4+135.93</f>
        <v>598.26</v>
      </c>
      <c r="Y38" s="185">
        <f t="shared" si="17"/>
        <v>6.2838542569315561E-3</v>
      </c>
      <c r="Z38" s="191">
        <f t="shared" si="24"/>
        <v>213.07749999999999</v>
      </c>
      <c r="AA38" s="185">
        <f t="shared" si="21"/>
        <v>2.8095519602292797E-3</v>
      </c>
      <c r="AB38" s="172">
        <f t="shared" si="22"/>
        <v>2556.9300000000003</v>
      </c>
      <c r="AC38" s="173">
        <f t="shared" si="23"/>
        <v>2.811169344332046E-3</v>
      </c>
    </row>
    <row r="39" spans="1:29" x14ac:dyDescent="0.3">
      <c r="A39" s="157" t="s">
        <v>140</v>
      </c>
      <c r="B39" s="157">
        <v>1359.99</v>
      </c>
      <c r="C39" s="185">
        <f t="shared" si="19"/>
        <v>2.6998118654030658E-2</v>
      </c>
      <c r="D39" s="157">
        <f>1360.01+300</f>
        <v>1660.01</v>
      </c>
      <c r="E39" s="185">
        <f t="shared" si="20"/>
        <v>1.9923035138501466E-2</v>
      </c>
      <c r="F39" s="157">
        <v>300</v>
      </c>
      <c r="G39" s="185">
        <f t="shared" si="2"/>
        <v>4.0303582706377513E-3</v>
      </c>
      <c r="H39" s="157">
        <v>389</v>
      </c>
      <c r="I39" s="185">
        <f t="shared" si="3"/>
        <v>6.5235182054790841E-3</v>
      </c>
      <c r="J39" s="157">
        <v>300</v>
      </c>
      <c r="K39" s="185">
        <f t="shared" si="4"/>
        <v>3.8888479119544095E-3</v>
      </c>
      <c r="L39" s="157">
        <f>300</f>
        <v>300</v>
      </c>
      <c r="M39" s="185">
        <f t="shared" si="5"/>
        <v>4.0735454184019975E-3</v>
      </c>
      <c r="N39" s="157">
        <f>300+376.9</f>
        <v>676.9</v>
      </c>
      <c r="O39" s="185">
        <f t="shared" si="6"/>
        <v>9.8150894566596154E-3</v>
      </c>
      <c r="P39" s="157">
        <f>300+549</f>
        <v>849</v>
      </c>
      <c r="Q39" s="185">
        <f t="shared" si="7"/>
        <v>1.3929306391090626E-2</v>
      </c>
      <c r="R39" s="157">
        <f>299+300+125</f>
        <v>724</v>
      </c>
      <c r="S39" s="185">
        <f t="shared" si="8"/>
        <v>8.3953456389310264E-3</v>
      </c>
      <c r="T39" s="157">
        <f>300+299</f>
        <v>599</v>
      </c>
      <c r="U39" s="185">
        <f t="shared" si="9"/>
        <v>1.0444898626068618E-2</v>
      </c>
      <c r="V39" s="157">
        <v>300</v>
      </c>
      <c r="W39" s="185">
        <f t="shared" si="16"/>
        <v>2.4424736396032446E-3</v>
      </c>
      <c r="X39" s="157">
        <v>300</v>
      </c>
      <c r="Y39" s="185">
        <f t="shared" si="17"/>
        <v>3.1510652175968088E-3</v>
      </c>
      <c r="Z39" s="191">
        <f t="shared" si="24"/>
        <v>646.49166666666667</v>
      </c>
      <c r="AA39" s="185">
        <f t="shared" si="21"/>
        <v>8.5243722558938778E-3</v>
      </c>
      <c r="AB39" s="172">
        <f t="shared" si="22"/>
        <v>7757.9</v>
      </c>
      <c r="AC39" s="173">
        <f t="shared" si="23"/>
        <v>8.5292795095656022E-3</v>
      </c>
    </row>
    <row r="40" spans="1:29" x14ac:dyDescent="0.3">
      <c r="A40" s="157" t="s">
        <v>22</v>
      </c>
      <c r="B40" s="157">
        <f>96.75+270</f>
        <v>366.75</v>
      </c>
      <c r="C40" s="185">
        <f t="shared" si="19"/>
        <v>7.280612369477529E-3</v>
      </c>
      <c r="D40" s="157">
        <f>76+95+270</f>
        <v>441</v>
      </c>
      <c r="E40" s="185">
        <f t="shared" si="20"/>
        <v>5.2927744387558789E-3</v>
      </c>
      <c r="F40" s="157">
        <v>362</v>
      </c>
      <c r="G40" s="185">
        <f t="shared" si="2"/>
        <v>4.8632989799028865E-3</v>
      </c>
      <c r="H40" s="157">
        <f>267+97.25</f>
        <v>364.25</v>
      </c>
      <c r="I40" s="185">
        <f t="shared" si="3"/>
        <v>6.1084614559016879E-3</v>
      </c>
      <c r="J40" s="157">
        <f>415+119.38</f>
        <v>534.38</v>
      </c>
      <c r="K40" s="185">
        <f t="shared" si="4"/>
        <v>6.9270751573006573E-3</v>
      </c>
      <c r="L40" s="157">
        <f>343.35+140.75</f>
        <v>484.1</v>
      </c>
      <c r="M40" s="185">
        <f t="shared" si="5"/>
        <v>6.5733444568280234E-3</v>
      </c>
      <c r="N40" s="157">
        <f>343.75+126.88</f>
        <v>470.63</v>
      </c>
      <c r="O40" s="185">
        <f t="shared" si="6"/>
        <v>6.8241624331329808E-3</v>
      </c>
      <c r="P40" s="157">
        <f>343.35+147.6</f>
        <v>490.95000000000005</v>
      </c>
      <c r="Q40" s="185">
        <f t="shared" si="7"/>
        <v>8.0548798265087668E-3</v>
      </c>
      <c r="R40" s="157">
        <f>343.35+154.22</f>
        <v>497.57000000000005</v>
      </c>
      <c r="S40" s="185">
        <f t="shared" si="8"/>
        <v>5.7697128861366178E-3</v>
      </c>
      <c r="T40" s="157">
        <f>178.02+69.8+343.35</f>
        <v>591.17000000000007</v>
      </c>
      <c r="U40" s="185">
        <f t="shared" si="9"/>
        <v>1.0308365143193632E-2</v>
      </c>
      <c r="V40" s="157">
        <f>69.8+189.34+343.35</f>
        <v>602.49</v>
      </c>
      <c r="W40" s="185">
        <f t="shared" si="16"/>
        <v>4.9052198104151965E-3</v>
      </c>
      <c r="X40" s="157">
        <v>865.6</v>
      </c>
      <c r="Y40" s="185">
        <f t="shared" si="17"/>
        <v>9.0918735078393265E-3</v>
      </c>
      <c r="Z40" s="191">
        <f t="shared" si="24"/>
        <v>505.90750000000008</v>
      </c>
      <c r="AA40" s="185">
        <f t="shared" si="21"/>
        <v>6.6706874649819651E-3</v>
      </c>
      <c r="AB40" s="172">
        <f t="shared" si="22"/>
        <v>6070.8899999999994</v>
      </c>
      <c r="AC40" s="173">
        <f t="shared" si="23"/>
        <v>6.6745276017771199E-3</v>
      </c>
    </row>
    <row r="41" spans="1:29" x14ac:dyDescent="0.3">
      <c r="A41" s="157" t="s">
        <v>23</v>
      </c>
      <c r="B41" s="157">
        <v>328.96</v>
      </c>
      <c r="C41" s="185">
        <f>B41/B$2</f>
        <v>6.5304164827902599E-3</v>
      </c>
      <c r="D41" s="157">
        <v>241.98</v>
      </c>
      <c r="E41" s="185">
        <f t="shared" si="20"/>
        <v>2.9041849403404706E-3</v>
      </c>
      <c r="F41" s="157">
        <v>241.98</v>
      </c>
      <c r="G41" s="185">
        <f t="shared" si="2"/>
        <v>3.25088698109641E-3</v>
      </c>
      <c r="H41" s="157">
        <v>241.98</v>
      </c>
      <c r="I41" s="185">
        <f t="shared" si="3"/>
        <v>4.0579972631409481E-3</v>
      </c>
      <c r="J41" s="157">
        <v>241.98</v>
      </c>
      <c r="K41" s="185">
        <f t="shared" si="4"/>
        <v>3.1367447257824262E-3</v>
      </c>
      <c r="L41" s="157">
        <v>241.98</v>
      </c>
      <c r="M41" s="185">
        <f t="shared" si="5"/>
        <v>3.2857217344830509E-3</v>
      </c>
      <c r="N41" s="157">
        <v>227.04</v>
      </c>
      <c r="O41" s="185">
        <f t="shared" si="6"/>
        <v>3.292093234214801E-3</v>
      </c>
      <c r="P41" s="157">
        <f>109.99+83.86</f>
        <v>193.85</v>
      </c>
      <c r="Q41" s="185">
        <f t="shared" si="7"/>
        <v>3.1804429256924826E-3</v>
      </c>
      <c r="R41" s="157">
        <v>209.79</v>
      </c>
      <c r="S41" s="185">
        <f t="shared" si="8"/>
        <v>2.4326789524742268E-3</v>
      </c>
      <c r="T41" s="157">
        <f>185.28+115.23</f>
        <v>300.51</v>
      </c>
      <c r="U41" s="185">
        <f t="shared" si="9"/>
        <v>5.2400609117193332E-3</v>
      </c>
      <c r="V41" s="157">
        <f>124.93+109.99</f>
        <v>234.92000000000002</v>
      </c>
      <c r="W41" s="185">
        <f t="shared" si="16"/>
        <v>1.9126196913853142E-3</v>
      </c>
      <c r="X41" s="157">
        <v>241.16</v>
      </c>
      <c r="Y41" s="185">
        <f t="shared" si="17"/>
        <v>2.5330362929188214E-3</v>
      </c>
      <c r="Z41" s="191">
        <f t="shared" si="24"/>
        <v>245.51083333333335</v>
      </c>
      <c r="AA41" s="185">
        <f t="shared" si="21"/>
        <v>3.2372045056338226E-3</v>
      </c>
      <c r="AB41" s="172">
        <f t="shared" si="22"/>
        <v>2946.13</v>
      </c>
      <c r="AC41" s="173">
        <f t="shared" si="23"/>
        <v>3.2390680778969193E-3</v>
      </c>
    </row>
    <row r="42" spans="1:29" x14ac:dyDescent="0.3">
      <c r="A42" s="157" t="s">
        <v>127</v>
      </c>
      <c r="B42" s="157">
        <f>211.25+132.98</f>
        <v>344.23</v>
      </c>
      <c r="C42" s="185">
        <f>B42/B$2</f>
        <v>6.8335519998507155E-3</v>
      </c>
      <c r="D42" s="157">
        <f>211.25+132.98</f>
        <v>344.23</v>
      </c>
      <c r="E42" s="185">
        <f t="shared" si="20"/>
        <v>4.1313645012538234E-3</v>
      </c>
      <c r="F42" s="157">
        <f>211.25+132.98</f>
        <v>344.23</v>
      </c>
      <c r="G42" s="185">
        <f t="shared" si="2"/>
        <v>4.6245674250054445E-3</v>
      </c>
      <c r="H42" s="157">
        <f>211.25+132.98</f>
        <v>344.23</v>
      </c>
      <c r="I42" s="185">
        <f t="shared" si="3"/>
        <v>5.7727266629101935E-3</v>
      </c>
      <c r="J42" s="157">
        <f>211.25+120.08</f>
        <v>331.33</v>
      </c>
      <c r="K42" s="185">
        <f t="shared" si="4"/>
        <v>4.2949732622261814E-3</v>
      </c>
      <c r="L42" s="157">
        <f>211.25+112.99</f>
        <v>324.24</v>
      </c>
      <c r="M42" s="185">
        <f t="shared" si="5"/>
        <v>4.4026878882088786E-3</v>
      </c>
      <c r="N42" s="157">
        <f>112.99+211.57</f>
        <v>324.56</v>
      </c>
      <c r="O42" s="185">
        <f t="shared" si="6"/>
        <v>4.7061389186784531E-3</v>
      </c>
      <c r="P42" s="157">
        <f>112.99+234.33</f>
        <v>347.32</v>
      </c>
      <c r="Q42" s="185">
        <f t="shared" si="7"/>
        <v>5.6983824449394534E-3</v>
      </c>
      <c r="R42" s="157">
        <f>140.22+212.83</f>
        <v>353.05</v>
      </c>
      <c r="S42" s="185">
        <f t="shared" si="8"/>
        <v>4.0938905771058E-3</v>
      </c>
      <c r="T42" s="157">
        <f>249.19+80.84</f>
        <v>330.03</v>
      </c>
      <c r="U42" s="185">
        <f t="shared" si="9"/>
        <v>5.754807835661813E-3</v>
      </c>
      <c r="V42" s="157">
        <f>336.49+110.93</f>
        <v>447.42</v>
      </c>
      <c r="W42" s="185">
        <f t="shared" si="16"/>
        <v>3.6427051861042791E-3</v>
      </c>
      <c r="X42" s="157">
        <f>293.16+94.99</f>
        <v>388.15000000000003</v>
      </c>
      <c r="Y42" s="185">
        <f t="shared" si="17"/>
        <v>4.0769532140340044E-3</v>
      </c>
      <c r="Z42" s="191">
        <f t="shared" si="24"/>
        <v>351.91833333333335</v>
      </c>
      <c r="AA42" s="185">
        <f t="shared" si="21"/>
        <v>4.6402498774262314E-3</v>
      </c>
      <c r="AB42" s="172">
        <f t="shared" si="22"/>
        <v>4223.0200000000004</v>
      </c>
      <c r="AC42" s="173">
        <f t="shared" si="23"/>
        <v>4.6429211454756744E-3</v>
      </c>
    </row>
    <row r="43" spans="1:29" x14ac:dyDescent="0.3">
      <c r="A43" s="157" t="s">
        <v>156</v>
      </c>
      <c r="B43" s="157">
        <f>85.63+4.5+206</f>
        <v>296.13</v>
      </c>
      <c r="C43" s="185">
        <f>B43/B$2</f>
        <v>5.8786850469621831E-3</v>
      </c>
      <c r="D43" s="157"/>
      <c r="E43" s="185">
        <f>D43/D$2</f>
        <v>0</v>
      </c>
      <c r="F43" s="157">
        <f>11.99+54.81</f>
        <v>66.8</v>
      </c>
      <c r="G43" s="185">
        <f>F43/F$2</f>
        <v>8.9742644159533928E-4</v>
      </c>
      <c r="H43" s="157">
        <v>189.12</v>
      </c>
      <c r="I43" s="185">
        <f>H43/H$2</f>
        <v>3.1715366658617082E-3</v>
      </c>
      <c r="J43" s="157">
        <v>123</v>
      </c>
      <c r="K43" s="185">
        <f>J43/J$2</f>
        <v>1.5944276439013077E-3</v>
      </c>
      <c r="L43" s="157">
        <f>206+53.38+37.52</f>
        <v>296.89999999999998</v>
      </c>
      <c r="M43" s="185">
        <f>L43/L$2</f>
        <v>4.0314521157451761E-3</v>
      </c>
      <c r="N43" s="157">
        <v>12.66</v>
      </c>
      <c r="O43" s="185">
        <f>N43/N$2</f>
        <v>1.8357073795436657E-4</v>
      </c>
      <c r="P43" s="157"/>
      <c r="Q43" s="185">
        <f>P43/P$2</f>
        <v>0</v>
      </c>
      <c r="R43" s="157"/>
      <c r="S43" s="185">
        <f>R43/R$2</f>
        <v>0</v>
      </c>
      <c r="T43" s="157">
        <f>228+80.29+18</f>
        <v>326.29000000000002</v>
      </c>
      <c r="U43" s="185">
        <f>T43/T$2</f>
        <v>5.6895926088479628E-3</v>
      </c>
      <c r="V43" s="157">
        <v>145.83000000000001</v>
      </c>
      <c r="W43" s="185">
        <f>V43/V$2</f>
        <v>1.1872864362111372E-3</v>
      </c>
      <c r="X43" s="157">
        <v>209.27</v>
      </c>
      <c r="Y43" s="185">
        <f>X43/X$2</f>
        <v>2.1980780602882809E-3</v>
      </c>
      <c r="Z43" s="191">
        <f t="shared" si="24"/>
        <v>138.83333333333331</v>
      </c>
      <c r="AA43" s="185">
        <f t="shared" si="21"/>
        <v>1.8305990252928239E-3</v>
      </c>
      <c r="AB43" s="172">
        <f t="shared" si="22"/>
        <v>1666</v>
      </c>
      <c r="AC43" s="173">
        <f>AB43/AB$3</f>
        <v>1.8316528523100702E-3</v>
      </c>
    </row>
    <row r="44" spans="1:29" x14ac:dyDescent="0.3">
      <c r="A44" s="157" t="s">
        <v>157</v>
      </c>
      <c r="B44" s="157">
        <v>240</v>
      </c>
      <c r="C44" s="185">
        <f>B44/B$2</f>
        <v>4.7644089125415323E-3</v>
      </c>
      <c r="D44" s="157">
        <v>160</v>
      </c>
      <c r="E44" s="185">
        <f t="shared" si="20"/>
        <v>1.920280975512337E-3</v>
      </c>
      <c r="F44" s="157">
        <f>77.37+80</f>
        <v>157.37</v>
      </c>
      <c r="G44" s="185">
        <f t="shared" si="2"/>
        <v>2.1141916035008765E-3</v>
      </c>
      <c r="H44" s="157">
        <v>160</v>
      </c>
      <c r="I44" s="185">
        <f t="shared" si="3"/>
        <v>2.6831951487831709E-3</v>
      </c>
      <c r="J44" s="157">
        <f>240</f>
        <v>240</v>
      </c>
      <c r="K44" s="185">
        <f t="shared" si="4"/>
        <v>3.1110783295635273E-3</v>
      </c>
      <c r="L44" s="157">
        <v>180</v>
      </c>
      <c r="M44" s="185">
        <f t="shared" si="5"/>
        <v>2.4441272510411982E-3</v>
      </c>
      <c r="N44" s="157">
        <v>60</v>
      </c>
      <c r="O44" s="185">
        <f t="shared" si="6"/>
        <v>8.7000349741405954E-4</v>
      </c>
      <c r="P44" s="157">
        <f>80+92.03+15.99</f>
        <v>188.02</v>
      </c>
      <c r="Q44" s="185">
        <f t="shared" si="7"/>
        <v>3.0847917404627323E-3</v>
      </c>
      <c r="R44" s="157">
        <v>227.03</v>
      </c>
      <c r="S44" s="185">
        <f t="shared" si="8"/>
        <v>2.6325902215559548E-3</v>
      </c>
      <c r="T44" s="157">
        <v>62.15</v>
      </c>
      <c r="U44" s="185">
        <f t="shared" si="9"/>
        <v>1.0837236220536972E-3</v>
      </c>
      <c r="V44" s="157"/>
      <c r="W44" s="185">
        <f t="shared" si="16"/>
        <v>0</v>
      </c>
      <c r="X44" s="157"/>
      <c r="Y44" s="185">
        <f t="shared" si="17"/>
        <v>0</v>
      </c>
      <c r="Z44" s="191">
        <f t="shared" si="24"/>
        <v>139.54749999999999</v>
      </c>
      <c r="AA44" s="185">
        <f t="shared" si="21"/>
        <v>1.8400157321636279E-3</v>
      </c>
      <c r="AB44" s="172">
        <f t="shared" si="22"/>
        <v>1674.5699999999997</v>
      </c>
      <c r="AC44" s="173">
        <f t="shared" si="23"/>
        <v>1.8410749801277754E-3</v>
      </c>
    </row>
    <row r="45" spans="1:29" x14ac:dyDescent="0.3">
      <c r="A45" s="157" t="s">
        <v>163</v>
      </c>
      <c r="B45" s="157"/>
      <c r="C45" s="185">
        <f t="shared" si="19"/>
        <v>0</v>
      </c>
      <c r="D45" s="157">
        <v>4</v>
      </c>
      <c r="E45" s="185">
        <f t="shared" si="20"/>
        <v>4.8007024387808426E-5</v>
      </c>
      <c r="F45" s="157">
        <v>189.6</v>
      </c>
      <c r="G45" s="185">
        <f t="shared" si="2"/>
        <v>2.5471864270430588E-3</v>
      </c>
      <c r="H45" s="157">
        <v>256.89999999999998</v>
      </c>
      <c r="I45" s="185">
        <f t="shared" si="3"/>
        <v>4.3082052107649782E-3</v>
      </c>
      <c r="J45" s="157">
        <f>100</f>
        <v>100</v>
      </c>
      <c r="K45" s="185">
        <f t="shared" si="4"/>
        <v>1.2962826373181364E-3</v>
      </c>
      <c r="L45" s="157">
        <v>248.24</v>
      </c>
      <c r="M45" s="185">
        <f t="shared" si="5"/>
        <v>3.3707230488803728E-3</v>
      </c>
      <c r="N45" s="157">
        <v>238.75</v>
      </c>
      <c r="O45" s="185">
        <f t="shared" si="6"/>
        <v>3.4618889167934452E-3</v>
      </c>
      <c r="P45" s="157"/>
      <c r="Q45" s="185">
        <f t="shared" si="7"/>
        <v>0</v>
      </c>
      <c r="R45" s="157">
        <v>260.13</v>
      </c>
      <c r="S45" s="185">
        <f t="shared" si="8"/>
        <v>3.0164105815678566E-3</v>
      </c>
      <c r="T45" s="157">
        <v>14.98</v>
      </c>
      <c r="U45" s="185">
        <f t="shared" si="9"/>
        <v>2.6120965178381956E-4</v>
      </c>
      <c r="V45" s="157">
        <v>402.4</v>
      </c>
      <c r="W45" s="185">
        <f t="shared" si="16"/>
        <v>3.2761713085878185E-3</v>
      </c>
      <c r="X45" s="157"/>
      <c r="Y45" s="185">
        <f t="shared" si="17"/>
        <v>0</v>
      </c>
      <c r="Z45" s="191">
        <f t="shared" si="24"/>
        <v>142.91666666666666</v>
      </c>
      <c r="AA45" s="185">
        <f t="shared" si="21"/>
        <v>1.884440173095554E-3</v>
      </c>
      <c r="AB45" s="172">
        <f t="shared" si="22"/>
        <v>1715</v>
      </c>
      <c r="AC45" s="173">
        <f t="shared" si="23"/>
        <v>1.8855249950250723E-3</v>
      </c>
    </row>
    <row r="46" spans="1:29" x14ac:dyDescent="0.3">
      <c r="A46" s="157" t="s">
        <v>152</v>
      </c>
      <c r="B46" s="157">
        <v>481.51</v>
      </c>
      <c r="C46" s="185">
        <f t="shared" ref="C46:C53" si="25">B46/B$2</f>
        <v>9.5587938978244705E-3</v>
      </c>
      <c r="D46" s="157">
        <v>275.36</v>
      </c>
      <c r="E46" s="185">
        <f t="shared" ref="E46:E53" si="26">D46/D$2</f>
        <v>3.304803558856732E-3</v>
      </c>
      <c r="F46" s="157">
        <v>223.55</v>
      </c>
      <c r="G46" s="185">
        <f t="shared" ref="G46:G53" si="27">F46/F$2</f>
        <v>3.0032886380035647E-3</v>
      </c>
      <c r="H46" s="157">
        <v>288.51</v>
      </c>
      <c r="I46" s="185">
        <f t="shared" ref="I46:I53" si="28">H46/H$2</f>
        <v>4.8383039523464538E-3</v>
      </c>
      <c r="J46" s="157">
        <v>178.38</v>
      </c>
      <c r="K46" s="185">
        <f t="shared" ref="K46:K53" si="29">J46/J$2</f>
        <v>2.3123089684480916E-3</v>
      </c>
      <c r="L46" s="157">
        <v>65</v>
      </c>
      <c r="M46" s="185">
        <f t="shared" ref="M46:M53" si="30">L46/L$2</f>
        <v>8.8260150732043274E-4</v>
      </c>
      <c r="N46" s="157">
        <v>240.43</v>
      </c>
      <c r="O46" s="185">
        <f t="shared" ref="O46:O53" si="31">N46/N$2</f>
        <v>3.4862490147210389E-3</v>
      </c>
      <c r="P46" s="157">
        <v>590.36</v>
      </c>
      <c r="Q46" s="185">
        <f t="shared" ref="Q46:Q53" si="32">P46/P$2</f>
        <v>9.6858719918071403E-3</v>
      </c>
      <c r="R46" s="157">
        <v>377.67</v>
      </c>
      <c r="S46" s="185">
        <f t="shared" ref="S46:S53" si="33">R46/R$2</f>
        <v>4.3793787119545324E-3</v>
      </c>
      <c r="T46" s="157">
        <v>414.24</v>
      </c>
      <c r="U46" s="185">
        <f t="shared" ref="U46:U53" si="34">T46/T$2</f>
        <v>7.2231966725587061E-3</v>
      </c>
      <c r="V46" s="157">
        <v>609.92999999999995</v>
      </c>
      <c r="W46" s="185">
        <f t="shared" ref="W46:W53" si="35">V46/V$2</f>
        <v>4.9657931566773564E-3</v>
      </c>
      <c r="X46" s="157">
        <v>568.88</v>
      </c>
      <c r="Y46" s="185">
        <f t="shared" ref="Y46:Y53" si="36">X46/X$2</f>
        <v>5.9752599366215756E-3</v>
      </c>
      <c r="Z46" s="191">
        <f t="shared" si="24"/>
        <v>359.48499999999996</v>
      </c>
      <c r="AA46" s="185">
        <f t="shared" si="21"/>
        <v>4.7400208207014939E-3</v>
      </c>
      <c r="AB46" s="172">
        <f t="shared" si="22"/>
        <v>4313.8200000000006</v>
      </c>
      <c r="AC46" s="173">
        <f t="shared" ref="AC46:AC53" si="37">AB46/AB$3</f>
        <v>4.7427495242210252E-3</v>
      </c>
    </row>
    <row r="47" spans="1:29" x14ac:dyDescent="0.3">
      <c r="A47" s="157" t="s">
        <v>17</v>
      </c>
      <c r="B47" s="157">
        <v>537.45000000000005</v>
      </c>
      <c r="C47" s="185">
        <f t="shared" si="25"/>
        <v>1.0669298208522695E-2</v>
      </c>
      <c r="D47" s="157">
        <f>353.12</f>
        <v>353.12</v>
      </c>
      <c r="E47" s="185">
        <f t="shared" si="26"/>
        <v>4.2380601129557282E-3</v>
      </c>
      <c r="F47" s="157">
        <v>514.48</v>
      </c>
      <c r="G47" s="185">
        <f t="shared" si="27"/>
        <v>6.9117957435923683E-3</v>
      </c>
      <c r="H47" s="157">
        <v>702.14</v>
      </c>
      <c r="I47" s="185">
        <f t="shared" si="28"/>
        <v>1.1774866511041348E-2</v>
      </c>
      <c r="J47" s="157">
        <v>307.89</v>
      </c>
      <c r="K47" s="185">
        <f t="shared" si="29"/>
        <v>3.9911246120388098E-3</v>
      </c>
      <c r="L47" s="157">
        <v>297.04000000000002</v>
      </c>
      <c r="M47" s="185">
        <f t="shared" si="30"/>
        <v>4.0333531036070977E-3</v>
      </c>
      <c r="N47" s="157">
        <v>215.01</v>
      </c>
      <c r="O47" s="185">
        <f t="shared" si="31"/>
        <v>3.1176575329832823E-3</v>
      </c>
      <c r="P47" s="157">
        <v>305.99</v>
      </c>
      <c r="Q47" s="185">
        <f t="shared" si="32"/>
        <v>5.0202926532506723E-3</v>
      </c>
      <c r="R47" s="157">
        <v>456.01</v>
      </c>
      <c r="S47" s="185">
        <f t="shared" si="33"/>
        <v>5.2877922165869302E-3</v>
      </c>
      <c r="T47" s="157">
        <v>257.14</v>
      </c>
      <c r="U47" s="185">
        <f t="shared" si="34"/>
        <v>4.483808401848555E-3</v>
      </c>
      <c r="V47" s="157">
        <v>441.03</v>
      </c>
      <c r="W47" s="185">
        <f t="shared" si="35"/>
        <v>3.5906804975807294E-3</v>
      </c>
      <c r="X47" s="157">
        <v>767.79</v>
      </c>
      <c r="Y47" s="185">
        <f t="shared" si="36"/>
        <v>8.064521211395512E-3</v>
      </c>
      <c r="Z47" s="191">
        <f t="shared" si="24"/>
        <v>429.59083333333336</v>
      </c>
      <c r="AA47" s="185">
        <f t="shared" si="21"/>
        <v>5.6644074005382863E-3</v>
      </c>
      <c r="AB47" s="172">
        <f t="shared" si="22"/>
        <v>5155.09</v>
      </c>
      <c r="AC47" s="173">
        <f t="shared" si="37"/>
        <v>5.6676682487485719E-3</v>
      </c>
    </row>
    <row r="48" spans="1:29" x14ac:dyDescent="0.3">
      <c r="A48" s="157" t="s">
        <v>153</v>
      </c>
      <c r="B48" s="157">
        <v>30</v>
      </c>
      <c r="C48" s="185">
        <f t="shared" si="25"/>
        <v>5.9555111406769154E-4</v>
      </c>
      <c r="D48" s="157"/>
      <c r="E48" s="185">
        <f t="shared" si="26"/>
        <v>0</v>
      </c>
      <c r="F48" s="157"/>
      <c r="G48" s="185">
        <f t="shared" si="27"/>
        <v>0</v>
      </c>
      <c r="H48" s="157"/>
      <c r="I48" s="185">
        <f t="shared" si="28"/>
        <v>0</v>
      </c>
      <c r="J48" s="157"/>
      <c r="K48" s="185">
        <f t="shared" si="29"/>
        <v>0</v>
      </c>
      <c r="L48" s="157"/>
      <c r="M48" s="185">
        <f t="shared" si="30"/>
        <v>0</v>
      </c>
      <c r="N48" s="157"/>
      <c r="O48" s="185">
        <f t="shared" si="31"/>
        <v>0</v>
      </c>
      <c r="P48" s="157"/>
      <c r="Q48" s="185">
        <f t="shared" si="32"/>
        <v>0</v>
      </c>
      <c r="R48" s="157"/>
      <c r="S48" s="185">
        <f t="shared" si="33"/>
        <v>0</v>
      </c>
      <c r="T48" s="157"/>
      <c r="U48" s="185">
        <f t="shared" si="34"/>
        <v>0</v>
      </c>
      <c r="V48" s="157">
        <v>50</v>
      </c>
      <c r="W48" s="185">
        <f t="shared" si="35"/>
        <v>4.0707893993387407E-4</v>
      </c>
      <c r="X48" s="157"/>
      <c r="Y48" s="185">
        <f t="shared" si="36"/>
        <v>0</v>
      </c>
      <c r="Z48" s="191">
        <f t="shared" si="24"/>
        <v>6.666666666666667</v>
      </c>
      <c r="AA48" s="185">
        <f t="shared" si="21"/>
        <v>8.7903914779967544E-5</v>
      </c>
      <c r="AB48" s="172">
        <f t="shared" si="22"/>
        <v>80</v>
      </c>
      <c r="AC48" s="173">
        <f t="shared" si="37"/>
        <v>8.7954518718370725E-5</v>
      </c>
    </row>
    <row r="49" spans="1:31" x14ac:dyDescent="0.3">
      <c r="A49" s="157" t="s">
        <v>154</v>
      </c>
      <c r="B49" s="176"/>
      <c r="C49" s="185">
        <f t="shared" si="25"/>
        <v>0</v>
      </c>
      <c r="D49" s="176"/>
      <c r="E49" s="185">
        <f t="shared" si="26"/>
        <v>0</v>
      </c>
      <c r="F49" s="176"/>
      <c r="G49" s="185">
        <f t="shared" si="27"/>
        <v>0</v>
      </c>
      <c r="H49" s="176"/>
      <c r="I49" s="185">
        <f t="shared" si="28"/>
        <v>0</v>
      </c>
      <c r="J49" s="176">
        <v>379.5</v>
      </c>
      <c r="K49" s="185">
        <f t="shared" si="29"/>
        <v>4.9193926086223277E-3</v>
      </c>
      <c r="L49" s="176"/>
      <c r="M49" s="185">
        <f t="shared" si="30"/>
        <v>0</v>
      </c>
      <c r="N49" s="176"/>
      <c r="O49" s="185">
        <f t="shared" si="31"/>
        <v>0</v>
      </c>
      <c r="P49" s="176"/>
      <c r="Q49" s="185">
        <f t="shared" si="32"/>
        <v>0</v>
      </c>
      <c r="R49" s="176"/>
      <c r="S49" s="185">
        <f t="shared" si="33"/>
        <v>0</v>
      </c>
      <c r="T49" s="176"/>
      <c r="U49" s="185">
        <f t="shared" si="34"/>
        <v>0</v>
      </c>
      <c r="V49" s="176"/>
      <c r="W49" s="185">
        <f t="shared" si="35"/>
        <v>0</v>
      </c>
      <c r="X49" s="176"/>
      <c r="Y49" s="185">
        <f t="shared" si="36"/>
        <v>0</v>
      </c>
      <c r="Z49" s="191">
        <f t="shared" si="24"/>
        <v>31.625</v>
      </c>
      <c r="AA49" s="185">
        <f t="shared" si="21"/>
        <v>4.16994195737471E-4</v>
      </c>
      <c r="AB49" s="172">
        <f t="shared" si="22"/>
        <v>379.5</v>
      </c>
      <c r="AC49" s="173">
        <f t="shared" si="37"/>
        <v>4.1723424817027111E-4</v>
      </c>
    </row>
    <row r="50" spans="1:31" x14ac:dyDescent="0.3">
      <c r="A50" s="165" t="s">
        <v>155</v>
      </c>
      <c r="B50" s="176">
        <v>44.39</v>
      </c>
      <c r="C50" s="185">
        <f t="shared" si="25"/>
        <v>8.8121713178216092E-4</v>
      </c>
      <c r="D50" s="176">
        <f>70</f>
        <v>70</v>
      </c>
      <c r="E50" s="185">
        <f t="shared" si="26"/>
        <v>8.4012292678664743E-4</v>
      </c>
      <c r="F50" s="176">
        <v>32.82</v>
      </c>
      <c r="G50" s="185">
        <f t="shared" si="27"/>
        <v>4.4092119480777E-4</v>
      </c>
      <c r="H50" s="176">
        <v>73.739999999999995</v>
      </c>
      <c r="I50" s="185">
        <f t="shared" si="28"/>
        <v>1.2366175641954438E-3</v>
      </c>
      <c r="J50" s="176">
        <f>28.08+15.75</f>
        <v>43.83</v>
      </c>
      <c r="K50" s="185">
        <f t="shared" si="29"/>
        <v>5.6816067993653921E-4</v>
      </c>
      <c r="L50" s="176">
        <v>17.100000000000001</v>
      </c>
      <c r="M50" s="185">
        <f t="shared" si="30"/>
        <v>2.3219208884891386E-4</v>
      </c>
      <c r="N50" s="176">
        <v>84.51</v>
      </c>
      <c r="O50" s="185">
        <f t="shared" si="31"/>
        <v>1.225399926107703E-3</v>
      </c>
      <c r="P50" s="176"/>
      <c r="Q50" s="185">
        <f t="shared" si="32"/>
        <v>0</v>
      </c>
      <c r="R50" s="176"/>
      <c r="S50" s="185">
        <f t="shared" si="33"/>
        <v>0</v>
      </c>
      <c r="T50" s="176">
        <v>36.25</v>
      </c>
      <c r="U50" s="185">
        <f t="shared" si="34"/>
        <v>6.3209945775457004E-4</v>
      </c>
      <c r="V50" s="176">
        <v>125.68</v>
      </c>
      <c r="W50" s="185">
        <f t="shared" si="35"/>
        <v>1.0232336234177861E-3</v>
      </c>
      <c r="X50" s="176">
        <v>30.36</v>
      </c>
      <c r="Y50" s="185">
        <f t="shared" si="36"/>
        <v>3.1888780002079707E-4</v>
      </c>
      <c r="Z50" s="191">
        <f t="shared" si="24"/>
        <v>46.556666666666665</v>
      </c>
      <c r="AA50" s="185">
        <f t="shared" si="21"/>
        <v>6.1387698886590329E-4</v>
      </c>
      <c r="AB50" s="172">
        <f t="shared" si="22"/>
        <v>558.67999999999995</v>
      </c>
      <c r="AC50" s="173">
        <f t="shared" si="37"/>
        <v>6.1423038146974187E-4</v>
      </c>
    </row>
    <row r="51" spans="1:31" x14ac:dyDescent="0.3">
      <c r="A51" s="176" t="s">
        <v>28</v>
      </c>
      <c r="B51" s="157"/>
      <c r="C51" s="185">
        <f t="shared" si="25"/>
        <v>0</v>
      </c>
      <c r="D51" s="157">
        <f>470.15</f>
        <v>470.15</v>
      </c>
      <c r="E51" s="185">
        <f t="shared" si="26"/>
        <v>5.6426256289820323E-3</v>
      </c>
      <c r="F51" s="157"/>
      <c r="G51" s="185">
        <f t="shared" si="27"/>
        <v>0</v>
      </c>
      <c r="H51" s="157"/>
      <c r="I51" s="185">
        <f t="shared" si="28"/>
        <v>0</v>
      </c>
      <c r="J51" s="157">
        <v>1067.93</v>
      </c>
      <c r="K51" s="185">
        <f t="shared" si="29"/>
        <v>1.3843391168711576E-2</v>
      </c>
      <c r="L51" s="157"/>
      <c r="M51" s="185">
        <f t="shared" si="30"/>
        <v>0</v>
      </c>
      <c r="N51" s="157">
        <v>881.63</v>
      </c>
      <c r="O51" s="185">
        <f t="shared" si="31"/>
        <v>1.2783686390419288E-2</v>
      </c>
      <c r="P51" s="157"/>
      <c r="Q51" s="185">
        <f t="shared" si="32"/>
        <v>0</v>
      </c>
      <c r="R51" s="157">
        <v>581.83000000000004</v>
      </c>
      <c r="S51" s="185">
        <f t="shared" si="33"/>
        <v>6.7467734158829281E-3</v>
      </c>
      <c r="T51" s="157">
        <v>333.14</v>
      </c>
      <c r="U51" s="185">
        <f t="shared" si="34"/>
        <v>5.8090376098305502E-3</v>
      </c>
      <c r="V51" s="157">
        <v>493.36</v>
      </c>
      <c r="W51" s="185">
        <f t="shared" si="35"/>
        <v>4.0167293161155228E-3</v>
      </c>
      <c r="X51" s="157"/>
      <c r="Y51" s="185">
        <f t="shared" si="36"/>
        <v>0</v>
      </c>
      <c r="Z51" s="191">
        <f t="shared" si="24"/>
        <v>319.00333333333333</v>
      </c>
      <c r="AA51" s="185">
        <f t="shared" si="21"/>
        <v>4.206246274178837E-3</v>
      </c>
      <c r="AB51" s="172">
        <f t="shared" si="22"/>
        <v>3828.0400000000004</v>
      </c>
      <c r="AC51" s="173">
        <f t="shared" si="37"/>
        <v>4.2086676979333987E-3</v>
      </c>
    </row>
    <row r="52" spans="1:31" x14ac:dyDescent="0.3">
      <c r="A52" s="157" t="s">
        <v>25</v>
      </c>
      <c r="B52" s="176"/>
      <c r="C52" s="185">
        <f t="shared" si="25"/>
        <v>0</v>
      </c>
      <c r="D52" s="176"/>
      <c r="E52" s="185">
        <f t="shared" si="26"/>
        <v>0</v>
      </c>
      <c r="F52" s="176"/>
      <c r="G52" s="185">
        <f t="shared" si="27"/>
        <v>0</v>
      </c>
      <c r="H52" s="176"/>
      <c r="I52" s="185">
        <f t="shared" si="28"/>
        <v>0</v>
      </c>
      <c r="J52" s="176"/>
      <c r="K52" s="185">
        <f t="shared" si="29"/>
        <v>0</v>
      </c>
      <c r="L52" s="176"/>
      <c r="M52" s="185">
        <f t="shared" si="30"/>
        <v>0</v>
      </c>
      <c r="N52" s="176"/>
      <c r="O52" s="185">
        <f t="shared" si="31"/>
        <v>0</v>
      </c>
      <c r="P52" s="176"/>
      <c r="Q52" s="185">
        <f t="shared" si="32"/>
        <v>0</v>
      </c>
      <c r="R52" s="176"/>
      <c r="S52" s="185">
        <f t="shared" si="33"/>
        <v>0</v>
      </c>
      <c r="T52" s="176"/>
      <c r="U52" s="185">
        <f t="shared" si="34"/>
        <v>0</v>
      </c>
      <c r="V52" s="176"/>
      <c r="W52" s="185">
        <f t="shared" si="35"/>
        <v>0</v>
      </c>
      <c r="X52" s="176"/>
      <c r="Y52" s="185">
        <f t="shared" si="36"/>
        <v>0</v>
      </c>
      <c r="Z52" s="191">
        <f t="shared" si="24"/>
        <v>0</v>
      </c>
      <c r="AA52" s="185">
        <f t="shared" si="21"/>
        <v>0</v>
      </c>
      <c r="AB52" s="172">
        <f t="shared" si="22"/>
        <v>0</v>
      </c>
      <c r="AC52" s="173">
        <f t="shared" si="37"/>
        <v>0</v>
      </c>
    </row>
    <row r="53" spans="1:31" x14ac:dyDescent="0.3">
      <c r="A53" s="157" t="s">
        <v>151</v>
      </c>
      <c r="B53" s="157">
        <f>325+600.4</f>
        <v>925.4</v>
      </c>
      <c r="C53" s="185">
        <f t="shared" si="25"/>
        <v>1.8370766698608057E-2</v>
      </c>
      <c r="D53" s="157">
        <v>325</v>
      </c>
      <c r="E53" s="185">
        <f t="shared" si="26"/>
        <v>3.9005707315094345E-3</v>
      </c>
      <c r="F53" s="157">
        <v>420</v>
      </c>
      <c r="G53" s="185">
        <f t="shared" si="27"/>
        <v>5.6425015788928523E-3</v>
      </c>
      <c r="H53" s="157">
        <f>420+36</f>
        <v>456</v>
      </c>
      <c r="I53" s="185">
        <f t="shared" si="28"/>
        <v>7.6471061740320369E-3</v>
      </c>
      <c r="J53" s="157"/>
      <c r="K53" s="185">
        <f t="shared" si="29"/>
        <v>0</v>
      </c>
      <c r="L53" s="157"/>
      <c r="M53" s="185">
        <f t="shared" si="30"/>
        <v>0</v>
      </c>
      <c r="N53" s="157">
        <v>75</v>
      </c>
      <c r="O53" s="185">
        <f t="shared" si="31"/>
        <v>1.0875043717675744E-3</v>
      </c>
      <c r="P53" s="157">
        <v>1905.85</v>
      </c>
      <c r="Q53" s="185">
        <f t="shared" si="32"/>
        <v>3.1268749806195602E-2</v>
      </c>
      <c r="R53" s="157">
        <f>467+142</f>
        <v>609</v>
      </c>
      <c r="S53" s="185">
        <f t="shared" si="33"/>
        <v>7.0618307929682256E-3</v>
      </c>
      <c r="T53" s="157">
        <f>59.96</f>
        <v>59.96</v>
      </c>
      <c r="U53" s="185">
        <f t="shared" si="34"/>
        <v>1.0455360961921108E-3</v>
      </c>
      <c r="V53" s="157">
        <f>58.73+1567.5</f>
        <v>1626.23</v>
      </c>
      <c r="W53" s="185">
        <f t="shared" si="35"/>
        <v>1.3240079689773282E-2</v>
      </c>
      <c r="X53" s="157"/>
      <c r="Y53" s="185">
        <f t="shared" si="36"/>
        <v>0</v>
      </c>
      <c r="Z53" s="191">
        <f t="shared" si="24"/>
        <v>533.53666666666675</v>
      </c>
      <c r="AA53" s="185">
        <f t="shared" si="21"/>
        <v>7.0349942517981935E-3</v>
      </c>
      <c r="AB53" s="172">
        <f t="shared" si="22"/>
        <v>6402.44</v>
      </c>
      <c r="AC53" s="171">
        <f t="shared" si="37"/>
        <v>7.039044110290567E-3</v>
      </c>
    </row>
    <row r="54" spans="1:31" x14ac:dyDescent="0.3">
      <c r="A54" s="157" t="s">
        <v>181</v>
      </c>
      <c r="B54" s="157"/>
      <c r="C54" s="185">
        <f t="shared" si="19"/>
        <v>0</v>
      </c>
      <c r="D54" s="157"/>
      <c r="E54" s="185">
        <f t="shared" si="20"/>
        <v>0</v>
      </c>
      <c r="F54" s="157">
        <f>320+555.74</f>
        <v>875.74</v>
      </c>
      <c r="G54" s="185">
        <f t="shared" si="2"/>
        <v>1.1765153173094348E-2</v>
      </c>
      <c r="H54" s="157">
        <v>555.66</v>
      </c>
      <c r="I54" s="185">
        <f t="shared" si="3"/>
        <v>9.3184013523303546E-3</v>
      </c>
      <c r="J54" s="157">
        <v>555.66</v>
      </c>
      <c r="K54" s="185">
        <f t="shared" si="4"/>
        <v>7.2029241025219565E-3</v>
      </c>
      <c r="L54" s="157">
        <v>555.74</v>
      </c>
      <c r="M54" s="185">
        <f t="shared" si="5"/>
        <v>7.5461071027424194E-3</v>
      </c>
      <c r="N54" s="157">
        <v>555.66</v>
      </c>
      <c r="O54" s="185">
        <f t="shared" si="6"/>
        <v>8.0571023895516045E-3</v>
      </c>
      <c r="P54" s="157">
        <v>555.65</v>
      </c>
      <c r="Q54" s="185">
        <f t="shared" si="7"/>
        <v>9.1163946951819865E-3</v>
      </c>
      <c r="R54" s="157">
        <v>555.66</v>
      </c>
      <c r="S54" s="185">
        <f t="shared" si="8"/>
        <v>6.4433118200668705E-3</v>
      </c>
      <c r="T54" s="157">
        <f>98+997+555.66</f>
        <v>1650.6599999999999</v>
      </c>
      <c r="U54" s="185">
        <f t="shared" si="9"/>
        <v>2.8782932163783682E-2</v>
      </c>
      <c r="V54" s="157">
        <f>555.66+1095</f>
        <v>1650.6599999999999</v>
      </c>
      <c r="W54" s="185">
        <f t="shared" si="16"/>
        <v>1.343897845982497E-2</v>
      </c>
      <c r="X54" s="157">
        <f>555.66+1095</f>
        <v>1650.6599999999999</v>
      </c>
      <c r="Y54" s="185">
        <f t="shared" si="17"/>
        <v>1.7337791040261161E-2</v>
      </c>
      <c r="Z54" s="191">
        <f t="shared" si="24"/>
        <v>763.47916666666663</v>
      </c>
      <c r="AA54" s="185">
        <f t="shared" si="21"/>
        <v>1.0066921140442095E-2</v>
      </c>
      <c r="AB54" s="172">
        <f t="shared" si="22"/>
        <v>9161.75</v>
      </c>
      <c r="AC54" s="173">
        <f t="shared" si="23"/>
        <v>1.0072716398350412E-2</v>
      </c>
    </row>
    <row r="55" spans="1:31" x14ac:dyDescent="0.3">
      <c r="A55" s="156" t="s">
        <v>107</v>
      </c>
      <c r="B55" s="167">
        <f>SUM(B56:B60)</f>
        <v>3454.71</v>
      </c>
      <c r="C55" s="184">
        <f t="shared" si="19"/>
        <v>6.8581879642693147E-2</v>
      </c>
      <c r="D55" s="167">
        <f>SUM(D56:D60)</f>
        <v>3754.79</v>
      </c>
      <c r="E55" s="184">
        <f t="shared" si="20"/>
        <v>4.5064073775274799E-2</v>
      </c>
      <c r="F55" s="167">
        <f>SUM(F56:F60)</f>
        <v>6532.65</v>
      </c>
      <c r="G55" s="184">
        <f t="shared" si="2"/>
        <v>8.7763066522272351E-2</v>
      </c>
      <c r="H55" s="167">
        <f>SUM(H56:H60)</f>
        <v>2941.65</v>
      </c>
      <c r="I55" s="184">
        <f t="shared" si="3"/>
        <v>4.9331381308862596E-2</v>
      </c>
      <c r="J55" s="167">
        <f>SUM(J56:J60)</f>
        <v>4689.9400000000005</v>
      </c>
      <c r="K55" s="184">
        <f t="shared" si="4"/>
        <v>6.0794877920638216E-2</v>
      </c>
      <c r="L55" s="167">
        <f>SUM(L56:L60)</f>
        <v>6154.0099999999993</v>
      </c>
      <c r="M55" s="184">
        <f t="shared" si="5"/>
        <v>8.3562130801000237E-2</v>
      </c>
      <c r="N55" s="167">
        <f>SUM(N56:N60)</f>
        <v>2960.96</v>
      </c>
      <c r="O55" s="184">
        <f t="shared" si="6"/>
        <v>4.293409259505223E-2</v>
      </c>
      <c r="P55" s="167">
        <f>SUM(P56:P60)</f>
        <v>4484.58</v>
      </c>
      <c r="Q55" s="184">
        <f t="shared" si="7"/>
        <v>7.3577254246592699E-2</v>
      </c>
      <c r="R55" s="167">
        <f>SUM(R56:R60)</f>
        <v>4659.7299999999996</v>
      </c>
      <c r="S55" s="184">
        <f t="shared" si="8"/>
        <v>5.4033209853723854E-2</v>
      </c>
      <c r="T55" s="167">
        <f>SUM(T56:T60)</f>
        <v>4307.8099999999995</v>
      </c>
      <c r="U55" s="184">
        <f t="shared" si="9"/>
        <v>7.5116258347854181E-2</v>
      </c>
      <c r="V55" s="167">
        <f>SUM(V56:V60)</f>
        <v>3506.3</v>
      </c>
      <c r="W55" s="184">
        <f t="shared" si="16"/>
        <v>2.8546817741802857E-2</v>
      </c>
      <c r="X55" s="167">
        <f>SUM(X56:X60)</f>
        <v>2989.6</v>
      </c>
      <c r="Y55" s="184">
        <f t="shared" si="17"/>
        <v>3.1401415248424734E-2</v>
      </c>
      <c r="Z55" s="189">
        <f t="shared" si="24"/>
        <v>4203.0608333333321</v>
      </c>
      <c r="AA55" s="184">
        <f t="shared" si="21"/>
        <v>5.5419825196252888E-2</v>
      </c>
      <c r="AB55" s="167">
        <f>SUM(AB56:AB60)</f>
        <v>50436.729999999989</v>
      </c>
      <c r="AC55" s="174">
        <f>AB55/AB$3</f>
        <v>5.545172891098011E-2</v>
      </c>
    </row>
    <row r="56" spans="1:31" x14ac:dyDescent="0.3">
      <c r="A56" s="157" t="s">
        <v>149</v>
      </c>
      <c r="B56" s="157">
        <v>2840.1</v>
      </c>
      <c r="C56" s="185">
        <f t="shared" si="19"/>
        <v>5.6380823968788352E-2</v>
      </c>
      <c r="D56" s="157">
        <v>2840.1</v>
      </c>
      <c r="E56" s="185">
        <f t="shared" si="20"/>
        <v>3.4086187490953677E-2</v>
      </c>
      <c r="F56" s="157">
        <v>2840.1</v>
      </c>
      <c r="G56" s="185">
        <f t="shared" si="2"/>
        <v>3.8155401748127593E-2</v>
      </c>
      <c r="H56" s="157">
        <v>2840.1</v>
      </c>
      <c r="I56" s="185">
        <f t="shared" si="3"/>
        <v>4.7628390887869271E-2</v>
      </c>
      <c r="J56" s="157">
        <v>2840.1</v>
      </c>
      <c r="K56" s="185">
        <f t="shared" si="4"/>
        <v>3.6815723182472393E-2</v>
      </c>
      <c r="L56" s="157">
        <v>2840.1</v>
      </c>
      <c r="M56" s="185">
        <f t="shared" si="5"/>
        <v>3.8564254476011708E-2</v>
      </c>
      <c r="N56" s="157">
        <v>2840.1</v>
      </c>
      <c r="O56" s="185">
        <f t="shared" si="6"/>
        <v>4.1181615550094509E-2</v>
      </c>
      <c r="P56" s="157">
        <v>2840.1</v>
      </c>
      <c r="Q56" s="185">
        <f t="shared" si="7"/>
        <v>4.6596729188853339E-2</v>
      </c>
      <c r="R56" s="157">
        <v>2840.1</v>
      </c>
      <c r="S56" s="185">
        <f t="shared" si="8"/>
        <v>3.2933178382773494E-2</v>
      </c>
      <c r="T56" s="157">
        <v>2840.1</v>
      </c>
      <c r="U56" s="185">
        <f t="shared" si="9"/>
        <v>4.9523466757758733E-2</v>
      </c>
      <c r="V56" s="157">
        <v>2840.1</v>
      </c>
      <c r="W56" s="185">
        <f t="shared" si="16"/>
        <v>2.3122897946123915E-2</v>
      </c>
      <c r="X56" s="157">
        <v>2840.1</v>
      </c>
      <c r="Y56" s="185">
        <f t="shared" si="17"/>
        <v>2.9831134414988986E-2</v>
      </c>
      <c r="Z56" s="191">
        <f t="shared" si="24"/>
        <v>2840.099999999999</v>
      </c>
      <c r="AA56" s="185">
        <f t="shared" si="21"/>
        <v>3.7448386254987857E-2</v>
      </c>
      <c r="AB56" s="172">
        <f t="shared" ref="AB56:AB60" si="38">L56+N56+P56+R56+T56+V56+X56+J56+H56+F56+D56+B56</f>
        <v>34081.19999999999</v>
      </c>
      <c r="AC56" s="171">
        <f t="shared" si="23"/>
        <v>3.7469944291806688E-2</v>
      </c>
      <c r="AE56" s="178"/>
    </row>
    <row r="57" spans="1:31" x14ac:dyDescent="0.3">
      <c r="A57" s="157" t="s">
        <v>15</v>
      </c>
      <c r="B57" s="157">
        <f>6.17+80.74</f>
        <v>86.91</v>
      </c>
      <c r="C57" s="185">
        <f t="shared" si="19"/>
        <v>1.7253115774541023E-3</v>
      </c>
      <c r="D57" s="157">
        <f>6.19+76</f>
        <v>82.19</v>
      </c>
      <c r="E57" s="185">
        <f t="shared" si="20"/>
        <v>9.8642433360849355E-4</v>
      </c>
      <c r="F57" s="157">
        <f>5.85+87.5+75.93</f>
        <v>169.28</v>
      </c>
      <c r="G57" s="185">
        <f t="shared" si="2"/>
        <v>2.2741968268451952E-3</v>
      </c>
      <c r="H57" s="157">
        <f>6.05+87.5</f>
        <v>93.55</v>
      </c>
      <c r="I57" s="185">
        <f t="shared" si="3"/>
        <v>1.5688306635541602E-3</v>
      </c>
      <c r="J57" s="157">
        <v>67.5</v>
      </c>
      <c r="K57" s="185">
        <f t="shared" si="4"/>
        <v>8.749907801897421E-4</v>
      </c>
      <c r="L57" s="157">
        <f>67.5</f>
        <v>67.5</v>
      </c>
      <c r="M57" s="185">
        <f t="shared" si="5"/>
        <v>9.1654771914044932E-4</v>
      </c>
      <c r="N57" s="157">
        <v>80.5</v>
      </c>
      <c r="O57" s="185">
        <f t="shared" si="6"/>
        <v>1.1672546923638632E-3</v>
      </c>
      <c r="P57" s="157">
        <v>67.5</v>
      </c>
      <c r="Q57" s="185">
        <f t="shared" si="7"/>
        <v>1.107453688337594E-3</v>
      </c>
      <c r="R57" s="157">
        <f>74+45.72</f>
        <v>119.72</v>
      </c>
      <c r="S57" s="185">
        <f t="shared" si="8"/>
        <v>1.3882469335536223E-3</v>
      </c>
      <c r="T57" s="157">
        <v>80.5</v>
      </c>
      <c r="U57" s="185">
        <f t="shared" si="9"/>
        <v>1.4036967268756658E-3</v>
      </c>
      <c r="V57" s="157">
        <v>126.5</v>
      </c>
      <c r="W57" s="185">
        <f t="shared" si="16"/>
        <v>1.0299097180327015E-3</v>
      </c>
      <c r="X57" s="157">
        <v>149.5</v>
      </c>
      <c r="Y57" s="185">
        <f t="shared" si="17"/>
        <v>1.570280833435743E-3</v>
      </c>
      <c r="Z57" s="191">
        <f t="shared" si="24"/>
        <v>99.262500000000003</v>
      </c>
      <c r="AA57" s="185">
        <f t="shared" si="21"/>
        <v>1.3088343511269793E-3</v>
      </c>
      <c r="AB57" s="172">
        <f t="shared" si="38"/>
        <v>1191.1500000000001</v>
      </c>
      <c r="AC57" s="171">
        <f t="shared" si="23"/>
        <v>1.3095878121423411E-3</v>
      </c>
      <c r="AE57" s="178"/>
    </row>
    <row r="58" spans="1:31" x14ac:dyDescent="0.3">
      <c r="A58" s="157" t="s">
        <v>122</v>
      </c>
      <c r="B58" s="157"/>
      <c r="C58" s="185">
        <f t="shared" si="19"/>
        <v>0</v>
      </c>
      <c r="D58" s="157"/>
      <c r="E58" s="185">
        <f t="shared" si="20"/>
        <v>0</v>
      </c>
      <c r="F58" s="157">
        <f>105.62+389.9+780+198+1999</f>
        <v>3472.52</v>
      </c>
      <c r="G58" s="185">
        <f t="shared" si="2"/>
        <v>4.6651665673183351E-2</v>
      </c>
      <c r="H58" s="157"/>
      <c r="I58" s="185">
        <f t="shared" si="3"/>
        <v>0</v>
      </c>
      <c r="J58" s="157">
        <f>129.94+90.26+1245</f>
        <v>1465.2</v>
      </c>
      <c r="K58" s="185">
        <f t="shared" si="4"/>
        <v>1.8993133201985337E-2</v>
      </c>
      <c r="L58" s="157">
        <f>1957.03+449.1</f>
        <v>2406.13</v>
      </c>
      <c r="M58" s="185">
        <f t="shared" si="5"/>
        <v>3.2671599458598662E-2</v>
      </c>
      <c r="N58" s="157"/>
      <c r="O58" s="185">
        <f t="shared" si="6"/>
        <v>0</v>
      </c>
      <c r="P58" s="157">
        <v>1285.5999999999999</v>
      </c>
      <c r="Q58" s="185">
        <f t="shared" si="7"/>
        <v>2.109248091447127E-2</v>
      </c>
      <c r="R58" s="157">
        <v>1664.91</v>
      </c>
      <c r="S58" s="185">
        <f t="shared" si="8"/>
        <v>1.9305932192973285E-2</v>
      </c>
      <c r="T58" s="157">
        <v>276.01</v>
      </c>
      <c r="U58" s="185">
        <f>T58/T$2</f>
        <v>4.8128488644093477E-3</v>
      </c>
      <c r="V58" s="157">
        <f>215.8+218.9</f>
        <v>434.70000000000005</v>
      </c>
      <c r="W58" s="185">
        <f>V58/V$2</f>
        <v>3.5391443037851018E-3</v>
      </c>
      <c r="X58" s="157"/>
      <c r="Y58" s="185">
        <f>X58/X$2</f>
        <v>0</v>
      </c>
      <c r="Z58" s="191">
        <f t="shared" si="24"/>
        <v>917.08916666666676</v>
      </c>
      <c r="AA58" s="185">
        <f>Z58/Z$2</f>
        <v>1.2092359192844718E-2</v>
      </c>
      <c r="AB58" s="172">
        <f t="shared" si="38"/>
        <v>11005.07</v>
      </c>
      <c r="AC58" s="171">
        <f t="shared" si="23"/>
        <v>1.209932044139975E-2</v>
      </c>
    </row>
    <row r="59" spans="1:31" x14ac:dyDescent="0.3">
      <c r="A59" s="157" t="s">
        <v>150</v>
      </c>
      <c r="B59" s="157">
        <v>2</v>
      </c>
      <c r="C59" s="185">
        <f t="shared" si="19"/>
        <v>3.9703407604512767E-5</v>
      </c>
      <c r="D59" s="157"/>
      <c r="E59" s="185">
        <f t="shared" si="20"/>
        <v>0</v>
      </c>
      <c r="F59" s="157"/>
      <c r="G59" s="185">
        <f t="shared" si="2"/>
        <v>0</v>
      </c>
      <c r="H59" s="157"/>
      <c r="I59" s="185">
        <f t="shared" si="3"/>
        <v>0</v>
      </c>
      <c r="J59" s="157"/>
      <c r="K59" s="185">
        <f t="shared" si="4"/>
        <v>0</v>
      </c>
      <c r="L59" s="157"/>
      <c r="M59" s="185">
        <f t="shared" si="5"/>
        <v>0</v>
      </c>
      <c r="N59" s="157"/>
      <c r="O59" s="185">
        <f t="shared" si="6"/>
        <v>0</v>
      </c>
      <c r="P59" s="157"/>
      <c r="Q59" s="185">
        <f t="shared" si="7"/>
        <v>0</v>
      </c>
      <c r="R59" s="157"/>
      <c r="S59" s="185">
        <f t="shared" si="8"/>
        <v>0</v>
      </c>
      <c r="T59" s="157">
        <v>1077.5</v>
      </c>
      <c r="U59" s="185">
        <f t="shared" si="9"/>
        <v>1.8788611468428942E-2</v>
      </c>
      <c r="V59" s="157"/>
      <c r="W59" s="185">
        <f t="shared" si="16"/>
        <v>0</v>
      </c>
      <c r="X59" s="157"/>
      <c r="Y59" s="185">
        <f t="shared" si="17"/>
        <v>0</v>
      </c>
      <c r="Z59" s="191">
        <f t="shared" si="24"/>
        <v>89.958333333333329</v>
      </c>
      <c r="AA59" s="185">
        <f t="shared" si="21"/>
        <v>1.1861534500621869E-3</v>
      </c>
      <c r="AB59" s="172">
        <f t="shared" si="38"/>
        <v>1079.5</v>
      </c>
      <c r="AC59" s="171">
        <f t="shared" si="23"/>
        <v>1.1868362869560149E-3</v>
      </c>
      <c r="AE59" s="178"/>
    </row>
    <row r="60" spans="1:31" x14ac:dyDescent="0.3">
      <c r="A60" s="157" t="s">
        <v>120</v>
      </c>
      <c r="B60" s="157">
        <f>451.8+73.9</f>
        <v>525.70000000000005</v>
      </c>
      <c r="C60" s="185">
        <f t="shared" si="19"/>
        <v>1.0436040688846182E-2</v>
      </c>
      <c r="D60" s="157">
        <f>198+198+198+238.5</f>
        <v>832.5</v>
      </c>
      <c r="E60" s="185">
        <f t="shared" si="20"/>
        <v>9.9914619507126285E-3</v>
      </c>
      <c r="F60" s="157">
        <f>15.75+35</f>
        <v>50.75</v>
      </c>
      <c r="G60" s="185">
        <f t="shared" si="2"/>
        <v>6.8180227411621965E-4</v>
      </c>
      <c r="H60" s="157">
        <v>8</v>
      </c>
      <c r="I60" s="185">
        <f t="shared" si="3"/>
        <v>1.3415975743915855E-4</v>
      </c>
      <c r="J60" s="157">
        <f>309.14+8</f>
        <v>317.14</v>
      </c>
      <c r="K60" s="185">
        <f t="shared" si="4"/>
        <v>4.1110307559907378E-3</v>
      </c>
      <c r="L60" s="157">
        <f>15.75+789.53+35</f>
        <v>840.28</v>
      </c>
      <c r="M60" s="185">
        <f t="shared" si="5"/>
        <v>1.1409729147249434E-2</v>
      </c>
      <c r="N60" s="157">
        <f>35+5.36</f>
        <v>40.36</v>
      </c>
      <c r="O60" s="185">
        <f t="shared" si="6"/>
        <v>5.8522235259385737E-4</v>
      </c>
      <c r="P60" s="157">
        <f>234.78+21.6+35</f>
        <v>291.38</v>
      </c>
      <c r="Q60" s="185">
        <f t="shared" si="7"/>
        <v>4.7805904549304903E-3</v>
      </c>
      <c r="R60" s="157">
        <v>35</v>
      </c>
      <c r="S60" s="185">
        <f t="shared" si="8"/>
        <v>4.0585234442346127E-4</v>
      </c>
      <c r="T60" s="157">
        <f>17.95+15.75</f>
        <v>33.700000000000003</v>
      </c>
      <c r="U60" s="185">
        <f t="shared" si="9"/>
        <v>5.8763453038148999E-4</v>
      </c>
      <c r="V60" s="157">
        <f>70+35</f>
        <v>105</v>
      </c>
      <c r="W60" s="185">
        <f t="shared" si="16"/>
        <v>8.5486577386113555E-4</v>
      </c>
      <c r="X60" s="157"/>
      <c r="Y60" s="185">
        <f t="shared" si="17"/>
        <v>0</v>
      </c>
      <c r="Z60" s="191">
        <f t="shared" si="24"/>
        <v>256.65083333333331</v>
      </c>
      <c r="AA60" s="185">
        <f t="shared" si="21"/>
        <v>3.3840919472311478E-3</v>
      </c>
      <c r="AB60" s="172">
        <f t="shared" si="38"/>
        <v>3079.8100000000004</v>
      </c>
      <c r="AC60" s="171">
        <f t="shared" si="23"/>
        <v>3.386040078675317E-3</v>
      </c>
      <c r="AE60" s="178"/>
    </row>
    <row r="61" spans="1:31" x14ac:dyDescent="0.3">
      <c r="A61" s="156" t="s">
        <v>109</v>
      </c>
      <c r="B61" s="177">
        <f>B2-B6-B14-B55</f>
        <v>-7102.1599999999899</v>
      </c>
      <c r="C61" s="186">
        <f>B61/B$2</f>
        <v>-0.140989976676233</v>
      </c>
      <c r="D61" s="177">
        <f>D2-D6-D14-D55</f>
        <v>32487.289999999994</v>
      </c>
      <c r="E61" s="186">
        <f>D61/D$2</f>
        <v>0.38990453083095111</v>
      </c>
      <c r="F61" s="177">
        <f>F2-F6-F14-F55</f>
        <v>18491.05999999999</v>
      </c>
      <c r="G61" s="186">
        <f>F61/F$2</f>
        <v>0.2484186553461962</v>
      </c>
      <c r="H61" s="177">
        <f>H2-H6-H14-H55</f>
        <v>7867.0299999999934</v>
      </c>
      <c r="I61" s="186">
        <f>H61/H$2</f>
        <v>0.13192985457082282</v>
      </c>
      <c r="J61" s="177">
        <f>J2-J6-J14-J55</f>
        <v>21924.289999999979</v>
      </c>
      <c r="K61" s="186">
        <f>J61/J$2</f>
        <v>0.28420076462527616</v>
      </c>
      <c r="L61" s="177">
        <f>L2-L6-L14-L55</f>
        <v>16644.870000000006</v>
      </c>
      <c r="M61" s="186">
        <f>L61/L$2</f>
        <v>0.22601211309465624</v>
      </c>
      <c r="N61" s="177">
        <f>N2-N6-N14-N55</f>
        <v>6211.4099999999953</v>
      </c>
      <c r="O61" s="186">
        <f>N61/N$2</f>
        <v>9.0065807064544326E-2</v>
      </c>
      <c r="P61" s="177">
        <f>P2-P6-P14-P55</f>
        <v>-69.929999999991196</v>
      </c>
      <c r="Q61" s="186">
        <f>P61/P$2</f>
        <v>-1.1473220211176028E-3</v>
      </c>
      <c r="R61" s="177">
        <f>R2-R6-R14-R55</f>
        <v>22476.60999999999</v>
      </c>
      <c r="S61" s="186">
        <f>R61/R$2</f>
        <v>0.26063385323405169</v>
      </c>
      <c r="T61" s="177">
        <f>T2-T6-T14-T55</f>
        <v>-4528.9799999999977</v>
      </c>
      <c r="U61" s="186">
        <f>T61/T$2</f>
        <v>-7.8972849715345961E-2</v>
      </c>
      <c r="V61" s="177">
        <f>V2-V6-V14-V55</f>
        <v>54526.26999999999</v>
      </c>
      <c r="W61" s="186">
        <f>V61/V$2</f>
        <v>0.44392992380296392</v>
      </c>
      <c r="X61" s="177">
        <f>X2-X6-X14-X55</f>
        <v>14997.280000000004</v>
      </c>
      <c r="Y61" s="186">
        <f>X61/X$2</f>
        <v>0.1575246912218676</v>
      </c>
      <c r="Z61" s="192">
        <f t="shared" si="24"/>
        <v>15327.086666666662</v>
      </c>
      <c r="AA61" s="186">
        <f>Z61/Z$2</f>
        <v>0.20209663802577646</v>
      </c>
      <c r="AB61" s="177">
        <f>AB2-AB6-AB14-AB55</f>
        <v>183925.04000000027</v>
      </c>
      <c r="AC61" s="179">
        <f>AB61/AB$3</f>
        <v>0.20221297966821383</v>
      </c>
    </row>
    <row r="62" spans="1:31" x14ac:dyDescent="0.3">
      <c r="A62" s="156" t="s">
        <v>108</v>
      </c>
      <c r="B62" s="177">
        <f>B2-B6-B14</f>
        <v>-3647.4499999999898</v>
      </c>
      <c r="C62" s="186">
        <f>B62/B$2</f>
        <v>-7.2408097033539842E-2</v>
      </c>
      <c r="D62" s="177">
        <f>D2-D6-D14</f>
        <v>36242.079999999994</v>
      </c>
      <c r="E62" s="186">
        <f>D62/D$2</f>
        <v>0.43496860460622594</v>
      </c>
      <c r="F62" s="177">
        <f>F2-F6-F14</f>
        <v>25023.709999999992</v>
      </c>
      <c r="G62" s="186">
        <f>F62/F$2</f>
        <v>0.33618172186846856</v>
      </c>
      <c r="H62" s="177">
        <f>H2-H6-H14</f>
        <v>10808.679999999993</v>
      </c>
      <c r="I62" s="186">
        <f>H62/H$2</f>
        <v>0.1812612358796854</v>
      </c>
      <c r="J62" s="177">
        <f>J2-J6-J14</f>
        <v>26614.229999999981</v>
      </c>
      <c r="K62" s="186">
        <f>J62/J$2</f>
        <v>0.34499564254591442</v>
      </c>
      <c r="L62" s="177">
        <f>L2-L6-L14</f>
        <v>22798.880000000005</v>
      </c>
      <c r="M62" s="186">
        <f>L62/L$2</f>
        <v>0.30957424389565646</v>
      </c>
      <c r="N62" s="177">
        <f>N2-N6-N14</f>
        <v>9172.3699999999953</v>
      </c>
      <c r="O62" s="186">
        <f>N62/N$2</f>
        <v>0.13299989965959655</v>
      </c>
      <c r="P62" s="177">
        <f>P2-P6-P14</f>
        <v>4414.6500000000087</v>
      </c>
      <c r="Q62" s="186">
        <f>P62/P$2</f>
        <v>7.2429932225475085E-2</v>
      </c>
      <c r="R62" s="177">
        <f>R2-R6-R14</f>
        <v>27136.339999999989</v>
      </c>
      <c r="S62" s="186">
        <f>R62/R$2</f>
        <v>0.31466706308777553</v>
      </c>
      <c r="T62" s="177">
        <f>T2-T6-T14</f>
        <v>-221.16999999999825</v>
      </c>
      <c r="U62" s="186">
        <f>T62/T$2</f>
        <v>-3.856591367491783E-3</v>
      </c>
      <c r="V62" s="177">
        <f>V2-V6-V14</f>
        <v>58032.569999999992</v>
      </c>
      <c r="W62" s="186">
        <f>V62/V$2</f>
        <v>0.47247674154476682</v>
      </c>
      <c r="X62" s="177">
        <f>X2-X6-X14</f>
        <v>17986.880000000005</v>
      </c>
      <c r="Y62" s="186">
        <f>X62/X$2</f>
        <v>0.18892610647029234</v>
      </c>
      <c r="Z62" s="192">
        <f t="shared" si="24"/>
        <v>19530.147499999995</v>
      </c>
      <c r="AA62" s="186">
        <f>Z62/Z$2</f>
        <v>0.25751646322202937</v>
      </c>
      <c r="AB62" s="177">
        <f>AB3-AB6-AB14</f>
        <v>233838.16000000027</v>
      </c>
      <c r="AC62" s="179">
        <f t="shared" si="23"/>
        <v>0.25708903525986737</v>
      </c>
    </row>
    <row r="63" spans="1:31" x14ac:dyDescent="0.3">
      <c r="A63" s="156" t="s">
        <v>134</v>
      </c>
      <c r="B63" s="180">
        <f>B14/C13</f>
        <v>54409.853907913675</v>
      </c>
      <c r="C63" s="186">
        <f>B63/B$2</f>
        <v>1.0801283037039442</v>
      </c>
      <c r="D63" s="180">
        <f>D14/E13</f>
        <v>45209.535744054541</v>
      </c>
      <c r="E63" s="186">
        <f>D63/D$2</f>
        <v>0.54259382125658073</v>
      </c>
      <c r="F63" s="180">
        <f>F14/G13</f>
        <v>46065.253106434713</v>
      </c>
      <c r="G63" s="186">
        <f>F63/F$2</f>
        <v>0.61886491282180167</v>
      </c>
      <c r="H63" s="180">
        <f>H14/I13</f>
        <v>47123.350404565943</v>
      </c>
      <c r="I63" s="186">
        <f>H63/H$2</f>
        <v>0.7902571574996301</v>
      </c>
      <c r="J63" s="180">
        <f>J14/K13</f>
        <v>47746.017975165094</v>
      </c>
      <c r="K63" s="186">
        <f>J63/J$2</f>
        <v>0.61892334102286162</v>
      </c>
      <c r="L63" s="180">
        <f>L14/M13</f>
        <v>48011.727296595622</v>
      </c>
      <c r="M63" s="186">
        <f>L63/L$2</f>
        <v>0.65192650586204404</v>
      </c>
      <c r="N63" s="180">
        <f>N14/O13</f>
        <v>58268.247090993187</v>
      </c>
      <c r="O63" s="186">
        <f>N63/N$2</f>
        <v>0.84489297928917784</v>
      </c>
      <c r="P63" s="180">
        <f>P14/Q13</f>
        <v>55752.337135045324</v>
      </c>
      <c r="Q63" s="186">
        <f>P63/P$2</f>
        <v>0.91471305768365851</v>
      </c>
      <c r="R63" s="180">
        <f>R14/S13</f>
        <v>56246.938263710661</v>
      </c>
      <c r="S63" s="186">
        <f>R63/R$2</f>
        <v>0.65222719317053313</v>
      </c>
      <c r="T63" s="180">
        <f>T14/U13</f>
        <v>57620.071822605933</v>
      </c>
      <c r="U63" s="186">
        <f>T63/T$2</f>
        <v>1.0047342387544438</v>
      </c>
      <c r="V63" s="180">
        <f>V14/W13</f>
        <v>61397.716791662388</v>
      </c>
      <c r="W63" s="186">
        <f>V63/V$2</f>
        <v>0.4998743493182029</v>
      </c>
      <c r="X63" s="180">
        <f>X14/Y13</f>
        <v>74200.277729287467</v>
      </c>
      <c r="Y63" s="186">
        <f>X63/X$2</f>
        <v>0.77936638096260291</v>
      </c>
      <c r="Z63" s="193">
        <f t="shared" si="24"/>
        <v>54337.610605669535</v>
      </c>
      <c r="AA63" s="186">
        <f t="shared" ref="AA63:AA66" si="39">Z63/Z$2</f>
        <v>0.71647330380417529</v>
      </c>
      <c r="AB63" s="180">
        <f>AB14/AC13</f>
        <v>647341.04538918904</v>
      </c>
      <c r="AC63" s="179">
        <f t="shared" si="23"/>
        <v>0.71170712617316367</v>
      </c>
    </row>
    <row r="64" spans="1:31" x14ac:dyDescent="0.3">
      <c r="A64" s="156" t="s">
        <v>133</v>
      </c>
      <c r="B64" s="180">
        <f>(B14+B55)/C13</f>
        <v>58232.907729654478</v>
      </c>
      <c r="C64" s="186">
        <f>B64/B$2</f>
        <v>1.1560224357932269</v>
      </c>
      <c r="D64" s="180">
        <f>(D14+D55)/E13</f>
        <v>49158.014157660531</v>
      </c>
      <c r="E64" s="186">
        <f>D64/D$2</f>
        <v>0.58998249613076026</v>
      </c>
      <c r="F64" s="180">
        <f>(F14+F55)/G13</f>
        <v>53471.432459126598</v>
      </c>
      <c r="G64" s="186">
        <f>F64/F$2</f>
        <v>0.71836343351496268</v>
      </c>
      <c r="H64" s="180">
        <f>(H14+H55)/I13</f>
        <v>50527.222333645965</v>
      </c>
      <c r="I64" s="186">
        <f>H64/H$2</f>
        <v>0.84733998654454712</v>
      </c>
      <c r="J64" s="180">
        <f>(J14+J55)/K13</f>
        <v>52926.450553426963</v>
      </c>
      <c r="K64" s="186">
        <f>J64/J$2</f>
        <v>0.68607638907284241</v>
      </c>
      <c r="L64" s="180">
        <f>(L14+L55)/M13</f>
        <v>54931.061853322863</v>
      </c>
      <c r="M64" s="186">
        <f>L64/L$2</f>
        <v>0.74588058446853356</v>
      </c>
      <c r="N64" s="180">
        <f>(N14+N55)/O13</f>
        <v>61721.375140107302</v>
      </c>
      <c r="O64" s="186">
        <f>N64/N$2</f>
        <v>0.89496353728497569</v>
      </c>
      <c r="P64" s="180">
        <f>(P14+P55)/Q13</f>
        <v>61032.973248059585</v>
      </c>
      <c r="Q64" s="186">
        <f>P64/P$2</f>
        <v>1.0013509827225673</v>
      </c>
      <c r="R64" s="180">
        <f>(R14+R55)/S13</f>
        <v>61396.912859925171</v>
      </c>
      <c r="S64" s="186">
        <f>R64/R$2</f>
        <v>0.71194517213038822</v>
      </c>
      <c r="T64" s="180">
        <f>(T14+T55)/U13</f>
        <v>62908.213371821723</v>
      </c>
      <c r="U64" s="186">
        <f>T64/T$2</f>
        <v>1.0969447602934428</v>
      </c>
      <c r="V64" s="180">
        <f>(V14+V55)/W13</f>
        <v>65109.202278233024</v>
      </c>
      <c r="W64" s="186">
        <f>V64/V$2</f>
        <v>0.53009170086726554</v>
      </c>
      <c r="X64" s="180">
        <f>(X14+X55)/Y13</f>
        <v>77691.622995421567</v>
      </c>
      <c r="Y64" s="186">
        <f>X64/X$2</f>
        <v>0.81603790306505763</v>
      </c>
      <c r="Z64" s="193">
        <f t="shared" si="24"/>
        <v>59092.282415033806</v>
      </c>
      <c r="AA64" s="186">
        <f t="shared" si="39"/>
        <v>0.77916644363473597</v>
      </c>
      <c r="AB64" s="180">
        <f>(AB14+AB55)/AC13</f>
        <v>704012.40402249771</v>
      </c>
      <c r="AC64" s="179">
        <f>AB64/AB$3</f>
        <v>0.77401340209452429</v>
      </c>
    </row>
    <row r="65" spans="1:29" x14ac:dyDescent="0.3">
      <c r="A65" s="181" t="s">
        <v>221</v>
      </c>
      <c r="B65" s="180">
        <f>B6+B14+B55</f>
        <v>57475.669999999991</v>
      </c>
      <c r="C65" s="186">
        <f t="shared" ref="C65:C66" si="40">B65/B$2</f>
        <v>1.140989976676233</v>
      </c>
      <c r="D65" s="180">
        <f>D6+D14+D55</f>
        <v>50833.850000000013</v>
      </c>
      <c r="E65" s="186">
        <f t="shared" ref="E65:E66" si="41">D65/D$2</f>
        <v>0.610095469169049</v>
      </c>
      <c r="F65" s="180">
        <f>F6+F14+F55</f>
        <v>55944.010000000009</v>
      </c>
      <c r="G65" s="186">
        <f t="shared" ref="G65:G66" si="42">F65/F$2</f>
        <v>0.75158134465380366</v>
      </c>
      <c r="H65" s="180">
        <f>H55+H14+H6</f>
        <v>51763.37000000001</v>
      </c>
      <c r="I65" s="186">
        <f t="shared" ref="I65:I66" si="43">H65/H$2</f>
        <v>0.86807014542917715</v>
      </c>
      <c r="J65" s="180">
        <f>J55+J14+J6</f>
        <v>55219.380000000012</v>
      </c>
      <c r="K65" s="186">
        <f t="shared" ref="K65:K66" si="44">J65/J$2</f>
        <v>0.71579923537472367</v>
      </c>
      <c r="L65" s="180">
        <f>L55+L14+L6</f>
        <v>57001.05</v>
      </c>
      <c r="M65" s="186">
        <f t="shared" ref="M65:M66" si="45">L65/L$2</f>
        <v>0.77398788690534392</v>
      </c>
      <c r="N65" s="180">
        <f>N55+N14+N6</f>
        <v>62753.830000000009</v>
      </c>
      <c r="O65" s="186">
        <f t="shared" ref="O65:O66" si="46">N65/N$2</f>
        <v>0.90993419293545563</v>
      </c>
      <c r="P65" s="180">
        <f>P55+P14+P6</f>
        <v>61020.55999999999</v>
      </c>
      <c r="Q65" s="186">
        <f t="shared" ref="Q65:Q66" si="47">P65/P$2</f>
        <v>1.0011473220211176</v>
      </c>
      <c r="R65" s="180">
        <f>R55+R14+R6</f>
        <v>63761.650000000009</v>
      </c>
      <c r="S65" s="186">
        <f t="shared" ref="S65:S66" si="48">R65/R$2</f>
        <v>0.73936614676594836</v>
      </c>
      <c r="T65" s="180">
        <f>T55+T14+T6</f>
        <v>61877.549999999988</v>
      </c>
      <c r="U65" s="186">
        <f t="shared" ref="U65:U66" si="49">T65/T$2</f>
        <v>1.0789728497153459</v>
      </c>
      <c r="V65" s="180">
        <f>V55+V14+V6</f>
        <v>68300.030000000013</v>
      </c>
      <c r="W65" s="186">
        <f t="shared" ref="W65:W66" si="50">V65/V$2</f>
        <v>0.55607007619703608</v>
      </c>
      <c r="X65" s="180">
        <f>X55+X14+X6</f>
        <v>80208.62</v>
      </c>
      <c r="Y65" s="186">
        <f>X65/X$2</f>
        <v>0.84247530877813248</v>
      </c>
      <c r="Z65" s="258">
        <f t="shared" si="24"/>
        <v>60513.297500000008</v>
      </c>
      <c r="AA65" s="186">
        <f t="shared" si="39"/>
        <v>0.79790336197422351</v>
      </c>
      <c r="AB65" s="180">
        <f>B65+D65+F65+H65+J65+L65+N65+P65+R65+T65+V65+X65</f>
        <v>726159.57000000007</v>
      </c>
      <c r="AC65" s="179">
        <f>AB65/AB$3</f>
        <v>0.79836269365111301</v>
      </c>
    </row>
    <row r="66" spans="1:29" x14ac:dyDescent="0.3">
      <c r="A66" s="196" t="s">
        <v>139</v>
      </c>
      <c r="B66" s="197">
        <f>B6+B14</f>
        <v>54020.959999999992</v>
      </c>
      <c r="C66" s="198">
        <f t="shared" si="40"/>
        <v>1.0724080970335399</v>
      </c>
      <c r="D66" s="197">
        <f>D6+D14</f>
        <v>47079.060000000012</v>
      </c>
      <c r="E66" s="198">
        <f t="shared" si="41"/>
        <v>0.56503139539377412</v>
      </c>
      <c r="F66" s="197">
        <f>F6+F14</f>
        <v>49411.360000000008</v>
      </c>
      <c r="G66" s="198">
        <f t="shared" si="42"/>
        <v>0.66381827813153127</v>
      </c>
      <c r="H66" s="197">
        <f>H6+H14</f>
        <v>48821.720000000008</v>
      </c>
      <c r="I66" s="198">
        <f t="shared" si="43"/>
        <v>0.81873876412031454</v>
      </c>
      <c r="J66" s="197">
        <f>J6+J14</f>
        <v>50529.44000000001</v>
      </c>
      <c r="K66" s="198">
        <f t="shared" si="44"/>
        <v>0.65500435745408547</v>
      </c>
      <c r="L66" s="197">
        <f>L6+L14</f>
        <v>50847.039999999994</v>
      </c>
      <c r="M66" s="198">
        <f t="shared" si="45"/>
        <v>0.69042575610434354</v>
      </c>
      <c r="N66" s="197">
        <f>N6+N14</f>
        <v>59792.87000000001</v>
      </c>
      <c r="O66" s="198">
        <f t="shared" si="46"/>
        <v>0.86700010034040342</v>
      </c>
      <c r="P66" s="197">
        <f>P6+P14</f>
        <v>56535.979999999989</v>
      </c>
      <c r="Q66" s="198">
        <f t="shared" si="47"/>
        <v>0.92757006777452489</v>
      </c>
      <c r="R66" s="197">
        <f>R6+R14</f>
        <v>59101.920000000006</v>
      </c>
      <c r="S66" s="198">
        <f t="shared" si="48"/>
        <v>0.68533293691222441</v>
      </c>
      <c r="T66" s="197">
        <f>T6+T14</f>
        <v>57569.739999999991</v>
      </c>
      <c r="U66" s="198">
        <f t="shared" si="49"/>
        <v>1.0038565913674917</v>
      </c>
      <c r="V66" s="197">
        <f>V6+V14</f>
        <v>64793.73</v>
      </c>
      <c r="W66" s="198">
        <f t="shared" si="50"/>
        <v>0.52752325845523318</v>
      </c>
      <c r="X66" s="197">
        <f>X6+X14</f>
        <v>77219.01999999999</v>
      </c>
      <c r="Y66" s="198">
        <f t="shared" ref="Y66" si="51">X66/X$2</f>
        <v>0.81107389352970771</v>
      </c>
      <c r="Z66" s="258">
        <f t="shared" si="24"/>
        <v>56310.236666666664</v>
      </c>
      <c r="AA66" s="186">
        <f t="shared" si="39"/>
        <v>0.74248353677797052</v>
      </c>
      <c r="AB66" s="197">
        <f>B66+D66+F66+H66+J66+L66+N66+P66+R66+T66+V66+X66</f>
        <v>675722.84</v>
      </c>
      <c r="AC66" s="199">
        <f>AB66/AB$3</f>
        <v>0.74291096474013274</v>
      </c>
    </row>
    <row r="67" spans="1:29" x14ac:dyDescent="0.3">
      <c r="A67" s="202" t="s">
        <v>180</v>
      </c>
      <c r="B67" s="182"/>
      <c r="C67" s="200"/>
      <c r="D67" s="180">
        <v>15000</v>
      </c>
      <c r="E67" s="200"/>
      <c r="F67" s="180">
        <v>25000</v>
      </c>
      <c r="G67" s="200"/>
      <c r="H67" s="182"/>
      <c r="I67" s="200"/>
      <c r="J67" s="182"/>
      <c r="K67" s="200"/>
      <c r="L67" s="180">
        <v>25000</v>
      </c>
      <c r="M67" s="200"/>
      <c r="N67" s="180">
        <v>10000</v>
      </c>
      <c r="O67" s="200"/>
      <c r="P67" s="182"/>
      <c r="Q67" s="200"/>
      <c r="R67" s="228">
        <v>15000</v>
      </c>
      <c r="S67" s="200"/>
      <c r="T67" s="180">
        <v>10000</v>
      </c>
      <c r="U67" s="200"/>
      <c r="V67" s="180">
        <v>30000</v>
      </c>
      <c r="W67" s="200"/>
      <c r="X67" s="180">
        <v>20000</v>
      </c>
      <c r="Y67" s="200"/>
      <c r="Z67" s="258">
        <f t="shared" si="24"/>
        <v>12500</v>
      </c>
      <c r="AA67" s="200"/>
      <c r="AB67" s="197">
        <f>B67+D67+F67+H67+J67+L67+N67+P67+R67+T67+V67+X67</f>
        <v>150000</v>
      </c>
      <c r="AC67" s="200"/>
    </row>
    <row r="68" spans="1:29" ht="15" thickBot="1" x14ac:dyDescent="0.35">
      <c r="A68" s="203" t="s">
        <v>164</v>
      </c>
      <c r="B68" s="204">
        <f>B61-B67</f>
        <v>-7102.1599999999899</v>
      </c>
      <c r="C68" s="201"/>
      <c r="D68" s="204">
        <f>D61-D67</f>
        <v>17487.289999999994</v>
      </c>
      <c r="E68" s="201"/>
      <c r="F68" s="204">
        <f>F61-F67</f>
        <v>-6508.9400000000096</v>
      </c>
      <c r="G68" s="204"/>
      <c r="H68" s="204">
        <f t="shared" ref="H68" si="52">H61-H67</f>
        <v>7867.0299999999934</v>
      </c>
      <c r="I68" s="204"/>
      <c r="J68" s="204">
        <f t="shared" ref="J68" si="53">J61-J67</f>
        <v>21924.289999999979</v>
      </c>
      <c r="K68" s="204"/>
      <c r="L68" s="204">
        <f t="shared" ref="L68:X68" si="54">L61-L67</f>
        <v>-8355.1299999999937</v>
      </c>
      <c r="M68" s="204"/>
      <c r="N68" s="204">
        <f>N61-N67</f>
        <v>-3788.5900000000047</v>
      </c>
      <c r="O68" s="204"/>
      <c r="P68" s="204">
        <f>P61-P67</f>
        <v>-69.929999999991196</v>
      </c>
      <c r="Q68" s="204"/>
      <c r="R68" s="204">
        <f>R61-R67</f>
        <v>7476.6099999999897</v>
      </c>
      <c r="S68" s="204"/>
      <c r="T68" s="204">
        <f>T61-T67</f>
        <v>-14528.979999999998</v>
      </c>
      <c r="U68" s="204"/>
      <c r="V68" s="204">
        <f t="shared" si="54"/>
        <v>24526.26999999999</v>
      </c>
      <c r="W68" s="204"/>
      <c r="X68" s="204">
        <f t="shared" si="54"/>
        <v>-5002.7199999999957</v>
      </c>
      <c r="Y68" s="201"/>
      <c r="Z68" s="260">
        <f t="shared" si="24"/>
        <v>2827.0866666666639</v>
      </c>
      <c r="AA68" s="201"/>
      <c r="AB68" s="261">
        <f>AB61-AB67</f>
        <v>33925.04000000027</v>
      </c>
      <c r="AC68" s="201"/>
    </row>
    <row r="69" spans="1:29" x14ac:dyDescent="0.3">
      <c r="A69" s="367" t="s">
        <v>220</v>
      </c>
      <c r="B69" s="197"/>
      <c r="C69" s="368"/>
      <c r="D69" s="197"/>
      <c r="E69" s="368"/>
      <c r="F69" s="197">
        <v>5000</v>
      </c>
      <c r="G69" s="197"/>
      <c r="H69" s="197"/>
      <c r="I69" s="197"/>
      <c r="J69" s="197">
        <v>13000</v>
      </c>
      <c r="K69" s="197"/>
      <c r="L69" s="197"/>
      <c r="M69" s="197"/>
      <c r="N69" s="197"/>
      <c r="O69" s="197"/>
      <c r="P69" s="197">
        <v>1000</v>
      </c>
      <c r="Q69" s="197"/>
      <c r="R69" s="197">
        <v>1000</v>
      </c>
      <c r="S69" s="197"/>
      <c r="T69" s="197"/>
      <c r="U69" s="197"/>
      <c r="V69" s="197"/>
      <c r="W69" s="197"/>
      <c r="X69" s="197">
        <v>3000</v>
      </c>
      <c r="Y69" s="368"/>
      <c r="Z69" s="369"/>
      <c r="AA69" s="368"/>
      <c r="AB69" s="370"/>
    </row>
    <row r="70" spans="1:29" x14ac:dyDescent="0.3">
      <c r="A70" s="245" t="s">
        <v>206</v>
      </c>
      <c r="B70" s="234">
        <f t="shared" ref="B70:W70" si="55">B6+B14+B55</f>
        <v>57475.669999999991</v>
      </c>
      <c r="C70" s="234">
        <f t="shared" si="55"/>
        <v>1.140989976676233</v>
      </c>
      <c r="D70" s="234">
        <f t="shared" si="55"/>
        <v>50833.850000000013</v>
      </c>
      <c r="E70" s="234">
        <f t="shared" si="55"/>
        <v>0.610095469169049</v>
      </c>
      <c r="F70" s="234">
        <f t="shared" si="55"/>
        <v>55944.010000000009</v>
      </c>
      <c r="G70" s="234">
        <f t="shared" si="55"/>
        <v>0.75158134465380366</v>
      </c>
      <c r="H70" s="234">
        <f t="shared" si="55"/>
        <v>51763.37000000001</v>
      </c>
      <c r="I70" s="234">
        <f t="shared" si="55"/>
        <v>0.86807014542917715</v>
      </c>
      <c r="J70" s="234">
        <f t="shared" si="55"/>
        <v>55219.380000000012</v>
      </c>
      <c r="K70" s="234">
        <f t="shared" si="55"/>
        <v>0.71579923537472379</v>
      </c>
      <c r="L70" s="234">
        <f t="shared" si="55"/>
        <v>57001.049999999996</v>
      </c>
      <c r="M70" s="234">
        <f t="shared" si="55"/>
        <v>0.77398788690534381</v>
      </c>
      <c r="N70" s="234">
        <f t="shared" si="55"/>
        <v>62753.830000000009</v>
      </c>
      <c r="O70" s="234">
        <f t="shared" si="55"/>
        <v>0.90993419293545574</v>
      </c>
      <c r="P70" s="234">
        <f t="shared" si="55"/>
        <v>61020.55999999999</v>
      </c>
      <c r="Q70" s="234">
        <f t="shared" si="55"/>
        <v>1.0011473220211176</v>
      </c>
      <c r="R70" s="234">
        <f t="shared" si="55"/>
        <v>63761.650000000009</v>
      </c>
      <c r="S70" s="234">
        <f t="shared" si="55"/>
        <v>0.73936614676594825</v>
      </c>
      <c r="T70" s="234">
        <f t="shared" si="55"/>
        <v>61877.549999999988</v>
      </c>
      <c r="U70" s="234">
        <f t="shared" si="55"/>
        <v>1.0789728497153459</v>
      </c>
      <c r="V70" s="234">
        <f t="shared" si="55"/>
        <v>68300.03</v>
      </c>
      <c r="W70" s="234">
        <f t="shared" si="55"/>
        <v>0.55607007619703608</v>
      </c>
      <c r="X70" s="234">
        <f>X6+X14+X55</f>
        <v>80208.62</v>
      </c>
      <c r="Y70" s="186">
        <f>X70/'2021'!X$2</f>
        <v>0.54139246431631738</v>
      </c>
      <c r="Z70" s="254">
        <f>(B70+D70+F70+H70+J70+L70+N70+P70+R70+T70+V70+X70)/12</f>
        <v>60513.297500000008</v>
      </c>
      <c r="AA70" s="186">
        <f>Z70/'2021'!Z$2</f>
        <v>0.35651790363754665</v>
      </c>
      <c r="AB70" s="268">
        <f>B70+D70+F70+H70+J70+L70+N70+P70+R70+T70+V70+X70</f>
        <v>726159.57000000007</v>
      </c>
    </row>
    <row r="71" spans="1:29" x14ac:dyDescent="0.3">
      <c r="A71" s="245" t="s">
        <v>207</v>
      </c>
      <c r="B71" s="303">
        <f>B61/B2</f>
        <v>-0.140989976676233</v>
      </c>
      <c r="C71" s="186"/>
      <c r="D71" s="363">
        <f>D61/D2</f>
        <v>0.38990453083095111</v>
      </c>
      <c r="E71" s="186"/>
      <c r="F71" s="303">
        <f>F61/F2</f>
        <v>0.2484186553461962</v>
      </c>
      <c r="G71" s="186"/>
      <c r="H71" s="363">
        <f>H61/H2</f>
        <v>0.13192985457082282</v>
      </c>
      <c r="I71" s="186"/>
      <c r="J71" s="363">
        <f>J61/J2</f>
        <v>0.28420076462527616</v>
      </c>
      <c r="K71" s="186"/>
      <c r="L71" s="363">
        <f>L61/L2</f>
        <v>0.22601211309465624</v>
      </c>
      <c r="M71" s="186"/>
      <c r="N71" s="363">
        <f>N61/N2</f>
        <v>9.0065807064544326E-2</v>
      </c>
      <c r="O71" s="186"/>
      <c r="P71" s="363">
        <f>P61/P2</f>
        <v>-1.1473220211176028E-3</v>
      </c>
      <c r="Q71" s="186"/>
      <c r="R71" s="363">
        <f>R61/R2</f>
        <v>0.26063385323405169</v>
      </c>
      <c r="S71" s="186"/>
      <c r="T71" s="363">
        <f>T61/T2</f>
        <v>-7.8972849715345961E-2</v>
      </c>
      <c r="U71" s="186"/>
      <c r="V71" s="363">
        <f>V61/V2</f>
        <v>0.44392992380296392</v>
      </c>
      <c r="W71" s="186"/>
      <c r="X71" s="363">
        <f>X61/X2</f>
        <v>0.1575246912218676</v>
      </c>
      <c r="Y71" s="186">
        <f>X71/'2021'!X$2</f>
        <v>1.0632607913123786E-6</v>
      </c>
      <c r="Z71" s="364">
        <f>(B71+D71+F71+H71+J71+L71+N71+P71+R71+T71+V71+X71)/12</f>
        <v>0.16762583711488613</v>
      </c>
      <c r="AA71" s="186">
        <f>Z71/'2021'!Z$2</f>
        <v>9.8757817723762388E-7</v>
      </c>
      <c r="AB71" s="303">
        <f>AB61/AB2</f>
        <v>0.20209663802577679</v>
      </c>
    </row>
    <row r="73" spans="1:29" x14ac:dyDescent="0.3">
      <c r="B73" s="165" t="s">
        <v>168</v>
      </c>
      <c r="D73" s="165" t="s">
        <v>169</v>
      </c>
      <c r="F73" s="165" t="s">
        <v>170</v>
      </c>
      <c r="H73" s="165" t="s">
        <v>171</v>
      </c>
      <c r="J73" s="165" t="s">
        <v>172</v>
      </c>
      <c r="L73" s="165" t="s">
        <v>173</v>
      </c>
      <c r="N73" s="165" t="s">
        <v>174</v>
      </c>
      <c r="P73" s="165" t="s">
        <v>175</v>
      </c>
      <c r="R73" s="165" t="s">
        <v>176</v>
      </c>
      <c r="T73" s="165" t="s">
        <v>177</v>
      </c>
      <c r="V73" s="165" t="s">
        <v>178</v>
      </c>
      <c r="X73" s="165" t="s">
        <v>179</v>
      </c>
    </row>
    <row r="74" spans="1:29" x14ac:dyDescent="0.3">
      <c r="A74" s="207" t="s">
        <v>165</v>
      </c>
      <c r="B74" s="215">
        <f>B75+B76</f>
        <v>38710.800000000003</v>
      </c>
      <c r="C74" s="208"/>
      <c r="D74" s="215">
        <f>D75+D76</f>
        <v>56198.09</v>
      </c>
      <c r="E74" s="208"/>
      <c r="F74" s="215">
        <f>F75+F76</f>
        <v>44689.15</v>
      </c>
      <c r="G74" s="208"/>
      <c r="H74" s="222">
        <f>SUM(H75:H76)</f>
        <v>52556.18</v>
      </c>
      <c r="I74" s="208"/>
      <c r="J74" s="222">
        <f>SUM(J75:J76)</f>
        <v>61480.47</v>
      </c>
      <c r="K74" s="208"/>
      <c r="L74" s="222">
        <f>SUM(L75:L76)</f>
        <v>53125.34</v>
      </c>
      <c r="M74" s="208"/>
      <c r="N74" s="227">
        <f>SUM(N75:N76)</f>
        <v>49336.74</v>
      </c>
      <c r="O74" s="208"/>
      <c r="P74" s="222">
        <f>SUM(P75:P76)</f>
        <v>48266.8</v>
      </c>
      <c r="Q74" s="208"/>
      <c r="R74" s="222">
        <f>SUM(R75:R76)</f>
        <v>54743.41</v>
      </c>
      <c r="S74" s="208"/>
      <c r="T74" s="215">
        <f>T75+T76</f>
        <v>40214.43</v>
      </c>
      <c r="U74" s="208"/>
      <c r="V74" s="256">
        <f>SUM(V75:V76)</f>
        <v>64740.700000000004</v>
      </c>
      <c r="W74" s="208"/>
      <c r="X74" s="262">
        <f>SUM(X75:X76)</f>
        <v>56737.93</v>
      </c>
      <c r="Y74" s="206"/>
      <c r="Z74" s="206"/>
      <c r="AA74" s="206"/>
      <c r="AB74" s="206"/>
    </row>
    <row r="75" spans="1:29" x14ac:dyDescent="0.3">
      <c r="A75" s="219" t="s">
        <v>166</v>
      </c>
      <c r="B75" s="216">
        <v>36648.57</v>
      </c>
      <c r="C75" s="597"/>
      <c r="D75" s="217">
        <v>55798.77</v>
      </c>
      <c r="F75" s="217">
        <v>43798.78</v>
      </c>
      <c r="H75" s="223">
        <v>50727.37</v>
      </c>
      <c r="J75" s="223">
        <v>61257.65</v>
      </c>
      <c r="L75" s="217">
        <v>52467.38</v>
      </c>
      <c r="N75" s="223">
        <v>49194.59</v>
      </c>
      <c r="P75" s="223">
        <v>48012.94</v>
      </c>
      <c r="R75" s="223">
        <v>54449.72</v>
      </c>
      <c r="T75" s="217">
        <v>37601.919999999998</v>
      </c>
      <c r="V75" s="255">
        <v>64084.4</v>
      </c>
      <c r="X75" s="263">
        <v>54624.33</v>
      </c>
    </row>
    <row r="76" spans="1:29" x14ac:dyDescent="0.3">
      <c r="A76" s="209" t="s">
        <v>167</v>
      </c>
      <c r="B76" s="211">
        <v>2062.23</v>
      </c>
      <c r="C76" s="598"/>
      <c r="D76" s="212">
        <v>399.32</v>
      </c>
      <c r="E76" s="210"/>
      <c r="F76" s="213">
        <v>890.37</v>
      </c>
      <c r="G76" s="210"/>
      <c r="H76" s="224">
        <v>1828.81</v>
      </c>
      <c r="I76" s="210"/>
      <c r="J76" s="224">
        <v>222.82</v>
      </c>
      <c r="K76" s="210"/>
      <c r="L76" s="213">
        <v>657.96</v>
      </c>
      <c r="M76" s="210"/>
      <c r="N76" s="213">
        <v>142.15</v>
      </c>
      <c r="O76" s="210"/>
      <c r="P76" s="224">
        <v>253.86</v>
      </c>
      <c r="Q76" s="210"/>
      <c r="R76" s="224">
        <v>293.69</v>
      </c>
      <c r="S76" s="210"/>
      <c r="T76" s="212">
        <v>2612.5100000000002</v>
      </c>
      <c r="U76" s="210"/>
      <c r="V76" s="214">
        <v>656.3</v>
      </c>
      <c r="W76" s="210"/>
      <c r="X76" s="264">
        <v>2113.6</v>
      </c>
    </row>
    <row r="77" spans="1:29" ht="15" thickBot="1" x14ac:dyDescent="0.35">
      <c r="A77" s="205"/>
      <c r="B77" s="205"/>
      <c r="C77" s="205"/>
    </row>
    <row r="78" spans="1:29" ht="15" thickBot="1" x14ac:dyDescent="0.35">
      <c r="A78" s="183" t="s">
        <v>180</v>
      </c>
      <c r="B78" s="220">
        <v>94445.119999999995</v>
      </c>
      <c r="C78" s="183"/>
      <c r="D78" s="221">
        <v>109806.62</v>
      </c>
      <c r="F78" s="175">
        <v>135220.72</v>
      </c>
      <c r="H78" s="225">
        <v>135840.20000000001</v>
      </c>
    </row>
    <row r="79" spans="1:29" ht="15" thickBot="1" x14ac:dyDescent="0.35">
      <c r="A79" s="183"/>
      <c r="B79" s="183"/>
      <c r="C79" s="183"/>
    </row>
    <row r="80" spans="1:29" ht="15" thickBot="1" x14ac:dyDescent="0.35">
      <c r="A80" s="183"/>
      <c r="B80" s="183"/>
      <c r="C80" s="183"/>
    </row>
    <row r="81" spans="1:3" ht="15" thickBot="1" x14ac:dyDescent="0.35">
      <c r="A81" s="183"/>
      <c r="B81" s="183"/>
      <c r="C81" s="183"/>
    </row>
    <row r="82" spans="1:3" ht="15" thickBot="1" x14ac:dyDescent="0.35">
      <c r="A82" s="183"/>
      <c r="B82" s="183"/>
      <c r="C82" s="183"/>
    </row>
    <row r="83" spans="1:3" ht="15" thickBot="1" x14ac:dyDescent="0.35">
      <c r="A83" s="183"/>
      <c r="B83" s="183"/>
      <c r="C83" s="183"/>
    </row>
    <row r="84" spans="1:3" ht="15" thickBot="1" x14ac:dyDescent="0.35">
      <c r="A84" s="183"/>
      <c r="B84" s="183"/>
      <c r="C84" s="183"/>
    </row>
    <row r="85" spans="1:3" ht="15" thickBot="1" x14ac:dyDescent="0.35">
      <c r="A85" s="183"/>
      <c r="B85" s="183"/>
      <c r="C85" s="183"/>
    </row>
    <row r="86" spans="1:3" ht="15" thickBot="1" x14ac:dyDescent="0.35">
      <c r="A86" s="183"/>
      <c r="B86" s="183"/>
      <c r="C86" s="183"/>
    </row>
    <row r="87" spans="1:3" x14ac:dyDescent="0.3">
      <c r="A87" s="183"/>
      <c r="B87" s="183"/>
      <c r="C87" s="183"/>
    </row>
  </sheetData>
  <mergeCells count="1">
    <mergeCell ref="C75:C76"/>
  </mergeCells>
  <conditionalFormatting sqref="B68:B71 D68:D71 F68:X71 C70:X70">
    <cfRule type="cellIs" dxfId="20" priority="1" operator="lessThan">
      <formula>0</formula>
    </cfRule>
  </conditionalFormatting>
  <conditionalFormatting sqref="B70:Y71 AB70:AB71">
    <cfRule type="cellIs" dxfId="19" priority="2" operator="lessThan">
      <formula>0</formula>
    </cfRule>
  </conditionalFormatting>
  <conditionalFormatting sqref="Z61:AC62 B61:Y66 AB63:AC66 AB67">
    <cfRule type="cellIs" dxfId="18" priority="13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ignoredErrors>
    <ignoredError sqref="C3:C5 E3:E5 G3:G5 I3:I5 K3:K5 M3:M5 O3:O5 Q3:Q5 E54 G54 C54 F63:F64 H63:H64 J63:J64 L63:L64 M65:M66 N63:N64 O65:O66 AC35:AC37 I54 K54 M54 G30 E30 C23:C27 O35:O45 M35:M45 K35 I35:I45 Q35:Q45 Y35:Y45 W35:W45 U35:U45 S35:S45 AC39:AC45 C35:C45 G35:G45 E35:E45 C7:C12 E7:E12 G7:G12 O30 M30 K30 I30 Q30 Y30 W30 U30 S30 AC30 C56:C60 E56:E60 G56:G60 I56:I60 K56:K60 M56:M60 AC54 S54:S64 U54:U64 W54:W64 Y54:Y64 Q54:Q64 O54:O60 AA55:AA62 K39:K45 E32:E33 G32:G33 C32:C33 S32:S33 U32:U33 W32:W33 Y32:Y33 Q32:Q33 I32:I33 K32:K33 M32:M33 O32:O33 AC32:AC33 C15:C18 AC23:AC27 S23:S27 U23:U27 W23:W27 Y23:Y27 Q23:Q27 I23:I27 K23:K27 M23:M27 O23:O27 E23:E27 G23:G27 G15:G20 E15:E20 O7:O20 M7:M20 K7:K20 I7:I20 Q7:Q20 Y3:Y20 W3:W20 U3:U20 S3:S20 AA4:AA15 C20 AC56:AC60 AC62:AC63 AC14:AC18 AC66 AC20" evalError="1"/>
    <ignoredError sqref="C6 E6 G6 I6 K6 M6 O6 Q6 C13:C14 E13:E14 G13:G14 C55 E55 G55 I55 K55 M55 C62:C66 E61:E66 G61:G66 I61:I66 K61:K66 H65 J65:J66 L65:L66 N65:N66 M61:M64 O61:O64 P63:P64 T63:T64 V63:V64 X63:X64 R63:R64 C30 Z63:Z64" evalError="1" formula="1"/>
    <ignoredError sqref="J13 L13 N13 P13 X61:X62 V61:V62 T62 R61 P62 C19 C61 Z55:Z62 Z3:Z7 Z9:Z13 Z15:Z54 Z65:Z66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B8144"/>
  </sheetPr>
  <dimension ref="A1:HX84"/>
  <sheetViews>
    <sheetView zoomScaleNormal="100" workbookViewId="0">
      <pane xSplit="1" ySplit="1" topLeftCell="P54" activePane="bottomRight" state="frozen"/>
      <selection pane="topRight" activeCell="B1" sqref="B1"/>
      <selection pane="bottomLeft" activeCell="A2" sqref="A2"/>
      <selection pane="bottomRight" activeCell="AE67" sqref="AE67"/>
    </sheetView>
  </sheetViews>
  <sheetFormatPr defaultColWidth="28.88671875" defaultRowHeight="14.4" x14ac:dyDescent="0.3"/>
  <cols>
    <col min="1" max="1" width="30.44140625" style="165" customWidth="1"/>
    <col min="2" max="2" width="10.88671875" style="165" customWidth="1"/>
    <col min="3" max="3" width="7" style="165" bestFit="1" customWidth="1"/>
    <col min="4" max="4" width="10" style="165" customWidth="1"/>
    <col min="5" max="5" width="7" style="165" bestFit="1" customWidth="1"/>
    <col min="6" max="6" width="10.109375" style="165" bestFit="1" customWidth="1"/>
    <col min="7" max="7" width="7" style="165" bestFit="1" customWidth="1"/>
    <col min="8" max="8" width="11.5546875" style="165" bestFit="1" customWidth="1"/>
    <col min="9" max="9" width="7" style="165" bestFit="1" customWidth="1"/>
    <col min="10" max="10" width="10.33203125" style="165" customWidth="1"/>
    <col min="11" max="11" width="7" style="165" bestFit="1" customWidth="1"/>
    <col min="12" max="12" width="11.33203125" style="165" bestFit="1" customWidth="1"/>
    <col min="13" max="13" width="7" style="165" bestFit="1" customWidth="1"/>
    <col min="14" max="14" width="10.5546875" style="165" bestFit="1" customWidth="1"/>
    <col min="15" max="15" width="7" style="165" bestFit="1" customWidth="1"/>
    <col min="16" max="16" width="10.5546875" style="165" bestFit="1" customWidth="1"/>
    <col min="17" max="17" width="7" style="165" bestFit="1" customWidth="1"/>
    <col min="18" max="18" width="11.5546875" style="165" bestFit="1" customWidth="1"/>
    <col min="19" max="19" width="7" style="165" bestFit="1" customWidth="1"/>
    <col min="20" max="20" width="10.109375" style="165" bestFit="1" customWidth="1"/>
    <col min="21" max="21" width="7" style="165" bestFit="1" customWidth="1"/>
    <col min="22" max="22" width="11" style="165" bestFit="1" customWidth="1"/>
    <col min="23" max="23" width="7" style="165" bestFit="1" customWidth="1"/>
    <col min="24" max="24" width="12.6640625" style="165" bestFit="1" customWidth="1"/>
    <col min="25" max="25" width="7.5546875" style="165" bestFit="1" customWidth="1"/>
    <col min="26" max="26" width="10.44140625" style="165" customWidth="1"/>
    <col min="27" max="27" width="9.109375" style="165" customWidth="1"/>
    <col min="28" max="29" width="15.5546875" style="165" customWidth="1"/>
    <col min="30" max="30" width="8.33203125" style="165" customWidth="1"/>
    <col min="31" max="31" width="8" style="165" customWidth="1"/>
    <col min="32" max="32" width="234.109375" style="165" bestFit="1" customWidth="1"/>
    <col min="33" max="33" width="10.6640625" style="165" customWidth="1"/>
    <col min="34" max="34" width="9.33203125" style="165" customWidth="1"/>
    <col min="35" max="35" width="12" style="165" customWidth="1"/>
    <col min="36" max="16384" width="28.88671875" style="165"/>
  </cols>
  <sheetData>
    <row r="1" spans="1:232" x14ac:dyDescent="0.3">
      <c r="A1" s="229"/>
      <c r="B1" s="230" t="s">
        <v>31</v>
      </c>
      <c r="C1" s="162" t="s">
        <v>32</v>
      </c>
      <c r="D1" s="230" t="s">
        <v>33</v>
      </c>
      <c r="E1" s="162" t="s">
        <v>32</v>
      </c>
      <c r="F1" s="230" t="s">
        <v>34</v>
      </c>
      <c r="G1" s="162" t="s">
        <v>32</v>
      </c>
      <c r="H1" s="230" t="s">
        <v>35</v>
      </c>
      <c r="I1" s="162" t="s">
        <v>32</v>
      </c>
      <c r="J1" s="230" t="s">
        <v>36</v>
      </c>
      <c r="K1" s="187" t="s">
        <v>32</v>
      </c>
      <c r="L1" s="230" t="s">
        <v>37</v>
      </c>
      <c r="M1" s="187" t="s">
        <v>32</v>
      </c>
      <c r="N1" s="230" t="s">
        <v>38</v>
      </c>
      <c r="O1" s="187" t="s">
        <v>32</v>
      </c>
      <c r="P1" s="230" t="s">
        <v>39</v>
      </c>
      <c r="Q1" s="187" t="s">
        <v>32</v>
      </c>
      <c r="R1" s="230" t="s">
        <v>40</v>
      </c>
      <c r="S1" s="187" t="s">
        <v>32</v>
      </c>
      <c r="T1" s="230" t="s">
        <v>41</v>
      </c>
      <c r="U1" s="187" t="s">
        <v>32</v>
      </c>
      <c r="V1" s="230" t="s">
        <v>101</v>
      </c>
      <c r="W1" s="187" t="s">
        <v>32</v>
      </c>
      <c r="X1" s="230" t="s">
        <v>102</v>
      </c>
      <c r="Y1" s="187" t="s">
        <v>32</v>
      </c>
      <c r="Z1" s="231" t="s">
        <v>43</v>
      </c>
      <c r="AA1" s="188" t="s">
        <v>32</v>
      </c>
      <c r="AB1" s="232" t="s">
        <v>132</v>
      </c>
      <c r="AC1" s="164"/>
      <c r="AE1" s="166" t="s">
        <v>45</v>
      </c>
    </row>
    <row r="2" spans="1:232" s="240" customFormat="1" x14ac:dyDescent="0.3">
      <c r="A2" s="233" t="s">
        <v>6</v>
      </c>
      <c r="B2" s="234">
        <f>SUM(B3:B5)</f>
        <v>83151.899999999994</v>
      </c>
      <c r="C2" s="235">
        <v>1</v>
      </c>
      <c r="D2" s="234">
        <f>SUM(D3:D4)</f>
        <v>82226.14</v>
      </c>
      <c r="E2" s="235">
        <v>1</v>
      </c>
      <c r="F2" s="234">
        <f>SUM(F3:F5)</f>
        <v>54085.9</v>
      </c>
      <c r="G2" s="235">
        <v>1</v>
      </c>
      <c r="H2" s="234">
        <f>SUM(H3:H5)</f>
        <v>78553.94</v>
      </c>
      <c r="I2" s="235">
        <v>1</v>
      </c>
      <c r="J2" s="234">
        <f>SUM(J3:J5)</f>
        <v>120029.84</v>
      </c>
      <c r="K2" s="235">
        <v>1</v>
      </c>
      <c r="L2" s="234">
        <f>SUM(L3:L5)</f>
        <v>116615.66</v>
      </c>
      <c r="M2" s="235">
        <v>1</v>
      </c>
      <c r="N2" s="234">
        <f>SUM(N3:N5)</f>
        <v>95271.48000000001</v>
      </c>
      <c r="O2" s="235">
        <v>1</v>
      </c>
      <c r="P2" s="234">
        <f>SUM(P3:P5)</f>
        <v>106870.20000000001</v>
      </c>
      <c r="Q2" s="235">
        <v>1</v>
      </c>
      <c r="R2" s="234">
        <f>SUM(R3:R5)</f>
        <v>78293.240000000005</v>
      </c>
      <c r="S2" s="235">
        <v>1</v>
      </c>
      <c r="T2" s="234">
        <f>T3</f>
        <v>65473</v>
      </c>
      <c r="U2" s="235">
        <v>1</v>
      </c>
      <c r="V2" s="234">
        <f>V3</f>
        <v>125683.92</v>
      </c>
      <c r="W2" s="235">
        <v>1</v>
      </c>
      <c r="X2" s="234">
        <f>SUM(X3:X5)</f>
        <v>125255.39</v>
      </c>
      <c r="Y2" s="235">
        <v>1</v>
      </c>
      <c r="Z2" s="236">
        <f t="shared" ref="Z2:Z34" si="0">(B2+D2+F2+H2+J2+L2+N2+P2+R2+T2+V2+X2)/AE$2</f>
        <v>94292.550833333342</v>
      </c>
      <c r="AA2" s="237">
        <v>1</v>
      </c>
      <c r="AB2" s="234">
        <f>SUM(AB3:AB5)</f>
        <v>1131510.6099999999</v>
      </c>
      <c r="AC2" s="238">
        <v>1</v>
      </c>
      <c r="AD2" s="170"/>
      <c r="AE2" s="239">
        <f>COUNTIF(B2:Y2,"&gt;1")</f>
        <v>12</v>
      </c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5"/>
      <c r="BS2" s="165"/>
      <c r="BT2" s="165"/>
      <c r="BU2" s="165"/>
      <c r="BV2" s="165"/>
      <c r="BW2" s="165"/>
      <c r="BX2" s="165"/>
      <c r="BY2" s="165"/>
      <c r="BZ2" s="165"/>
      <c r="CA2" s="165"/>
      <c r="CB2" s="165"/>
      <c r="CC2" s="165"/>
      <c r="CD2" s="165"/>
      <c r="CE2" s="165"/>
      <c r="CF2" s="165"/>
      <c r="CG2" s="165"/>
      <c r="CH2" s="165"/>
      <c r="CI2" s="165"/>
      <c r="CJ2" s="165"/>
      <c r="CK2" s="165"/>
      <c r="CL2" s="165"/>
      <c r="CM2" s="165"/>
      <c r="CN2" s="165"/>
      <c r="CO2" s="165"/>
      <c r="CP2" s="165"/>
      <c r="CQ2" s="165"/>
      <c r="CR2" s="165"/>
      <c r="CS2" s="165"/>
      <c r="CT2" s="165"/>
      <c r="CU2" s="165"/>
      <c r="CV2" s="165"/>
      <c r="CW2" s="165"/>
      <c r="CX2" s="165"/>
      <c r="CY2" s="165"/>
      <c r="CZ2" s="165"/>
      <c r="DA2" s="165"/>
      <c r="DB2" s="165"/>
      <c r="DC2" s="165"/>
      <c r="DD2" s="165"/>
      <c r="DE2" s="165"/>
      <c r="DF2" s="165"/>
      <c r="DG2" s="165"/>
      <c r="DH2" s="165"/>
      <c r="DI2" s="165"/>
      <c r="DJ2" s="165"/>
      <c r="DK2" s="165"/>
      <c r="DL2" s="165"/>
      <c r="DM2" s="165"/>
      <c r="DN2" s="165"/>
      <c r="DO2" s="165"/>
      <c r="DP2" s="165"/>
      <c r="DQ2" s="165"/>
      <c r="DR2" s="165"/>
      <c r="DS2" s="165"/>
      <c r="DT2" s="165"/>
      <c r="DU2" s="165"/>
      <c r="DV2" s="165"/>
      <c r="DW2" s="165"/>
      <c r="DX2" s="165"/>
      <c r="DY2" s="165"/>
      <c r="DZ2" s="165"/>
      <c r="EA2" s="165"/>
      <c r="EB2" s="165"/>
      <c r="EC2" s="165"/>
      <c r="ED2" s="165"/>
      <c r="EE2" s="165"/>
      <c r="EF2" s="165"/>
      <c r="EG2" s="165"/>
      <c r="EH2" s="165"/>
      <c r="EI2" s="165"/>
      <c r="EJ2" s="165"/>
      <c r="EK2" s="165"/>
      <c r="EL2" s="165"/>
      <c r="EM2" s="165"/>
      <c r="EN2" s="165"/>
      <c r="EO2" s="165"/>
      <c r="EP2" s="165"/>
      <c r="EQ2" s="165"/>
      <c r="ER2" s="165"/>
      <c r="ES2" s="165"/>
      <c r="ET2" s="165"/>
      <c r="EU2" s="165"/>
      <c r="EV2" s="165"/>
      <c r="EW2" s="165"/>
      <c r="EX2" s="165"/>
      <c r="EY2" s="165"/>
      <c r="EZ2" s="165"/>
      <c r="FA2" s="165"/>
      <c r="FB2" s="165"/>
      <c r="FC2" s="165"/>
      <c r="FD2" s="165"/>
      <c r="FE2" s="165"/>
      <c r="FF2" s="165"/>
      <c r="FG2" s="165"/>
      <c r="FH2" s="165"/>
      <c r="FI2" s="165"/>
      <c r="FJ2" s="165"/>
      <c r="FK2" s="165"/>
      <c r="FL2" s="165"/>
      <c r="FM2" s="165"/>
      <c r="FN2" s="165"/>
      <c r="FO2" s="165"/>
      <c r="FP2" s="165"/>
      <c r="FQ2" s="165"/>
      <c r="FR2" s="165"/>
      <c r="FS2" s="165"/>
      <c r="FT2" s="165"/>
      <c r="FU2" s="165"/>
      <c r="FV2" s="165"/>
      <c r="FW2" s="165"/>
      <c r="FX2" s="165"/>
      <c r="FY2" s="165"/>
      <c r="FZ2" s="165"/>
      <c r="GA2" s="165"/>
      <c r="GB2" s="165"/>
      <c r="GC2" s="165"/>
      <c r="GD2" s="165"/>
      <c r="GE2" s="165"/>
      <c r="GF2" s="165"/>
      <c r="GG2" s="165"/>
      <c r="GH2" s="165"/>
      <c r="GI2" s="165"/>
      <c r="GJ2" s="165"/>
      <c r="GK2" s="165"/>
      <c r="GL2" s="165"/>
      <c r="GM2" s="165"/>
      <c r="GN2" s="165"/>
      <c r="GO2" s="165"/>
      <c r="GP2" s="165"/>
      <c r="GQ2" s="165"/>
      <c r="GR2" s="165"/>
      <c r="GS2" s="165"/>
      <c r="GT2" s="165"/>
      <c r="GU2" s="165"/>
      <c r="GV2" s="165"/>
      <c r="GW2" s="165"/>
      <c r="GX2" s="165"/>
      <c r="GY2" s="165"/>
      <c r="GZ2" s="165"/>
      <c r="HA2" s="165"/>
      <c r="HB2" s="165"/>
      <c r="HC2" s="165"/>
      <c r="HD2" s="165"/>
      <c r="HE2" s="165"/>
      <c r="HF2" s="165"/>
      <c r="HG2" s="165"/>
      <c r="HH2" s="165"/>
      <c r="HI2" s="165"/>
      <c r="HJ2" s="165"/>
      <c r="HK2" s="165"/>
      <c r="HL2" s="165"/>
      <c r="HM2" s="165"/>
      <c r="HN2" s="165"/>
      <c r="HO2" s="165"/>
      <c r="HP2" s="165"/>
      <c r="HQ2" s="165"/>
      <c r="HR2" s="165"/>
      <c r="HS2" s="165"/>
      <c r="HT2" s="165"/>
      <c r="HU2" s="165"/>
      <c r="HV2" s="165"/>
      <c r="HW2" s="165"/>
      <c r="HX2" s="165"/>
    </row>
    <row r="3" spans="1:232" x14ac:dyDescent="0.3">
      <c r="A3" s="157" t="s">
        <v>27</v>
      </c>
      <c r="B3" s="157">
        <v>83151.899999999994</v>
      </c>
      <c r="C3" s="185">
        <f t="shared" ref="C3:E13" si="1">B3/B$2</f>
        <v>1</v>
      </c>
      <c r="D3" s="157">
        <v>73226.14</v>
      </c>
      <c r="E3" s="185">
        <f t="shared" si="1"/>
        <v>0.8905457558873614</v>
      </c>
      <c r="F3" s="157">
        <v>54085.9</v>
      </c>
      <c r="G3" s="185">
        <f t="shared" ref="G3:G60" si="2">F3/F$2</f>
        <v>1</v>
      </c>
      <c r="H3" s="157">
        <v>78272.710000000006</v>
      </c>
      <c r="I3" s="185">
        <f t="shared" ref="I3:I60" si="3">H3/H$2</f>
        <v>0.99641991222846371</v>
      </c>
      <c r="J3" s="157">
        <v>120029.84</v>
      </c>
      <c r="K3" s="185">
        <f t="shared" ref="K3:K60" si="4">J3/J$2</f>
        <v>1</v>
      </c>
      <c r="L3" s="157">
        <v>113487.81</v>
      </c>
      <c r="M3" s="185">
        <f t="shared" ref="M3:M60" si="5">L3/L$2</f>
        <v>0.97317813062156489</v>
      </c>
      <c r="N3" s="157">
        <v>89068.63</v>
      </c>
      <c r="O3" s="185">
        <f t="shared" ref="O3:O60" si="6">N3/N$2</f>
        <v>0.9348928976436599</v>
      </c>
      <c r="P3" s="157">
        <v>100767.35</v>
      </c>
      <c r="Q3" s="185">
        <f t="shared" ref="Q3:Q60" si="7">P3/P$2</f>
        <v>0.94289474521428795</v>
      </c>
      <c r="R3" s="157">
        <v>71804.77</v>
      </c>
      <c r="S3" s="185">
        <f t="shared" ref="S3:S60" si="8">R3/R$2</f>
        <v>0.91712605072928388</v>
      </c>
      <c r="T3" s="157">
        <v>65473</v>
      </c>
      <c r="U3" s="185">
        <f t="shared" ref="U3:U60" si="9">T3/T$2</f>
        <v>1</v>
      </c>
      <c r="V3" s="157">
        <v>125683.92</v>
      </c>
      <c r="W3" s="185">
        <f>V3/V$2</f>
        <v>1</v>
      </c>
      <c r="X3" s="157">
        <v>123521.1</v>
      </c>
      <c r="Y3" s="185">
        <f>X3/X$2</f>
        <v>0.98615396910264708</v>
      </c>
      <c r="Z3" s="191">
        <f t="shared" si="0"/>
        <v>91547.755833333344</v>
      </c>
      <c r="AA3" s="185">
        <f>Z3/Z$2</f>
        <v>0.97089064856404661</v>
      </c>
      <c r="AB3" s="172">
        <f>L3+N3+P3+R3+T3+V3+X3+J3+H3+F3+D3+B3</f>
        <v>1098573.07</v>
      </c>
      <c r="AC3" s="173">
        <f>AB3/AB$2</f>
        <v>0.97089064856404672</v>
      </c>
      <c r="AE3" s="159"/>
      <c r="AF3" s="299"/>
      <c r="AG3" s="257"/>
    </row>
    <row r="4" spans="1:232" x14ac:dyDescent="0.3">
      <c r="A4" s="157" t="s">
        <v>53</v>
      </c>
      <c r="B4" s="157"/>
      <c r="C4" s="185">
        <f t="shared" si="1"/>
        <v>0</v>
      </c>
      <c r="D4" s="157">
        <v>9000</v>
      </c>
      <c r="E4" s="185">
        <f t="shared" si="1"/>
        <v>0.10945424411263864</v>
      </c>
      <c r="F4" s="157"/>
      <c r="G4" s="185">
        <f t="shared" si="2"/>
        <v>0</v>
      </c>
      <c r="H4" s="157">
        <v>281.23</v>
      </c>
      <c r="I4" s="185">
        <f t="shared" si="3"/>
        <v>3.5800877715363483E-3</v>
      </c>
      <c r="J4" s="157"/>
      <c r="K4" s="185">
        <f t="shared" si="4"/>
        <v>0</v>
      </c>
      <c r="L4" s="157"/>
      <c r="M4" s="185">
        <f t="shared" si="5"/>
        <v>0</v>
      </c>
      <c r="N4" s="157">
        <v>100</v>
      </c>
      <c r="O4" s="185">
        <f t="shared" si="6"/>
        <v>1.0496320619769945E-3</v>
      </c>
      <c r="P4" s="157"/>
      <c r="Q4" s="185">
        <f t="shared" si="7"/>
        <v>0</v>
      </c>
      <c r="R4" s="157">
        <v>3360.62</v>
      </c>
      <c r="S4" s="185">
        <f t="shared" si="8"/>
        <v>4.292350144150376E-2</v>
      </c>
      <c r="T4" s="157"/>
      <c r="U4" s="185">
        <f t="shared" si="9"/>
        <v>0</v>
      </c>
      <c r="V4" s="157"/>
      <c r="W4" s="185">
        <f>V4/V$2</f>
        <v>0</v>
      </c>
      <c r="X4" s="157">
        <f>1732.27+2.02</f>
        <v>1734.29</v>
      </c>
      <c r="Y4" s="185">
        <f>X4/X$2</f>
        <v>1.3846030897353E-2</v>
      </c>
      <c r="Z4" s="191">
        <f t="shared" si="0"/>
        <v>1206.345</v>
      </c>
      <c r="AA4" s="185">
        <f t="shared" ref="AA4:AA5" si="10">Z4/Z$2</f>
        <v>1.2793640529804664E-2</v>
      </c>
      <c r="AB4" s="172">
        <f>L4+N4+P4+R4+T4+V4+X4+J4+H4+F4+D4+B4</f>
        <v>14476.14</v>
      </c>
      <c r="AC4" s="173">
        <f>AB4/AB$2</f>
        <v>1.2793640529804666E-2</v>
      </c>
      <c r="AE4" s="159"/>
      <c r="AF4"/>
      <c r="AG4" s="257"/>
    </row>
    <row r="5" spans="1:232" x14ac:dyDescent="0.3">
      <c r="A5" s="157" t="s">
        <v>195</v>
      </c>
      <c r="B5" s="157"/>
      <c r="C5" s="185">
        <f t="shared" si="1"/>
        <v>0</v>
      </c>
      <c r="D5" s="157"/>
      <c r="E5" s="185">
        <f t="shared" si="1"/>
        <v>0</v>
      </c>
      <c r="F5" s="157"/>
      <c r="G5" s="185">
        <f t="shared" si="2"/>
        <v>0</v>
      </c>
      <c r="H5" s="157"/>
      <c r="I5" s="185">
        <f t="shared" si="3"/>
        <v>0</v>
      </c>
      <c r="J5" s="157"/>
      <c r="K5" s="185">
        <f t="shared" si="4"/>
        <v>0</v>
      </c>
      <c r="L5" s="157">
        <v>3127.85</v>
      </c>
      <c r="M5" s="185">
        <f t="shared" si="5"/>
        <v>2.6821869378435108E-2</v>
      </c>
      <c r="N5" s="157">
        <v>6102.85</v>
      </c>
      <c r="O5" s="185">
        <f t="shared" si="6"/>
        <v>6.4057470294363011E-2</v>
      </c>
      <c r="P5" s="157">
        <v>6102.85</v>
      </c>
      <c r="Q5" s="185">
        <f t="shared" si="7"/>
        <v>5.710525478571201E-2</v>
      </c>
      <c r="R5" s="157">
        <v>3127.85</v>
      </c>
      <c r="S5" s="185">
        <f t="shared" si="8"/>
        <v>3.9950447829212324E-2</v>
      </c>
      <c r="T5" s="157"/>
      <c r="U5" s="185">
        <f t="shared" si="9"/>
        <v>0</v>
      </c>
      <c r="V5" s="157"/>
      <c r="W5" s="185">
        <f>V5/V$2</f>
        <v>0</v>
      </c>
      <c r="X5" s="157"/>
      <c r="Y5" s="185">
        <f>X5/X$2</f>
        <v>0</v>
      </c>
      <c r="Z5" s="191">
        <f t="shared" si="0"/>
        <v>1538.45</v>
      </c>
      <c r="AA5" s="185">
        <f t="shared" si="10"/>
        <v>1.6315710906148726E-2</v>
      </c>
      <c r="AB5" s="172">
        <f>L5+N5+P5+R5+T5+V5+X5+J5+H5+F5+D5+B5</f>
        <v>18461.400000000001</v>
      </c>
      <c r="AC5" s="173">
        <f>AB5/AB$2</f>
        <v>1.631571090614873E-2</v>
      </c>
      <c r="AE5" s="159"/>
      <c r="AF5" s="299"/>
      <c r="AG5" s="257"/>
    </row>
    <row r="6" spans="1:232" s="240" customFormat="1" x14ac:dyDescent="0.3">
      <c r="A6" s="233" t="s">
        <v>105</v>
      </c>
      <c r="B6" s="234">
        <f>SUBTOTAL(9,B7:B13)</f>
        <v>10693.390000000001</v>
      </c>
      <c r="C6" s="235">
        <f t="shared" si="1"/>
        <v>0.12860066937736844</v>
      </c>
      <c r="D6" s="234">
        <f>SUBTOTAL(9,D7:D13)</f>
        <v>10123.08</v>
      </c>
      <c r="E6" s="235">
        <f t="shared" si="1"/>
        <v>0.12311267438797444</v>
      </c>
      <c r="F6" s="234">
        <f>SUBTOTAL(9,F7:F13)</f>
        <v>9584.0299999999988</v>
      </c>
      <c r="G6" s="235">
        <f t="shared" si="2"/>
        <v>0.17720015752719281</v>
      </c>
      <c r="H6" s="234">
        <f>SUBTOTAL(9,H7:H13)</f>
        <v>6056.03</v>
      </c>
      <c r="I6" s="235">
        <f t="shared" si="3"/>
        <v>7.7093905156125839E-2</v>
      </c>
      <c r="J6" s="234">
        <f>SUBTOTAL(9,J7:J13)</f>
        <v>10173.539999999999</v>
      </c>
      <c r="K6" s="235">
        <f t="shared" si="4"/>
        <v>8.4758423405379854E-2</v>
      </c>
      <c r="L6" s="234">
        <f>SUBTOTAL(9,L7:L13)</f>
        <v>14630.92</v>
      </c>
      <c r="M6" s="235">
        <f t="shared" si="5"/>
        <v>0.12546273802334951</v>
      </c>
      <c r="N6" s="234">
        <f>SUBTOTAL(9,N7:N13)</f>
        <v>13707.85</v>
      </c>
      <c r="O6" s="235">
        <f t="shared" si="6"/>
        <v>0.14388198860771345</v>
      </c>
      <c r="P6" s="234">
        <f>SUBTOTAL(9,P7:P13)</f>
        <v>12742.2</v>
      </c>
      <c r="Q6" s="235">
        <f t="shared" si="7"/>
        <v>0.11923061807688204</v>
      </c>
      <c r="R6" s="234">
        <f>SUBTOTAL(9,R7:R13)</f>
        <v>14176.970000000001</v>
      </c>
      <c r="S6" s="235">
        <f t="shared" si="8"/>
        <v>0.18107527546439514</v>
      </c>
      <c r="T6" s="234">
        <f>SUBTOTAL(9,T7:T13)</f>
        <v>9825.76</v>
      </c>
      <c r="U6" s="235">
        <f t="shared" si="9"/>
        <v>0.1500734653979503</v>
      </c>
      <c r="V6" s="234">
        <f>SUBTOTAL(9,V7:V13)</f>
        <v>7808.9400000000005</v>
      </c>
      <c r="W6" s="235">
        <f>V6/V$2</f>
        <v>6.2131575781531966E-2</v>
      </c>
      <c r="X6" s="234">
        <f>SUBTOTAL(9,X7:X13)</f>
        <v>14547.99</v>
      </c>
      <c r="Y6" s="235">
        <f>X6/X$2</f>
        <v>0.11614661852076785</v>
      </c>
      <c r="Z6" s="236">
        <f t="shared" si="0"/>
        <v>11172.558333333332</v>
      </c>
      <c r="AA6" s="235">
        <f t="shared" ref="AA6:AA24" si="11">Z6/Z$2</f>
        <v>0.11848823936348239</v>
      </c>
      <c r="AB6" s="234">
        <f>SUBTOTAL(9,AB7:AB13)</f>
        <v>134063.82</v>
      </c>
      <c r="AC6" s="241">
        <f>AB6/AB$2</f>
        <v>0.11848215899628199</v>
      </c>
      <c r="AD6" s="165"/>
      <c r="AE6" s="175"/>
      <c r="AF6"/>
      <c r="AG6" s="257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65"/>
      <c r="AZ6" s="165"/>
      <c r="BA6" s="165"/>
      <c r="BB6" s="165"/>
      <c r="BC6" s="165"/>
      <c r="BD6" s="165"/>
      <c r="BE6" s="165"/>
      <c r="BF6" s="165"/>
      <c r="BG6" s="165"/>
      <c r="BH6" s="165"/>
      <c r="BI6" s="165"/>
      <c r="BJ6" s="165"/>
      <c r="BK6" s="165"/>
      <c r="BL6" s="165"/>
      <c r="BM6" s="165"/>
      <c r="BN6" s="165"/>
      <c r="BO6" s="165"/>
      <c r="BP6" s="165"/>
      <c r="BQ6" s="165"/>
      <c r="BR6" s="165"/>
      <c r="BS6" s="165"/>
      <c r="BT6" s="165"/>
      <c r="BU6" s="165"/>
      <c r="BV6" s="165"/>
      <c r="BW6" s="165"/>
      <c r="BX6" s="165"/>
      <c r="BY6" s="165"/>
      <c r="BZ6" s="165"/>
      <c r="CA6" s="165"/>
      <c r="CB6" s="165"/>
      <c r="CC6" s="165"/>
      <c r="CD6" s="165"/>
      <c r="CE6" s="165"/>
      <c r="CF6" s="165"/>
      <c r="CG6" s="165"/>
      <c r="CH6" s="165"/>
      <c r="CI6" s="165"/>
      <c r="CJ6" s="165"/>
      <c r="CK6" s="165"/>
      <c r="CL6" s="165"/>
      <c r="CM6" s="165"/>
      <c r="CN6" s="165"/>
      <c r="CO6" s="165"/>
      <c r="CP6" s="165"/>
      <c r="CQ6" s="165"/>
      <c r="CR6" s="165"/>
      <c r="CS6" s="165"/>
      <c r="CT6" s="165"/>
      <c r="CU6" s="165"/>
      <c r="CV6" s="165"/>
      <c r="CW6" s="165"/>
      <c r="CX6" s="165"/>
      <c r="CY6" s="165"/>
      <c r="CZ6" s="165"/>
      <c r="DA6" s="165"/>
      <c r="DB6" s="165"/>
      <c r="DC6" s="165"/>
      <c r="DD6" s="165"/>
      <c r="DE6" s="165"/>
      <c r="DF6" s="165"/>
      <c r="DG6" s="165"/>
      <c r="DH6" s="165"/>
      <c r="DI6" s="165"/>
      <c r="DJ6" s="165"/>
      <c r="DK6" s="165"/>
      <c r="DL6" s="165"/>
      <c r="DM6" s="165"/>
      <c r="DN6" s="165"/>
      <c r="DO6" s="165"/>
      <c r="DP6" s="165"/>
      <c r="DQ6" s="165"/>
      <c r="DR6" s="165"/>
      <c r="DS6" s="165"/>
      <c r="DT6" s="165"/>
      <c r="DU6" s="165"/>
      <c r="DV6" s="165"/>
      <c r="DW6" s="165"/>
      <c r="DX6" s="165"/>
      <c r="DY6" s="165"/>
      <c r="DZ6" s="165"/>
      <c r="EA6" s="165"/>
      <c r="EB6" s="165"/>
      <c r="EC6" s="165"/>
      <c r="ED6" s="165"/>
      <c r="EE6" s="165"/>
      <c r="EF6" s="165"/>
      <c r="EG6" s="165"/>
      <c r="EH6" s="165"/>
      <c r="EI6" s="165"/>
      <c r="EJ6" s="165"/>
      <c r="EK6" s="165"/>
      <c r="EL6" s="165"/>
      <c r="EM6" s="165"/>
      <c r="EN6" s="165"/>
      <c r="EO6" s="165"/>
      <c r="EP6" s="165"/>
      <c r="EQ6" s="165"/>
      <c r="ER6" s="165"/>
      <c r="ES6" s="165"/>
      <c r="ET6" s="165"/>
      <c r="EU6" s="165"/>
      <c r="EV6" s="165"/>
      <c r="EW6" s="165"/>
      <c r="EX6" s="165"/>
      <c r="EY6" s="165"/>
      <c r="EZ6" s="165"/>
      <c r="FA6" s="165"/>
      <c r="FB6" s="165"/>
      <c r="FC6" s="165"/>
      <c r="FD6" s="165"/>
      <c r="FE6" s="165"/>
      <c r="FF6" s="165"/>
      <c r="FG6" s="165"/>
      <c r="FH6" s="165"/>
      <c r="FI6" s="165"/>
      <c r="FJ6" s="165"/>
      <c r="FK6" s="165"/>
      <c r="FL6" s="165"/>
      <c r="FM6" s="165"/>
      <c r="FN6" s="165"/>
      <c r="FO6" s="165"/>
      <c r="FP6" s="165"/>
      <c r="FQ6" s="165"/>
      <c r="FR6" s="165"/>
      <c r="FS6" s="165"/>
      <c r="FT6" s="165"/>
      <c r="FU6" s="165"/>
      <c r="FV6" s="165"/>
      <c r="FW6" s="165"/>
      <c r="FX6" s="165"/>
      <c r="FY6" s="165"/>
      <c r="FZ6" s="165"/>
      <c r="GA6" s="165"/>
      <c r="GB6" s="165"/>
      <c r="GC6" s="165"/>
      <c r="GD6" s="165"/>
      <c r="GE6" s="165"/>
      <c r="GF6" s="165"/>
      <c r="GG6" s="165"/>
      <c r="GH6" s="165"/>
      <c r="GI6" s="165"/>
      <c r="GJ6" s="165"/>
      <c r="GK6" s="165"/>
      <c r="GL6" s="165"/>
      <c r="GM6" s="165"/>
      <c r="GN6" s="165"/>
      <c r="GO6" s="165"/>
      <c r="GP6" s="165"/>
      <c r="GQ6" s="165"/>
      <c r="GR6" s="165"/>
      <c r="GS6" s="165"/>
      <c r="GT6" s="165"/>
      <c r="GU6" s="165"/>
      <c r="GV6" s="165"/>
      <c r="GW6" s="165"/>
      <c r="GX6" s="165"/>
      <c r="GY6" s="165"/>
      <c r="GZ6" s="165"/>
      <c r="HA6" s="165"/>
      <c r="HB6" s="165"/>
      <c r="HC6" s="165"/>
      <c r="HD6" s="165"/>
      <c r="HE6" s="165"/>
      <c r="HF6" s="165"/>
      <c r="HG6" s="165"/>
      <c r="HH6" s="165"/>
      <c r="HI6" s="165"/>
      <c r="HJ6" s="165"/>
      <c r="HK6" s="165"/>
      <c r="HL6" s="165"/>
      <c r="HM6" s="165"/>
      <c r="HN6" s="165"/>
      <c r="HO6" s="165"/>
      <c r="HP6" s="165"/>
      <c r="HQ6" s="165"/>
      <c r="HR6" s="165"/>
      <c r="HS6" s="165"/>
      <c r="HT6" s="165"/>
      <c r="HU6" s="165"/>
      <c r="HV6" s="165"/>
      <c r="HW6" s="165"/>
      <c r="HX6" s="165"/>
    </row>
    <row r="7" spans="1:232" x14ac:dyDescent="0.3">
      <c r="A7" s="176" t="s">
        <v>162</v>
      </c>
      <c r="B7" s="176">
        <v>10331.950000000001</v>
      </c>
      <c r="C7" s="185">
        <f t="shared" si="1"/>
        <v>0.12425392564691849</v>
      </c>
      <c r="D7" s="176">
        <v>9093.9500000000007</v>
      </c>
      <c r="E7" s="185">
        <f t="shared" si="1"/>
        <v>0.1105968248053478</v>
      </c>
      <c r="F7" s="176">
        <v>9257.82</v>
      </c>
      <c r="G7" s="185">
        <f t="shared" si="2"/>
        <v>0.17116882588622911</v>
      </c>
      <c r="H7" s="176">
        <v>5481.65</v>
      </c>
      <c r="I7" s="185">
        <f t="shared" si="3"/>
        <v>6.9781986746941013E-2</v>
      </c>
      <c r="J7" s="176">
        <v>9168.2999999999993</v>
      </c>
      <c r="K7" s="185">
        <f t="shared" si="4"/>
        <v>7.638350596818258E-2</v>
      </c>
      <c r="L7" s="176">
        <v>12099.41</v>
      </c>
      <c r="M7" s="185">
        <f t="shared" si="5"/>
        <v>0.10375459007821076</v>
      </c>
      <c r="N7" s="176">
        <v>12780.44</v>
      </c>
      <c r="O7" s="185">
        <f t="shared" si="6"/>
        <v>0.13414759590173259</v>
      </c>
      <c r="P7" s="176">
        <v>10791.43</v>
      </c>
      <c r="Q7" s="185">
        <f t="shared" si="7"/>
        <v>0.10097697955089444</v>
      </c>
      <c r="R7" s="176">
        <v>12353.84</v>
      </c>
      <c r="S7" s="185">
        <f t="shared" si="8"/>
        <v>0.15778935703772126</v>
      </c>
      <c r="T7" s="176">
        <v>9008.27</v>
      </c>
      <c r="U7" s="185">
        <f t="shared" si="9"/>
        <v>0.13758755517541582</v>
      </c>
      <c r="V7" s="176">
        <v>7513.46</v>
      </c>
      <c r="W7" s="185">
        <f t="shared" ref="W7:W60" si="12">V7/V$2</f>
        <v>5.978059882282475E-2</v>
      </c>
      <c r="X7" s="157">
        <v>13739.17</v>
      </c>
      <c r="Y7" s="185">
        <f t="shared" ref="Y7:Y60" si="13">X7/X$2</f>
        <v>0.10968925169607471</v>
      </c>
      <c r="Z7" s="191">
        <f t="shared" si="0"/>
        <v>10134.974166666669</v>
      </c>
      <c r="AA7" s="185">
        <f t="shared" si="11"/>
        <v>0.10748435668667748</v>
      </c>
      <c r="AB7" s="172">
        <f>L7+N7+P7+R7+T7+V7+X7+J7+H7+F7+D7+B7</f>
        <v>121619.69</v>
      </c>
      <c r="AC7" s="173">
        <f>AB7/AB$2</f>
        <v>0.10748435668667748</v>
      </c>
      <c r="AF7" s="299"/>
      <c r="AG7" s="257"/>
    </row>
    <row r="8" spans="1:232" x14ac:dyDescent="0.3">
      <c r="A8" s="176" t="s">
        <v>26</v>
      </c>
      <c r="B8" s="176">
        <f>SUBTOTAL(9,B9:B13)</f>
        <v>361.44000000000005</v>
      </c>
      <c r="C8" s="185">
        <f t="shared" si="1"/>
        <v>4.3467437304499368E-3</v>
      </c>
      <c r="D8" s="176">
        <f>SUBTOTAL(9,D9:D13)</f>
        <v>1029.1299999999999</v>
      </c>
      <c r="E8" s="185">
        <f t="shared" si="1"/>
        <v>1.2515849582626642E-2</v>
      </c>
      <c r="F8" s="176">
        <f>SUBTOTAL(9,F9:F11)</f>
        <v>326.20999999999998</v>
      </c>
      <c r="G8" s="185">
        <f t="shared" si="2"/>
        <v>6.0313316409637257E-3</v>
      </c>
      <c r="H8" s="176">
        <f>SUBTOTAL(9,H9:H11)</f>
        <v>574.38</v>
      </c>
      <c r="I8" s="185">
        <f t="shared" si="3"/>
        <v>7.311918409184822E-3</v>
      </c>
      <c r="J8" s="176">
        <f>SUBTOTAL(9,J9:J13)</f>
        <v>1005.24</v>
      </c>
      <c r="K8" s="185">
        <f t="shared" si="4"/>
        <v>8.3749174371972844E-3</v>
      </c>
      <c r="L8" s="176">
        <f>SUBTOTAL(9,L9:L11)</f>
        <v>2531.5099999999998</v>
      </c>
      <c r="M8" s="185">
        <f t="shared" si="5"/>
        <v>2.1708147945138756E-2</v>
      </c>
      <c r="N8" s="176">
        <f>SUBTOTAL(9,N9:N11)</f>
        <v>927.41000000000008</v>
      </c>
      <c r="O8" s="185">
        <f t="shared" si="6"/>
        <v>9.7343927059808447E-3</v>
      </c>
      <c r="P8" s="176">
        <f>SUBTOTAL(9,P9:P11)</f>
        <v>1950.77</v>
      </c>
      <c r="Q8" s="185">
        <f t="shared" si="7"/>
        <v>1.8253638525987596E-2</v>
      </c>
      <c r="R8" s="176">
        <f>SUBTOTAL(9,R9:R13)</f>
        <v>1823.13</v>
      </c>
      <c r="S8" s="185">
        <f t="shared" si="8"/>
        <v>2.3285918426673873E-2</v>
      </c>
      <c r="T8" s="176">
        <f>SUBTOTAL(9,T9:T13)</f>
        <v>817.49</v>
      </c>
      <c r="U8" s="185">
        <f t="shared" si="9"/>
        <v>1.248591022253448E-2</v>
      </c>
      <c r="V8" s="176">
        <f>SUBTOTAL(9,V9:V13)</f>
        <v>295.48</v>
      </c>
      <c r="W8" s="185">
        <f t="shared" si="12"/>
        <v>2.3509769587072081E-3</v>
      </c>
      <c r="X8" s="176">
        <f>SUBTOTAL(9,X9:X13)</f>
        <v>808.81999999999994</v>
      </c>
      <c r="Y8" s="185">
        <f t="shared" si="13"/>
        <v>6.4573668246931323E-3</v>
      </c>
      <c r="Z8" s="191">
        <f t="shared" si="0"/>
        <v>1037.5841666666668</v>
      </c>
      <c r="AA8" s="185">
        <f t="shared" si="11"/>
        <v>1.1003882676804948E-2</v>
      </c>
      <c r="AB8" s="172">
        <f>SUBTOTAL(9,AB9:AB13)</f>
        <v>12444.129999999997</v>
      </c>
      <c r="AC8" s="173">
        <f t="shared" ref="AC8:AC13" si="14">AB8/AB$2</f>
        <v>1.0997802309604503E-2</v>
      </c>
      <c r="AF8"/>
      <c r="AG8" s="257"/>
    </row>
    <row r="9" spans="1:232" x14ac:dyDescent="0.3">
      <c r="A9" s="176" t="s">
        <v>142</v>
      </c>
      <c r="B9" s="176">
        <f>258.73+62.1</f>
        <v>320.83000000000004</v>
      </c>
      <c r="C9" s="185">
        <f t="shared" si="1"/>
        <v>3.8583604223114574E-3</v>
      </c>
      <c r="D9" s="176">
        <f>699.99+105</f>
        <v>804.99</v>
      </c>
      <c r="E9" s="185">
        <f t="shared" si="1"/>
        <v>9.7899524409147745E-3</v>
      </c>
      <c r="F9" s="176">
        <f>266+42.56</f>
        <v>308.56</v>
      </c>
      <c r="G9" s="185">
        <f t="shared" si="2"/>
        <v>5.704998899898125E-3</v>
      </c>
      <c r="H9" s="176">
        <f>481.74+92.64</f>
        <v>574.38</v>
      </c>
      <c r="I9" s="185">
        <f t="shared" si="3"/>
        <v>7.311918409184822E-3</v>
      </c>
      <c r="J9" s="176">
        <f>844.4+160.84</f>
        <v>1005.24</v>
      </c>
      <c r="K9" s="185">
        <f t="shared" si="4"/>
        <v>8.3749174371972844E-3</v>
      </c>
      <c r="L9" s="176">
        <f>2032.84+487.88</f>
        <v>2520.7199999999998</v>
      </c>
      <c r="M9" s="185">
        <f t="shared" si="5"/>
        <v>2.1615621778412947E-2</v>
      </c>
      <c r="N9" s="176">
        <v>608.07000000000005</v>
      </c>
      <c r="O9" s="185">
        <f t="shared" si="6"/>
        <v>6.3824976792635109E-3</v>
      </c>
      <c r="P9" s="176">
        <f>1646.33+243.9</f>
        <v>1890.23</v>
      </c>
      <c r="Q9" s="185">
        <f t="shared" si="7"/>
        <v>1.7687156943656884E-2</v>
      </c>
      <c r="R9" s="176">
        <f>755.42+145.27</f>
        <v>900.68999999999994</v>
      </c>
      <c r="S9" s="185">
        <f t="shared" si="8"/>
        <v>1.1504058332494604E-2</v>
      </c>
      <c r="T9" s="176">
        <f>628.77+125.75</f>
        <v>754.52</v>
      </c>
      <c r="U9" s="185">
        <f t="shared" si="9"/>
        <v>1.1524139721717348E-2</v>
      </c>
      <c r="V9" s="176">
        <f>199.3+38.33</f>
        <v>237.63</v>
      </c>
      <c r="W9" s="185">
        <f t="shared" si="12"/>
        <v>1.8906953252253748E-3</v>
      </c>
      <c r="X9" s="176">
        <f>479.83+119.96</f>
        <v>599.79</v>
      </c>
      <c r="Y9" s="185">
        <f t="shared" si="13"/>
        <v>4.788536445417638E-3</v>
      </c>
      <c r="Z9" s="191">
        <f t="shared" si="0"/>
        <v>877.13749999999982</v>
      </c>
      <c r="AA9" s="185">
        <f t="shared" si="11"/>
        <v>9.3022989859547107E-3</v>
      </c>
      <c r="AB9" s="172">
        <f>L9+N9+P9+R9+T9+V9+X9+J9+H9+F9+D9+B9</f>
        <v>10525.649999999998</v>
      </c>
      <c r="AC9" s="173">
        <f t="shared" si="14"/>
        <v>9.3022989859547125E-3</v>
      </c>
      <c r="AF9" s="299"/>
      <c r="AG9" s="257"/>
    </row>
    <row r="10" spans="1:232" x14ac:dyDescent="0.3">
      <c r="A10" s="176" t="s">
        <v>197</v>
      </c>
      <c r="B10" s="176"/>
      <c r="C10" s="185"/>
      <c r="D10" s="176"/>
      <c r="E10" s="185"/>
      <c r="F10" s="176"/>
      <c r="G10" s="185"/>
      <c r="H10" s="176"/>
      <c r="I10" s="185"/>
      <c r="J10" s="176"/>
      <c r="K10" s="185"/>
      <c r="L10" s="176"/>
      <c r="M10" s="185"/>
      <c r="N10" s="176"/>
      <c r="O10" s="185"/>
      <c r="P10" s="176"/>
      <c r="Q10" s="185"/>
      <c r="R10" s="176"/>
      <c r="S10" s="185"/>
      <c r="T10" s="176"/>
      <c r="U10" s="185"/>
      <c r="V10" s="176"/>
      <c r="W10" s="185"/>
      <c r="X10" s="176"/>
      <c r="Y10" s="185"/>
      <c r="Z10" s="191"/>
      <c r="AA10" s="185"/>
      <c r="AB10" s="172"/>
      <c r="AC10" s="173">
        <f t="shared" si="14"/>
        <v>0</v>
      </c>
      <c r="AF10"/>
      <c r="AG10" s="257"/>
    </row>
    <row r="11" spans="1:232" x14ac:dyDescent="0.3">
      <c r="A11" s="176" t="s">
        <v>187</v>
      </c>
      <c r="B11" s="176">
        <v>36.29</v>
      </c>
      <c r="C11" s="185">
        <f t="shared" si="1"/>
        <v>4.3643019582234442E-4</v>
      </c>
      <c r="D11" s="176">
        <v>108.32</v>
      </c>
      <c r="E11" s="185">
        <f t="shared" si="1"/>
        <v>1.3173426358090018E-3</v>
      </c>
      <c r="F11" s="176">
        <v>17.649999999999999</v>
      </c>
      <c r="G11" s="185">
        <f t="shared" si="2"/>
        <v>3.2633274106560117E-4</v>
      </c>
      <c r="H11" s="176"/>
      <c r="I11" s="185">
        <f t="shared" si="3"/>
        <v>0</v>
      </c>
      <c r="J11" s="176"/>
      <c r="K11" s="185">
        <f t="shared" si="4"/>
        <v>0</v>
      </c>
      <c r="L11" s="176">
        <f>8.7+2.09</f>
        <v>10.79</v>
      </c>
      <c r="M11" s="185">
        <f t="shared" si="5"/>
        <v>9.25261667258068E-5</v>
      </c>
      <c r="N11" s="176">
        <v>319.33999999999997</v>
      </c>
      <c r="O11" s="185">
        <f t="shared" si="6"/>
        <v>3.3518950267173338E-3</v>
      </c>
      <c r="P11" s="176">
        <f>52.73+7.81</f>
        <v>60.54</v>
      </c>
      <c r="Q11" s="185">
        <f t="shared" si="7"/>
        <v>5.6648158233071509E-4</v>
      </c>
      <c r="R11" s="176">
        <f>870.63+43.45+8.36</f>
        <v>922.44</v>
      </c>
      <c r="S11" s="185">
        <f t="shared" si="8"/>
        <v>1.1781860094179267E-2</v>
      </c>
      <c r="T11" s="176">
        <f>46.74+9.35</f>
        <v>56.09</v>
      </c>
      <c r="U11" s="185">
        <f t="shared" si="9"/>
        <v>8.566890168466391E-4</v>
      </c>
      <c r="V11" s="176">
        <f>48.52+9.33</f>
        <v>57.85</v>
      </c>
      <c r="W11" s="185">
        <f t="shared" si="12"/>
        <v>4.6028163348183285E-4</v>
      </c>
      <c r="X11" s="176">
        <f>167.22+41.81</f>
        <v>209.03</v>
      </c>
      <c r="Y11" s="185">
        <f t="shared" si="13"/>
        <v>1.6688303792754947E-3</v>
      </c>
      <c r="Z11" s="191">
        <f t="shared" si="0"/>
        <v>149.86166666666665</v>
      </c>
      <c r="AA11" s="185">
        <f t="shared" si="11"/>
        <v>1.589326678960615E-3</v>
      </c>
      <c r="AB11" s="172">
        <f>L11+N11+P11+R11+T11+V11+X11+J11+H11+F11+D11+B11</f>
        <v>1798.34</v>
      </c>
      <c r="AC11" s="173">
        <f t="shared" si="14"/>
        <v>1.5893266789606154E-3</v>
      </c>
      <c r="AF11" s="299"/>
      <c r="AG11" s="257"/>
    </row>
    <row r="12" spans="1:232" x14ac:dyDescent="0.3">
      <c r="A12" s="176" t="s">
        <v>196</v>
      </c>
      <c r="B12" s="176"/>
      <c r="C12" s="185"/>
      <c r="D12" s="176"/>
      <c r="E12" s="185"/>
      <c r="F12" s="176"/>
      <c r="G12" s="185"/>
      <c r="H12" s="176"/>
      <c r="I12" s="185"/>
      <c r="J12" s="176"/>
      <c r="K12" s="185"/>
      <c r="L12" s="176"/>
      <c r="M12" s="185"/>
      <c r="N12" s="176"/>
      <c r="O12" s="185"/>
      <c r="P12" s="176"/>
      <c r="Q12" s="185"/>
      <c r="R12" s="266"/>
      <c r="S12" s="185"/>
      <c r="T12" s="176">
        <v>6.88</v>
      </c>
      <c r="U12" s="185">
        <f t="shared" si="9"/>
        <v>1.0508148397049165E-4</v>
      </c>
      <c r="V12" s="176"/>
      <c r="W12" s="185"/>
      <c r="X12" s="176"/>
      <c r="Y12" s="185"/>
      <c r="Z12" s="191"/>
      <c r="AA12" s="185"/>
      <c r="AB12" s="172"/>
      <c r="AC12" s="173">
        <f t="shared" si="14"/>
        <v>0</v>
      </c>
      <c r="AF12"/>
      <c r="AG12" s="257"/>
    </row>
    <row r="13" spans="1:232" x14ac:dyDescent="0.3">
      <c r="A13" s="157" t="s">
        <v>194</v>
      </c>
      <c r="B13" s="157">
        <v>4.32</v>
      </c>
      <c r="C13" s="185">
        <f t="shared" si="1"/>
        <v>5.1953112316134694E-5</v>
      </c>
      <c r="D13" s="157">
        <v>115.82</v>
      </c>
      <c r="E13" s="185">
        <f t="shared" si="1"/>
        <v>1.4085545059028674E-3</v>
      </c>
      <c r="F13" s="157"/>
      <c r="G13" s="185">
        <f t="shared" si="2"/>
        <v>0</v>
      </c>
      <c r="H13" s="157"/>
      <c r="I13" s="185">
        <f t="shared" si="3"/>
        <v>0</v>
      </c>
      <c r="J13" s="157"/>
      <c r="K13" s="185">
        <f t="shared" si="4"/>
        <v>0</v>
      </c>
      <c r="L13" s="157"/>
      <c r="M13" s="185">
        <f t="shared" si="5"/>
        <v>0</v>
      </c>
      <c r="N13" s="157"/>
      <c r="O13" s="185">
        <f t="shared" si="6"/>
        <v>0</v>
      </c>
      <c r="P13" s="157"/>
      <c r="Q13" s="185">
        <f t="shared" si="7"/>
        <v>0</v>
      </c>
      <c r="R13" s="157"/>
      <c r="S13" s="185">
        <f t="shared" si="8"/>
        <v>0</v>
      </c>
      <c r="T13" s="157"/>
      <c r="U13" s="185">
        <f t="shared" si="9"/>
        <v>0</v>
      </c>
      <c r="V13" s="157"/>
      <c r="W13" s="185">
        <f t="shared" si="12"/>
        <v>0</v>
      </c>
      <c r="X13" s="157"/>
      <c r="Y13" s="185">
        <f t="shared" si="13"/>
        <v>0</v>
      </c>
      <c r="Z13" s="191">
        <f t="shared" si="0"/>
        <v>10.011666666666665</v>
      </c>
      <c r="AA13" s="185">
        <f t="shared" si="11"/>
        <v>1.061766446891735E-4</v>
      </c>
      <c r="AB13" s="172">
        <f t="shared" ref="AB13" si="15">L13+N13+P13+R13+T13+V13+X13+J13+H13+F13+D13+B13</f>
        <v>120.13999999999999</v>
      </c>
      <c r="AC13" s="173">
        <f t="shared" si="14"/>
        <v>1.0617664468917353E-4</v>
      </c>
      <c r="AF13" s="299"/>
      <c r="AG13" s="257"/>
    </row>
    <row r="14" spans="1:232" s="240" customFormat="1" x14ac:dyDescent="0.3">
      <c r="A14" s="233" t="s">
        <v>8</v>
      </c>
      <c r="B14" s="234">
        <f>B2-B6</f>
        <v>72458.509999999995</v>
      </c>
      <c r="C14" s="235">
        <f>B14/B$2</f>
        <v>0.87139933062263164</v>
      </c>
      <c r="D14" s="234">
        <f>D2-D6</f>
        <v>72103.06</v>
      </c>
      <c r="E14" s="235">
        <f>D14/D$2</f>
        <v>0.87688732561202554</v>
      </c>
      <c r="F14" s="234">
        <f>F2-F6</f>
        <v>44501.87</v>
      </c>
      <c r="G14" s="235">
        <f t="shared" si="2"/>
        <v>0.82279984247280713</v>
      </c>
      <c r="H14" s="234">
        <f>H2-H6</f>
        <v>72497.91</v>
      </c>
      <c r="I14" s="235">
        <f t="shared" si="3"/>
        <v>0.9229060948438742</v>
      </c>
      <c r="J14" s="234">
        <f>J2-J6</f>
        <v>109856.3</v>
      </c>
      <c r="K14" s="235">
        <f t="shared" si="4"/>
        <v>0.91524157659462024</v>
      </c>
      <c r="L14" s="234">
        <f>L2-L6</f>
        <v>101984.74</v>
      </c>
      <c r="M14" s="235">
        <f t="shared" si="5"/>
        <v>0.87453726197665049</v>
      </c>
      <c r="N14" s="234">
        <f>N2-N6</f>
        <v>81563.63</v>
      </c>
      <c r="O14" s="235">
        <f t="shared" si="6"/>
        <v>0.85611801139228649</v>
      </c>
      <c r="P14" s="234">
        <f>P2-P6</f>
        <v>94128.000000000015</v>
      </c>
      <c r="Q14" s="235">
        <f t="shared" si="7"/>
        <v>0.88076938192311804</v>
      </c>
      <c r="R14" s="234">
        <f>R2-R6</f>
        <v>64116.270000000004</v>
      </c>
      <c r="S14" s="235">
        <f t="shared" si="8"/>
        <v>0.81892472453560483</v>
      </c>
      <c r="T14" s="234">
        <f>T2-T6</f>
        <v>55647.24</v>
      </c>
      <c r="U14" s="235">
        <f t="shared" si="9"/>
        <v>0.8499265346020497</v>
      </c>
      <c r="V14" s="234">
        <f>V2-V6</f>
        <v>117874.98</v>
      </c>
      <c r="W14" s="235">
        <f t="shared" si="12"/>
        <v>0.93786842421846806</v>
      </c>
      <c r="X14" s="234">
        <f>X2-X6</f>
        <v>110707.4</v>
      </c>
      <c r="Y14" s="235">
        <f t="shared" si="13"/>
        <v>0.88385338147923209</v>
      </c>
      <c r="Z14" s="242">
        <f t="shared" si="0"/>
        <v>83119.992500000008</v>
      </c>
      <c r="AA14" s="235">
        <f t="shared" si="11"/>
        <v>0.88151176063651759</v>
      </c>
      <c r="AB14" s="234">
        <f>SUM(AB2-AB6)</f>
        <v>997446.7899999998</v>
      </c>
      <c r="AC14" s="241">
        <f>AB14/AB$2</f>
        <v>0.88151784100371799</v>
      </c>
      <c r="AD14" s="165"/>
      <c r="AE14" s="165"/>
      <c r="AF14"/>
      <c r="AG14" s="257"/>
      <c r="AH14" s="165"/>
      <c r="AI14" s="165"/>
      <c r="AJ14" s="165"/>
      <c r="AK14" s="165"/>
      <c r="AL14" s="165"/>
      <c r="AM14" s="165"/>
      <c r="AN14" s="165"/>
      <c r="AO14" s="165"/>
      <c r="AP14" s="165"/>
      <c r="AQ14" s="165"/>
      <c r="AR14" s="165"/>
      <c r="AS14" s="165"/>
      <c r="AT14" s="165"/>
      <c r="AU14" s="165"/>
      <c r="AV14" s="165"/>
      <c r="AW14" s="165"/>
      <c r="AX14" s="165"/>
      <c r="AY14" s="165"/>
      <c r="AZ14" s="165"/>
      <c r="BA14" s="165"/>
      <c r="BB14" s="165"/>
      <c r="BC14" s="165"/>
      <c r="BD14" s="165"/>
      <c r="BE14" s="165"/>
      <c r="BF14" s="165"/>
      <c r="BG14" s="165"/>
      <c r="BH14" s="165"/>
      <c r="BI14" s="165"/>
      <c r="BJ14" s="165"/>
      <c r="BK14" s="165"/>
      <c r="BL14" s="165"/>
      <c r="BM14" s="165"/>
      <c r="BN14" s="165"/>
      <c r="BO14" s="165"/>
      <c r="BP14" s="165"/>
      <c r="BQ14" s="165"/>
      <c r="BR14" s="165"/>
      <c r="BS14" s="165"/>
      <c r="BT14" s="165"/>
      <c r="BU14" s="165"/>
      <c r="BV14" s="165"/>
      <c r="BW14" s="165"/>
      <c r="BX14" s="165"/>
      <c r="BY14" s="165"/>
      <c r="BZ14" s="165"/>
      <c r="CA14" s="165"/>
      <c r="CB14" s="165"/>
      <c r="CC14" s="165"/>
      <c r="CD14" s="165"/>
      <c r="CE14" s="165"/>
      <c r="CF14" s="165"/>
      <c r="CG14" s="165"/>
      <c r="CH14" s="165"/>
      <c r="CI14" s="165"/>
      <c r="CJ14" s="165"/>
      <c r="CK14" s="165"/>
      <c r="CL14" s="165"/>
      <c r="CM14" s="165"/>
      <c r="CN14" s="165"/>
      <c r="CO14" s="165"/>
      <c r="CP14" s="165"/>
      <c r="CQ14" s="165"/>
      <c r="CR14" s="165"/>
      <c r="CS14" s="165"/>
      <c r="CT14" s="165"/>
      <c r="CU14" s="165"/>
      <c r="CV14" s="165"/>
      <c r="CW14" s="165"/>
      <c r="CX14" s="165"/>
      <c r="CY14" s="165"/>
      <c r="CZ14" s="165"/>
      <c r="DA14" s="165"/>
      <c r="DB14" s="165"/>
      <c r="DC14" s="165"/>
      <c r="DD14" s="165"/>
      <c r="DE14" s="165"/>
      <c r="DF14" s="165"/>
      <c r="DG14" s="165"/>
      <c r="DH14" s="165"/>
      <c r="DI14" s="165"/>
      <c r="DJ14" s="165"/>
      <c r="DK14" s="165"/>
      <c r="DL14" s="165"/>
      <c r="DM14" s="165"/>
      <c r="DN14" s="165"/>
      <c r="DO14" s="165"/>
      <c r="DP14" s="165"/>
      <c r="DQ14" s="165"/>
      <c r="DR14" s="165"/>
      <c r="DS14" s="165"/>
      <c r="DT14" s="165"/>
      <c r="DU14" s="165"/>
      <c r="DV14" s="165"/>
      <c r="DW14" s="165"/>
      <c r="DX14" s="165"/>
      <c r="DY14" s="165"/>
      <c r="DZ14" s="165"/>
      <c r="EA14" s="165"/>
      <c r="EB14" s="165"/>
      <c r="EC14" s="165"/>
      <c r="ED14" s="165"/>
      <c r="EE14" s="165"/>
      <c r="EF14" s="165"/>
      <c r="EG14" s="165"/>
      <c r="EH14" s="165"/>
      <c r="EI14" s="165"/>
      <c r="EJ14" s="165"/>
      <c r="EK14" s="165"/>
      <c r="EL14" s="165"/>
      <c r="EM14" s="165"/>
      <c r="EN14" s="165"/>
      <c r="EO14" s="165"/>
      <c r="EP14" s="165"/>
      <c r="EQ14" s="165"/>
      <c r="ER14" s="165"/>
      <c r="ES14" s="165"/>
      <c r="ET14" s="165"/>
      <c r="EU14" s="165"/>
      <c r="EV14" s="165"/>
      <c r="EW14" s="165"/>
      <c r="EX14" s="165"/>
      <c r="EY14" s="165"/>
      <c r="EZ14" s="165"/>
      <c r="FA14" s="165"/>
      <c r="FB14" s="165"/>
      <c r="FC14" s="165"/>
      <c r="FD14" s="165"/>
      <c r="FE14" s="165"/>
      <c r="FF14" s="165"/>
      <c r="FG14" s="165"/>
      <c r="FH14" s="165"/>
      <c r="FI14" s="165"/>
      <c r="FJ14" s="165"/>
      <c r="FK14" s="165"/>
      <c r="FL14" s="165"/>
      <c r="FM14" s="165"/>
      <c r="FN14" s="165"/>
      <c r="FO14" s="165"/>
      <c r="FP14" s="165"/>
      <c r="FQ14" s="165"/>
      <c r="FR14" s="165"/>
      <c r="FS14" s="165"/>
      <c r="FT14" s="165"/>
      <c r="FU14" s="165"/>
      <c r="FV14" s="165"/>
      <c r="FW14" s="165"/>
      <c r="FX14" s="165"/>
      <c r="FY14" s="165"/>
      <c r="FZ14" s="165"/>
      <c r="GA14" s="165"/>
      <c r="GB14" s="165"/>
      <c r="GC14" s="165"/>
      <c r="GD14" s="165"/>
      <c r="GE14" s="165"/>
      <c r="GF14" s="165"/>
      <c r="GG14" s="165"/>
      <c r="GH14" s="165"/>
      <c r="GI14" s="165"/>
      <c r="GJ14" s="165"/>
      <c r="GK14" s="165"/>
      <c r="GL14" s="165"/>
      <c r="GM14" s="165"/>
      <c r="GN14" s="165"/>
      <c r="GO14" s="165"/>
      <c r="GP14" s="165"/>
      <c r="GQ14" s="165"/>
      <c r="GR14" s="165"/>
      <c r="GS14" s="165"/>
      <c r="GT14" s="165"/>
      <c r="GU14" s="165"/>
      <c r="GV14" s="165"/>
      <c r="GW14" s="165"/>
      <c r="GX14" s="165"/>
      <c r="GY14" s="165"/>
      <c r="GZ14" s="165"/>
      <c r="HA14" s="165"/>
      <c r="HB14" s="165"/>
      <c r="HC14" s="165"/>
      <c r="HD14" s="165"/>
      <c r="HE14" s="165"/>
      <c r="HF14" s="165"/>
      <c r="HG14" s="165"/>
      <c r="HH14" s="165"/>
      <c r="HI14" s="165"/>
      <c r="HJ14" s="165"/>
      <c r="HK14" s="165"/>
      <c r="HL14" s="165"/>
      <c r="HM14" s="165"/>
      <c r="HN14" s="165"/>
      <c r="HO14" s="165"/>
      <c r="HP14" s="165"/>
      <c r="HQ14" s="165"/>
      <c r="HR14" s="165"/>
      <c r="HS14" s="165"/>
      <c r="HT14" s="165"/>
      <c r="HU14" s="165"/>
      <c r="HV14" s="165"/>
      <c r="HW14" s="165"/>
      <c r="HX14" s="165"/>
    </row>
    <row r="15" spans="1:232" s="240" customFormat="1" x14ac:dyDescent="0.3">
      <c r="A15" s="233" t="s">
        <v>106</v>
      </c>
      <c r="B15" s="234">
        <f>SUBTOTAL(9,B16:B53)</f>
        <v>56456.14</v>
      </c>
      <c r="C15" s="235">
        <f t="shared" ref="C15:C60" si="16">B15/B$2</f>
        <v>0.67895189406375567</v>
      </c>
      <c r="D15" s="234">
        <f>SUBTOTAL(9,D16:D53)</f>
        <v>32138.920000000002</v>
      </c>
      <c r="E15" s="235">
        <f t="shared" ref="E15:E60" si="17">D15/D$2</f>
        <v>0.39086013279961823</v>
      </c>
      <c r="F15" s="234">
        <f>SUBTOTAL(9,F16:F53)</f>
        <v>43138.64</v>
      </c>
      <c r="G15" s="235">
        <f t="shared" si="2"/>
        <v>0.79759493694290007</v>
      </c>
      <c r="H15" s="234">
        <f>SUBTOTAL(9,H16:H53)</f>
        <v>36785.370000000003</v>
      </c>
      <c r="I15" s="235">
        <f t="shared" si="3"/>
        <v>0.46828166734857607</v>
      </c>
      <c r="J15" s="234">
        <f>SUBTOTAL(9,J16:J53)</f>
        <v>45316.660000000011</v>
      </c>
      <c r="K15" s="235">
        <f t="shared" si="4"/>
        <v>0.37754495048897851</v>
      </c>
      <c r="L15" s="234">
        <f>SUBTOTAL(9,L16:L53)</f>
        <v>35768.289999999994</v>
      </c>
      <c r="M15" s="235">
        <f t="shared" si="5"/>
        <v>0.30671944059657164</v>
      </c>
      <c r="N15" s="234">
        <f>SUBTOTAL(9,N16:N53)</f>
        <v>35186.640000000007</v>
      </c>
      <c r="O15" s="235">
        <f t="shared" si="6"/>
        <v>0.369330254972422</v>
      </c>
      <c r="P15" s="234">
        <f>SUBTOTAL(9,P16:P53)</f>
        <v>40413.750000000015</v>
      </c>
      <c r="Q15" s="235">
        <f t="shared" si="7"/>
        <v>0.3781573347855624</v>
      </c>
      <c r="R15" s="234">
        <f>SUBTOTAL(9,R16:R53)</f>
        <v>47208.849999999991</v>
      </c>
      <c r="S15" s="235">
        <f t="shared" si="8"/>
        <v>0.60297479067158277</v>
      </c>
      <c r="T15" s="234">
        <f>SUBTOTAL(9,T16:T53)</f>
        <v>50052.700000000012</v>
      </c>
      <c r="U15" s="235">
        <f t="shared" si="9"/>
        <v>0.76447848731538204</v>
      </c>
      <c r="V15" s="234">
        <f>SUBTOTAL(9,V16:V53)</f>
        <v>64449.489999999991</v>
      </c>
      <c r="W15" s="235">
        <f t="shared" si="12"/>
        <v>0.51279025988368276</v>
      </c>
      <c r="X15" s="234">
        <f>SUBTOTAL(9,X16:X53)</f>
        <v>65338.450000000012</v>
      </c>
      <c r="Y15" s="235">
        <f t="shared" si="13"/>
        <v>0.52164182315826901</v>
      </c>
      <c r="Z15" s="242">
        <f t="shared" si="0"/>
        <v>46021.158333333333</v>
      </c>
      <c r="AA15" s="235">
        <f t="shared" si="11"/>
        <v>0.48806780521483573</v>
      </c>
      <c r="AB15" s="243">
        <f>SUBTOTAL(9,AB16:AB53)</f>
        <v>552253.89999999991</v>
      </c>
      <c r="AC15" s="244">
        <f>AB15/AB$2</f>
        <v>0.48806780521483573</v>
      </c>
      <c r="AD15" s="165"/>
      <c r="AE15" s="165"/>
      <c r="AF15" s="299"/>
      <c r="AG15" s="257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  <c r="AT15" s="165"/>
      <c r="AU15" s="165"/>
      <c r="AV15" s="165"/>
      <c r="AW15" s="165"/>
      <c r="AX15" s="165"/>
      <c r="AY15" s="165"/>
      <c r="AZ15" s="165"/>
      <c r="BA15" s="165"/>
      <c r="BB15" s="165"/>
      <c r="BC15" s="165"/>
      <c r="BD15" s="165"/>
      <c r="BE15" s="165"/>
      <c r="BF15" s="165"/>
      <c r="BG15" s="165"/>
      <c r="BH15" s="165"/>
      <c r="BI15" s="165"/>
      <c r="BJ15" s="165"/>
      <c r="BK15" s="165"/>
      <c r="BL15" s="165"/>
      <c r="BM15" s="165"/>
      <c r="BN15" s="165"/>
      <c r="BO15" s="165"/>
      <c r="BP15" s="165"/>
      <c r="BQ15" s="165"/>
      <c r="BR15" s="165"/>
      <c r="BS15" s="165"/>
      <c r="BT15" s="165"/>
      <c r="BU15" s="165"/>
      <c r="BV15" s="165"/>
      <c r="BW15" s="165"/>
      <c r="BX15" s="165"/>
      <c r="BY15" s="165"/>
      <c r="BZ15" s="165"/>
      <c r="CA15" s="165"/>
      <c r="CB15" s="165"/>
      <c r="CC15" s="165"/>
      <c r="CD15" s="165"/>
      <c r="CE15" s="165"/>
      <c r="CF15" s="165"/>
      <c r="CG15" s="165"/>
      <c r="CH15" s="165"/>
      <c r="CI15" s="165"/>
      <c r="CJ15" s="165"/>
      <c r="CK15" s="165"/>
      <c r="CL15" s="165"/>
      <c r="CM15" s="165"/>
      <c r="CN15" s="165"/>
      <c r="CO15" s="165"/>
      <c r="CP15" s="165"/>
      <c r="CQ15" s="165"/>
      <c r="CR15" s="165"/>
      <c r="CS15" s="165"/>
      <c r="CT15" s="165"/>
      <c r="CU15" s="165"/>
      <c r="CV15" s="165"/>
      <c r="CW15" s="165"/>
      <c r="CX15" s="165"/>
      <c r="CY15" s="165"/>
      <c r="CZ15" s="165"/>
      <c r="DA15" s="165"/>
      <c r="DB15" s="165"/>
      <c r="DC15" s="165"/>
      <c r="DD15" s="165"/>
      <c r="DE15" s="165"/>
      <c r="DF15" s="165"/>
      <c r="DG15" s="165"/>
      <c r="DH15" s="165"/>
      <c r="DI15" s="165"/>
      <c r="DJ15" s="165"/>
      <c r="DK15" s="165"/>
      <c r="DL15" s="165"/>
      <c r="DM15" s="165"/>
      <c r="DN15" s="165"/>
      <c r="DO15" s="165"/>
      <c r="DP15" s="165"/>
      <c r="DQ15" s="165"/>
      <c r="DR15" s="165"/>
      <c r="DS15" s="165"/>
      <c r="DT15" s="165"/>
      <c r="DU15" s="165"/>
      <c r="DV15" s="165"/>
      <c r="DW15" s="165"/>
      <c r="DX15" s="165"/>
      <c r="DY15" s="165"/>
      <c r="DZ15" s="165"/>
      <c r="EA15" s="165"/>
      <c r="EB15" s="165"/>
      <c r="EC15" s="165"/>
      <c r="ED15" s="165"/>
      <c r="EE15" s="165"/>
      <c r="EF15" s="165"/>
      <c r="EG15" s="165"/>
      <c r="EH15" s="165"/>
      <c r="EI15" s="165"/>
      <c r="EJ15" s="165"/>
      <c r="EK15" s="165"/>
      <c r="EL15" s="165"/>
      <c r="EM15" s="165"/>
      <c r="EN15" s="165"/>
      <c r="EO15" s="165"/>
      <c r="EP15" s="165"/>
      <c r="EQ15" s="165"/>
      <c r="ER15" s="165"/>
      <c r="ES15" s="165"/>
      <c r="ET15" s="165"/>
      <c r="EU15" s="165"/>
      <c r="EV15" s="165"/>
      <c r="EW15" s="165"/>
      <c r="EX15" s="165"/>
      <c r="EY15" s="165"/>
      <c r="EZ15" s="165"/>
      <c r="FA15" s="165"/>
      <c r="FB15" s="165"/>
      <c r="FC15" s="165"/>
      <c r="FD15" s="165"/>
      <c r="FE15" s="165"/>
      <c r="FF15" s="165"/>
      <c r="FG15" s="165"/>
      <c r="FH15" s="165"/>
      <c r="FI15" s="165"/>
      <c r="FJ15" s="165"/>
      <c r="FK15" s="165"/>
      <c r="FL15" s="165"/>
      <c r="FM15" s="165"/>
      <c r="FN15" s="165"/>
      <c r="FO15" s="165"/>
      <c r="FP15" s="165"/>
      <c r="FQ15" s="165"/>
      <c r="FR15" s="165"/>
      <c r="FS15" s="165"/>
      <c r="FT15" s="165"/>
      <c r="FU15" s="165"/>
      <c r="FV15" s="165"/>
      <c r="FW15" s="165"/>
      <c r="FX15" s="165"/>
      <c r="FY15" s="165"/>
      <c r="FZ15" s="165"/>
      <c r="GA15" s="165"/>
      <c r="GB15" s="165"/>
      <c r="GC15" s="165"/>
      <c r="GD15" s="165"/>
      <c r="GE15" s="165"/>
      <c r="GF15" s="165"/>
      <c r="GG15" s="165"/>
      <c r="GH15" s="165"/>
      <c r="GI15" s="165"/>
      <c r="GJ15" s="165"/>
      <c r="GK15" s="165"/>
      <c r="GL15" s="165"/>
      <c r="GM15" s="165"/>
      <c r="GN15" s="165"/>
      <c r="GO15" s="165"/>
      <c r="GP15" s="165"/>
      <c r="GQ15" s="165"/>
      <c r="GR15" s="165"/>
      <c r="GS15" s="165"/>
      <c r="GT15" s="165"/>
      <c r="GU15" s="165"/>
      <c r="GV15" s="165"/>
      <c r="GW15" s="165"/>
      <c r="GX15" s="165"/>
      <c r="GY15" s="165"/>
      <c r="GZ15" s="165"/>
      <c r="HA15" s="165"/>
      <c r="HB15" s="165"/>
      <c r="HC15" s="165"/>
      <c r="HD15" s="165"/>
      <c r="HE15" s="165"/>
      <c r="HF15" s="165"/>
      <c r="HG15" s="165"/>
      <c r="HH15" s="165"/>
      <c r="HI15" s="165"/>
      <c r="HJ15" s="165"/>
      <c r="HK15" s="165"/>
      <c r="HL15" s="165"/>
      <c r="HM15" s="165"/>
      <c r="HN15" s="165"/>
      <c r="HO15" s="165"/>
      <c r="HP15" s="165"/>
      <c r="HQ15" s="165"/>
      <c r="HR15" s="165"/>
      <c r="HS15" s="165"/>
      <c r="HT15" s="165"/>
      <c r="HU15" s="165"/>
      <c r="HV15" s="165"/>
      <c r="HW15" s="165"/>
      <c r="HX15" s="165"/>
    </row>
    <row r="16" spans="1:232" x14ac:dyDescent="0.3">
      <c r="A16" s="157" t="s">
        <v>19</v>
      </c>
      <c r="B16" s="157">
        <v>961.93</v>
      </c>
      <c r="C16" s="185">
        <f t="shared" si="16"/>
        <v>1.1568346604226723E-2</v>
      </c>
      <c r="D16" s="157">
        <v>351.65</v>
      </c>
      <c r="E16" s="185">
        <f t="shared" si="17"/>
        <v>4.2766205491343752E-3</v>
      </c>
      <c r="F16" s="157">
        <v>375.99</v>
      </c>
      <c r="G16" s="185">
        <f t="shared" si="2"/>
        <v>6.9517193945187192E-3</v>
      </c>
      <c r="H16" s="157">
        <v>375.99</v>
      </c>
      <c r="I16" s="185">
        <f t="shared" si="3"/>
        <v>4.7863926367028818E-3</v>
      </c>
      <c r="J16" s="157">
        <v>327.31</v>
      </c>
      <c r="K16" s="185">
        <f t="shared" si="4"/>
        <v>2.7269052428962664E-3</v>
      </c>
      <c r="L16" s="157">
        <v>375.99</v>
      </c>
      <c r="M16" s="185">
        <f t="shared" si="5"/>
        <v>3.224181040522345E-3</v>
      </c>
      <c r="N16" s="157">
        <v>354.97</v>
      </c>
      <c r="O16" s="185">
        <f t="shared" si="6"/>
        <v>3.7258789303997375E-3</v>
      </c>
      <c r="P16" s="157">
        <v>363.65</v>
      </c>
      <c r="Q16" s="185">
        <f t="shared" si="7"/>
        <v>3.4027259235970358E-3</v>
      </c>
      <c r="R16" s="157">
        <v>363.65</v>
      </c>
      <c r="S16" s="185">
        <f t="shared" si="8"/>
        <v>4.6447177304196376E-3</v>
      </c>
      <c r="T16" s="157">
        <v>363.65</v>
      </c>
      <c r="U16" s="185">
        <f t="shared" si="9"/>
        <v>5.554197913643792E-3</v>
      </c>
      <c r="V16" s="157">
        <v>372.33</v>
      </c>
      <c r="W16" s="185">
        <f t="shared" si="12"/>
        <v>2.9624314709471187E-3</v>
      </c>
      <c r="X16" s="157">
        <v>396.77</v>
      </c>
      <c r="Y16" s="185">
        <f t="shared" si="13"/>
        <v>3.1676880332255561E-3</v>
      </c>
      <c r="Z16" s="191">
        <f t="shared" si="0"/>
        <v>415.32333333333327</v>
      </c>
      <c r="AA16" s="185">
        <f t="shared" si="11"/>
        <v>4.4046250701970874E-3</v>
      </c>
      <c r="AB16" s="172">
        <f>L16+N16+P16+R16+T16+V16+X16+J16+H16+F16+D16+B16</f>
        <v>4983.88</v>
      </c>
      <c r="AC16" s="173">
        <f>AB16/AB$2</f>
        <v>4.4046250701970891E-3</v>
      </c>
      <c r="AF16"/>
    </row>
    <row r="17" spans="1:32" x14ac:dyDescent="0.3">
      <c r="A17" s="157" t="s">
        <v>160</v>
      </c>
      <c r="B17" s="176">
        <v>528.17999999999995</v>
      </c>
      <c r="C17" s="185">
        <f t="shared" si="16"/>
        <v>6.3519895516518559E-3</v>
      </c>
      <c r="D17" s="176">
        <v>551.84</v>
      </c>
      <c r="E17" s="185">
        <f t="shared" si="17"/>
        <v>6.7112477856798337E-3</v>
      </c>
      <c r="F17" s="176">
        <v>551.84</v>
      </c>
      <c r="G17" s="185">
        <f t="shared" si="2"/>
        <v>1.020302888553209E-2</v>
      </c>
      <c r="H17" s="176">
        <v>551.84</v>
      </c>
      <c r="I17" s="185">
        <f t="shared" si="3"/>
        <v>7.0249818150432686E-3</v>
      </c>
      <c r="J17" s="176">
        <v>551.84</v>
      </c>
      <c r="K17" s="185">
        <f t="shared" si="4"/>
        <v>4.5975234158439271E-3</v>
      </c>
      <c r="L17" s="176">
        <v>551.84</v>
      </c>
      <c r="M17" s="185">
        <f t="shared" si="5"/>
        <v>4.7321260283567403E-3</v>
      </c>
      <c r="N17" s="176">
        <v>551.84</v>
      </c>
      <c r="O17" s="185">
        <f t="shared" si="6"/>
        <v>5.7922895708138467E-3</v>
      </c>
      <c r="P17" s="176">
        <v>551.84</v>
      </c>
      <c r="Q17" s="185">
        <f t="shared" si="7"/>
        <v>5.1636471158470736E-3</v>
      </c>
      <c r="R17" s="176">
        <v>551.84</v>
      </c>
      <c r="S17" s="185">
        <f t="shared" si="8"/>
        <v>7.0483735249684395E-3</v>
      </c>
      <c r="T17" s="176">
        <v>583.84</v>
      </c>
      <c r="U17" s="185">
        <f t="shared" si="9"/>
        <v>8.9172636048447454E-3</v>
      </c>
      <c r="V17" s="176">
        <v>551.84</v>
      </c>
      <c r="W17" s="185">
        <f t="shared" si="12"/>
        <v>4.390696916518836E-3</v>
      </c>
      <c r="X17" s="176">
        <v>1102.8399999999999</v>
      </c>
      <c r="Y17" s="185">
        <f t="shared" si="13"/>
        <v>8.8047308782480335E-3</v>
      </c>
      <c r="Z17" s="191">
        <f t="shared" si="0"/>
        <v>598.45166666666671</v>
      </c>
      <c r="AA17" s="185">
        <f t="shared" si="11"/>
        <v>6.3467544506719204E-3</v>
      </c>
      <c r="AB17" s="172">
        <f t="shared" ref="AB17:AB53" si="18">L17+N17+P17+R17+T17+V17+X17+J17+H17+F17+D17+B17</f>
        <v>7181.420000000001</v>
      </c>
      <c r="AC17" s="173">
        <f t="shared" ref="AC17:AC53" si="19">AB17/AB$2</f>
        <v>6.3467544506719221E-3</v>
      </c>
      <c r="AF17" s="299"/>
    </row>
    <row r="18" spans="1:32" x14ac:dyDescent="0.3">
      <c r="A18" s="176" t="s">
        <v>14</v>
      </c>
      <c r="B18" s="157">
        <v>226.78</v>
      </c>
      <c r="C18" s="185">
        <f t="shared" si="16"/>
        <v>2.727297872928941E-3</v>
      </c>
      <c r="D18" s="157">
        <v>261.37</v>
      </c>
      <c r="E18" s="185">
        <f t="shared" si="17"/>
        <v>3.1786728648578177E-3</v>
      </c>
      <c r="F18" s="157">
        <v>294.18</v>
      </c>
      <c r="G18" s="185">
        <f t="shared" si="2"/>
        <v>5.4391255391885874E-3</v>
      </c>
      <c r="H18" s="157">
        <v>252.09</v>
      </c>
      <c r="I18" s="185">
        <f t="shared" si="3"/>
        <v>3.2091324763595564E-3</v>
      </c>
      <c r="J18" s="157">
        <v>208.43</v>
      </c>
      <c r="K18" s="185">
        <f t="shared" si="4"/>
        <v>1.7364848607646234E-3</v>
      </c>
      <c r="L18" s="157">
        <v>133.84</v>
      </c>
      <c r="M18" s="185">
        <f t="shared" si="5"/>
        <v>1.1477017752161245E-3</v>
      </c>
      <c r="N18" s="157">
        <v>128.5</v>
      </c>
      <c r="O18" s="185">
        <f t="shared" si="6"/>
        <v>1.3487771996404379E-3</v>
      </c>
      <c r="P18" s="157">
        <v>137.88999999999999</v>
      </c>
      <c r="Q18" s="185">
        <f t="shared" si="7"/>
        <v>1.2902567787839824E-3</v>
      </c>
      <c r="R18" s="157">
        <v>126.6</v>
      </c>
      <c r="S18" s="185">
        <f t="shared" si="8"/>
        <v>1.6169978404265808E-3</v>
      </c>
      <c r="T18" s="157">
        <v>137</v>
      </c>
      <c r="U18" s="185">
        <f t="shared" si="9"/>
        <v>2.0924655965054296E-3</v>
      </c>
      <c r="V18" s="157">
        <v>126.1</v>
      </c>
      <c r="W18" s="185">
        <f t="shared" si="12"/>
        <v>1.0033105269154558E-3</v>
      </c>
      <c r="X18" s="157">
        <v>155.26</v>
      </c>
      <c r="Y18" s="185">
        <f t="shared" si="13"/>
        <v>1.2395474558021015E-3</v>
      </c>
      <c r="Z18" s="191">
        <f t="shared" si="0"/>
        <v>182.33666666666667</v>
      </c>
      <c r="AA18" s="185">
        <f t="shared" si="11"/>
        <v>1.9337335246021245E-3</v>
      </c>
      <c r="AB18" s="172">
        <f t="shared" si="18"/>
        <v>2188.0400000000004</v>
      </c>
      <c r="AC18" s="173">
        <f t="shared" si="19"/>
        <v>1.9337335246021252E-3</v>
      </c>
      <c r="AF18"/>
    </row>
    <row r="19" spans="1:32" x14ac:dyDescent="0.3">
      <c r="A19" s="157" t="s">
        <v>123</v>
      </c>
      <c r="B19" s="157">
        <f>SUBTOTAL(9,B20:B29)</f>
        <v>24583.260000000002</v>
      </c>
      <c r="C19" s="185">
        <f>B19/B$2</f>
        <v>0.29564279348998646</v>
      </c>
      <c r="D19" s="157">
        <f>SUBTOTAL(9,D20:D29)</f>
        <v>16529.73</v>
      </c>
      <c r="E19" s="185">
        <f t="shared" si="17"/>
        <v>0.20102767805955624</v>
      </c>
      <c r="F19" s="157">
        <f>SUBTOTAL(9,F20:F29)</f>
        <v>20730.78</v>
      </c>
      <c r="G19" s="185">
        <f t="shared" si="2"/>
        <v>0.38329361256815542</v>
      </c>
      <c r="H19" s="157">
        <f>SUBTOTAL(9,H20:H29)</f>
        <v>18742.8</v>
      </c>
      <c r="I19" s="185">
        <f t="shared" si="3"/>
        <v>0.2385978348126141</v>
      </c>
      <c r="J19" s="157">
        <f>SUBTOTAL(9,J20:J29)</f>
        <v>16127.189999999999</v>
      </c>
      <c r="K19" s="185">
        <f t="shared" si="4"/>
        <v>0.13435983918665559</v>
      </c>
      <c r="L19" s="157">
        <f>SUBTOTAL(9,L20:L29)</f>
        <v>16846.240000000002</v>
      </c>
      <c r="M19" s="185">
        <f t="shared" si="5"/>
        <v>0.14445950055078366</v>
      </c>
      <c r="N19" s="157">
        <f>SUBTOTAL(9,N20:N29)</f>
        <v>16982.14</v>
      </c>
      <c r="O19" s="185">
        <f t="shared" si="6"/>
        <v>0.17824998624981997</v>
      </c>
      <c r="P19" s="157">
        <f>SUBTOTAL(9,P20:P29)</f>
        <v>16924.43</v>
      </c>
      <c r="Q19" s="185">
        <f t="shared" si="7"/>
        <v>0.15836435227032417</v>
      </c>
      <c r="R19" s="157">
        <f>SUBTOTAL(9,R20:R29)</f>
        <v>17064.370000000003</v>
      </c>
      <c r="S19" s="185">
        <f t="shared" si="8"/>
        <v>0.21795457692132808</v>
      </c>
      <c r="T19" s="157">
        <f>SUBTOTAL(9,T20:T29)</f>
        <v>20331.95</v>
      </c>
      <c r="U19" s="185">
        <f t="shared" si="9"/>
        <v>0.31053945901363922</v>
      </c>
      <c r="V19" s="157">
        <f>SUBTOTAL(9,V20:V29)</f>
        <v>36603.509999999995</v>
      </c>
      <c r="W19" s="185">
        <f t="shared" si="12"/>
        <v>0.29123463049211062</v>
      </c>
      <c r="X19" s="157">
        <f>SUBTOTAL(9,X20:X29)</f>
        <v>36570.700000000004</v>
      </c>
      <c r="Y19" s="185">
        <f t="shared" si="13"/>
        <v>0.29196907214931034</v>
      </c>
      <c r="Z19" s="191">
        <f t="shared" si="0"/>
        <v>21503.091666666671</v>
      </c>
      <c r="AA19" s="185">
        <f t="shared" si="11"/>
        <v>0.2280465580433223</v>
      </c>
      <c r="AB19" s="172">
        <f>SUBTOTAL(9,AB20:AB29)</f>
        <v>258037.09999999998</v>
      </c>
      <c r="AC19" s="173">
        <f t="shared" si="19"/>
        <v>0.22804655804332227</v>
      </c>
      <c r="AF19" s="299"/>
    </row>
    <row r="20" spans="1:32" x14ac:dyDescent="0.3">
      <c r="A20" s="157" t="s">
        <v>145</v>
      </c>
      <c r="B20" s="157">
        <f>1788.52+1365.27+2288.26+2915.89+1819+1580.85</f>
        <v>11757.79</v>
      </c>
      <c r="C20" s="185">
        <f t="shared" si="16"/>
        <v>0.1414013389952605</v>
      </c>
      <c r="D20" s="157">
        <f>824.45+1819+2915.89+2145.14+1505.85+887.21+200</f>
        <v>10297.540000000001</v>
      </c>
      <c r="E20" s="185">
        <f t="shared" si="17"/>
        <v>0.12523438410218454</v>
      </c>
      <c r="F20" s="157">
        <f>1520.95+2103.26+1374.48+1458.44+1535.85+1819</f>
        <v>9811.9800000000014</v>
      </c>
      <c r="G20" s="185">
        <f t="shared" si="2"/>
        <v>0.1814147495003319</v>
      </c>
      <c r="H20" s="157">
        <f>2507.52+1335.9+1720.01+862.07+1336.04+2290</f>
        <v>10051.540000000001</v>
      </c>
      <c r="I20" s="185">
        <f t="shared" si="3"/>
        <v>0.12795717184905048</v>
      </c>
      <c r="J20" s="157">
        <f>2662.72+953.13+1106.04+1393.87+1457.59+1622.71</f>
        <v>9196.06</v>
      </c>
      <c r="K20" s="185">
        <f t="shared" si="4"/>
        <v>7.6614781790927983E-2</v>
      </c>
      <c r="L20" s="157">
        <f>2647.32+649.4+1207.55+1228.03+1592.02+1939.88+300</f>
        <v>9564.2000000000007</v>
      </c>
      <c r="M20" s="185">
        <f t="shared" si="5"/>
        <v>8.2014713975807368E-2</v>
      </c>
      <c r="N20" s="157">
        <f>2986.49+1058.2+1102.56+1478.28+1834.68+1922.98</f>
        <v>10383.189999999999</v>
      </c>
      <c r="O20" s="185">
        <f t="shared" si="6"/>
        <v>0.10898529129598908</v>
      </c>
      <c r="P20" s="157">
        <f>2082.94+1300.86+1042.78+2227.63+3093.81</f>
        <v>9748.02</v>
      </c>
      <c r="Q20" s="185">
        <f t="shared" si="7"/>
        <v>9.121364047227383E-2</v>
      </c>
      <c r="R20" s="157">
        <f>3092.28+1402.85+1266.81+2082.43+2227.72</f>
        <v>10072.09</v>
      </c>
      <c r="S20" s="185">
        <f t="shared" si="8"/>
        <v>0.128645717050412</v>
      </c>
      <c r="T20" s="157">
        <f>2303.19+1193.56+1445.04+3092.28+2808.17+2226.93+250</f>
        <v>13319.17</v>
      </c>
      <c r="U20" s="185">
        <f t="shared" si="9"/>
        <v>0.2034299634964031</v>
      </c>
      <c r="V20" s="157">
        <f>3800.62+2010.04+1754.76+2688.33+2089.12+2808.17+5995.47</f>
        <v>21146.51</v>
      </c>
      <c r="W20" s="185">
        <f t="shared" si="12"/>
        <v>0.16825151538876254</v>
      </c>
      <c r="X20" s="157">
        <f>2303.19+2088.45+1254.33+2807.17+700+1250.58+3092.53</f>
        <v>13496.25</v>
      </c>
      <c r="Y20" s="185">
        <f t="shared" si="13"/>
        <v>0.10774985411805432</v>
      </c>
      <c r="Z20" s="191">
        <f t="shared" si="0"/>
        <v>11570.361666666666</v>
      </c>
      <c r="AA20" s="185">
        <f t="shared" si="11"/>
        <v>0.12270705972434494</v>
      </c>
      <c r="AB20" s="172">
        <f t="shared" si="18"/>
        <v>138844.34</v>
      </c>
      <c r="AC20" s="173">
        <f t="shared" si="19"/>
        <v>0.12270705972434498</v>
      </c>
      <c r="AF20"/>
    </row>
    <row r="21" spans="1:32" x14ac:dyDescent="0.3">
      <c r="A21" s="157" t="s">
        <v>183</v>
      </c>
      <c r="B21" s="157">
        <f>1895.84+1459.12+705.34</f>
        <v>4060.3</v>
      </c>
      <c r="C21" s="185">
        <f t="shared" si="16"/>
        <v>4.8829912485463353E-2</v>
      </c>
      <c r="D21" s="157"/>
      <c r="E21" s="185">
        <f t="shared" si="17"/>
        <v>0</v>
      </c>
      <c r="F21" s="157">
        <f>994.44+904.44+2031.25</f>
        <v>3930.13</v>
      </c>
      <c r="G21" s="185">
        <f t="shared" si="2"/>
        <v>7.2664594654059556E-2</v>
      </c>
      <c r="H21" s="157">
        <f>684.63+460.59+524.17</f>
        <v>1669.3899999999999</v>
      </c>
      <c r="I21" s="185">
        <f t="shared" si="3"/>
        <v>2.1251512018365976E-2</v>
      </c>
      <c r="J21" s="157"/>
      <c r="K21" s="185">
        <f t="shared" si="4"/>
        <v>0</v>
      </c>
      <c r="L21" s="157"/>
      <c r="M21" s="185">
        <f t="shared" si="5"/>
        <v>0</v>
      </c>
      <c r="N21" s="157"/>
      <c r="O21" s="185">
        <f t="shared" si="6"/>
        <v>0</v>
      </c>
      <c r="P21" s="157"/>
      <c r="Q21" s="185">
        <f t="shared" si="7"/>
        <v>0</v>
      </c>
      <c r="R21" s="157"/>
      <c r="S21" s="185">
        <f t="shared" si="8"/>
        <v>0</v>
      </c>
      <c r="T21" s="157"/>
      <c r="U21" s="185">
        <f t="shared" si="9"/>
        <v>0</v>
      </c>
      <c r="V21" s="157"/>
      <c r="W21" s="185">
        <f t="shared" si="12"/>
        <v>0</v>
      </c>
      <c r="X21" s="157">
        <f>1485.05+1421.05+1491.82+1487.86+1861.57</f>
        <v>7747.3499999999995</v>
      </c>
      <c r="Y21" s="185">
        <f t="shared" si="13"/>
        <v>6.1852428067167405E-2</v>
      </c>
      <c r="Z21" s="191">
        <f t="shared" si="0"/>
        <v>1450.5974999999999</v>
      </c>
      <c r="AA21" s="185">
        <f t="shared" si="11"/>
        <v>1.5384009523339773E-2</v>
      </c>
      <c r="AB21" s="172">
        <f t="shared" si="18"/>
        <v>17407.169999999998</v>
      </c>
      <c r="AC21" s="173">
        <f t="shared" si="19"/>
        <v>1.5384009523339777E-2</v>
      </c>
      <c r="AF21" s="299"/>
    </row>
    <row r="22" spans="1:32" x14ac:dyDescent="0.3">
      <c r="A22" s="157" t="s">
        <v>186</v>
      </c>
      <c r="B22" s="157"/>
      <c r="C22" s="185">
        <f t="shared" si="16"/>
        <v>0</v>
      </c>
      <c r="D22" s="157"/>
      <c r="E22" s="185">
        <f t="shared" si="17"/>
        <v>0</v>
      </c>
      <c r="F22" s="157"/>
      <c r="G22" s="185">
        <f t="shared" si="2"/>
        <v>0</v>
      </c>
      <c r="H22" s="157"/>
      <c r="I22" s="185">
        <f t="shared" si="3"/>
        <v>0</v>
      </c>
      <c r="J22" s="157"/>
      <c r="K22" s="185">
        <f t="shared" si="4"/>
        <v>0</v>
      </c>
      <c r="L22" s="157"/>
      <c r="M22" s="185">
        <f t="shared" si="5"/>
        <v>0</v>
      </c>
      <c r="N22" s="157"/>
      <c r="O22" s="185">
        <f t="shared" si="6"/>
        <v>0</v>
      </c>
      <c r="P22" s="157"/>
      <c r="Q22" s="185">
        <f t="shared" si="7"/>
        <v>0</v>
      </c>
      <c r="R22" s="157"/>
      <c r="S22" s="185">
        <f t="shared" si="8"/>
        <v>0</v>
      </c>
      <c r="T22" s="157"/>
      <c r="U22" s="185">
        <f t="shared" si="9"/>
        <v>0</v>
      </c>
      <c r="V22" s="157">
        <v>7080.58</v>
      </c>
      <c r="W22" s="185">
        <f t="shared" si="12"/>
        <v>5.6336403256677547E-2</v>
      </c>
      <c r="X22" s="157">
        <f>1265.06+1041.37+994.65+1031.7+1045.75+366.67</f>
        <v>5745.2</v>
      </c>
      <c r="Y22" s="185">
        <f t="shared" si="13"/>
        <v>4.58678864039304E-2</v>
      </c>
      <c r="Z22" s="191">
        <f t="shared" si="0"/>
        <v>1068.8149999999998</v>
      </c>
      <c r="AA22" s="185">
        <f t="shared" si="11"/>
        <v>1.1335094772111767E-2</v>
      </c>
      <c r="AB22" s="172">
        <f t="shared" si="18"/>
        <v>12825.779999999999</v>
      </c>
      <c r="AC22" s="173">
        <f t="shared" si="19"/>
        <v>1.1335094772111771E-2</v>
      </c>
      <c r="AF22"/>
    </row>
    <row r="23" spans="1:32" x14ac:dyDescent="0.3">
      <c r="A23" s="157" t="s">
        <v>146</v>
      </c>
      <c r="B23" s="157">
        <v>3078</v>
      </c>
      <c r="C23" s="185">
        <f t="shared" si="16"/>
        <v>3.7016592525245966E-2</v>
      </c>
      <c r="D23" s="157">
        <v>3402</v>
      </c>
      <c r="E23" s="185">
        <f t="shared" si="17"/>
        <v>4.1373704274577407E-2</v>
      </c>
      <c r="F23" s="157">
        <v>3240</v>
      </c>
      <c r="G23" s="185">
        <f t="shared" si="2"/>
        <v>5.9904707141787417E-2</v>
      </c>
      <c r="H23" s="157">
        <v>3240</v>
      </c>
      <c r="I23" s="185">
        <f t="shared" si="3"/>
        <v>4.1245544144571232E-2</v>
      </c>
      <c r="J23" s="157">
        <v>3528</v>
      </c>
      <c r="K23" s="185">
        <f t="shared" si="4"/>
        <v>2.9392691017500316E-2</v>
      </c>
      <c r="L23" s="157">
        <v>3849</v>
      </c>
      <c r="M23" s="185">
        <f t="shared" si="5"/>
        <v>3.3005858732866579E-2</v>
      </c>
      <c r="N23" s="157">
        <v>2940</v>
      </c>
      <c r="O23" s="185">
        <f t="shared" si="6"/>
        <v>3.0859182622123636E-2</v>
      </c>
      <c r="P23" s="157">
        <v>3543</v>
      </c>
      <c r="Q23" s="185">
        <f t="shared" si="7"/>
        <v>3.3152366141356519E-2</v>
      </c>
      <c r="R23" s="157">
        <v>3528</v>
      </c>
      <c r="S23" s="185">
        <f t="shared" si="8"/>
        <v>4.5061361619470594E-2</v>
      </c>
      <c r="T23" s="157">
        <v>3360</v>
      </c>
      <c r="U23" s="185">
        <f t="shared" si="9"/>
        <v>5.1318864264658717E-2</v>
      </c>
      <c r="V23" s="157">
        <v>3360</v>
      </c>
      <c r="W23" s="185">
        <f t="shared" si="12"/>
        <v>2.6733730138270673E-2</v>
      </c>
      <c r="X23" s="157">
        <v>3780</v>
      </c>
      <c r="Y23" s="185">
        <f t="shared" si="13"/>
        <v>3.0178342025840167E-2</v>
      </c>
      <c r="Z23" s="191">
        <f t="shared" si="0"/>
        <v>3404</v>
      </c>
      <c r="AA23" s="185">
        <f t="shared" si="11"/>
        <v>3.610041270403995E-2</v>
      </c>
      <c r="AB23" s="172">
        <f t="shared" si="18"/>
        <v>40848</v>
      </c>
      <c r="AC23" s="173">
        <f t="shared" si="19"/>
        <v>3.6100412704039957E-2</v>
      </c>
      <c r="AF23" s="299"/>
    </row>
    <row r="24" spans="1:32" x14ac:dyDescent="0.3">
      <c r="A24" s="157" t="s">
        <v>147</v>
      </c>
      <c r="B24" s="157">
        <v>320.45</v>
      </c>
      <c r="C24" s="185">
        <f t="shared" si="16"/>
        <v>3.8537904726169817E-3</v>
      </c>
      <c r="D24" s="157">
        <v>354.56</v>
      </c>
      <c r="E24" s="185">
        <f t="shared" si="17"/>
        <v>4.312010754730795E-3</v>
      </c>
      <c r="F24" s="157"/>
      <c r="G24" s="185">
        <f t="shared" si="2"/>
        <v>0</v>
      </c>
      <c r="H24" s="157"/>
      <c r="I24" s="185">
        <f t="shared" si="3"/>
        <v>0</v>
      </c>
      <c r="J24" s="157"/>
      <c r="K24" s="185">
        <f t="shared" si="4"/>
        <v>0</v>
      </c>
      <c r="L24" s="157"/>
      <c r="M24" s="185">
        <f t="shared" si="5"/>
        <v>0</v>
      </c>
      <c r="N24" s="157">
        <v>116.5</v>
      </c>
      <c r="O24" s="185">
        <f t="shared" si="6"/>
        <v>1.2228213522031985E-3</v>
      </c>
      <c r="P24" s="157">
        <v>60</v>
      </c>
      <c r="Q24" s="185">
        <f t="shared" si="7"/>
        <v>5.6142872381636784E-4</v>
      </c>
      <c r="R24" s="157"/>
      <c r="S24" s="185">
        <f t="shared" si="8"/>
        <v>0</v>
      </c>
      <c r="T24" s="157"/>
      <c r="U24" s="185">
        <f t="shared" si="9"/>
        <v>0</v>
      </c>
      <c r="V24" s="157">
        <v>33.44</v>
      </c>
      <c r="W24" s="185">
        <f t="shared" si="12"/>
        <v>2.6606426661421762E-4</v>
      </c>
      <c r="X24" s="157">
        <v>41.8</v>
      </c>
      <c r="Y24" s="185">
        <f t="shared" si="13"/>
        <v>3.3371817372489915E-4</v>
      </c>
      <c r="Z24" s="191">
        <f t="shared" si="0"/>
        <v>77.229166666666671</v>
      </c>
      <c r="AA24" s="185">
        <f t="shared" si="11"/>
        <v>8.1903783474023277E-4</v>
      </c>
      <c r="AB24" s="172">
        <f t="shared" si="18"/>
        <v>926.75</v>
      </c>
      <c r="AC24" s="173">
        <f t="shared" si="19"/>
        <v>8.1903783474023288E-4</v>
      </c>
      <c r="AF24"/>
    </row>
    <row r="25" spans="1:32" x14ac:dyDescent="0.3">
      <c r="A25" s="157" t="s">
        <v>143</v>
      </c>
      <c r="B25" s="157">
        <v>164.08</v>
      </c>
      <c r="C25" s="185">
        <f t="shared" si="16"/>
        <v>1.9732561733405976E-3</v>
      </c>
      <c r="D25" s="157">
        <v>88.17</v>
      </c>
      <c r="E25" s="185">
        <f t="shared" si="17"/>
        <v>1.0722867448234833E-3</v>
      </c>
      <c r="F25" s="157">
        <f>16.24+40.75</f>
        <v>56.989999999999995</v>
      </c>
      <c r="G25" s="185">
        <f t="shared" si="2"/>
        <v>1.0536942160526124E-3</v>
      </c>
      <c r="H25" s="157">
        <v>16.239999999999998</v>
      </c>
      <c r="I25" s="185">
        <f t="shared" si="3"/>
        <v>2.0673692497155454E-4</v>
      </c>
      <c r="J25" s="165">
        <v>72.64</v>
      </c>
      <c r="K25" s="185">
        <f>L25/J$2</f>
        <v>2.752648841321458E-4</v>
      </c>
      <c r="L25" s="157">
        <v>33.04</v>
      </c>
      <c r="M25" s="185">
        <f t="shared" si="5"/>
        <v>2.8332386919561228E-4</v>
      </c>
      <c r="N25" s="157">
        <v>181.11</v>
      </c>
      <c r="O25" s="185">
        <f t="shared" si="6"/>
        <v>1.9009886274465348E-3</v>
      </c>
      <c r="P25" s="157">
        <v>52.79</v>
      </c>
      <c r="Q25" s="185">
        <f t="shared" si="7"/>
        <v>4.9396370550443432E-4</v>
      </c>
      <c r="R25" s="157">
        <v>230.04</v>
      </c>
      <c r="S25" s="185">
        <f t="shared" si="8"/>
        <v>2.9381847015144597E-3</v>
      </c>
      <c r="T25" s="157">
        <v>151.47999999999999</v>
      </c>
      <c r="U25" s="185">
        <f t="shared" si="9"/>
        <v>2.313625463931697E-3</v>
      </c>
      <c r="V25" s="157">
        <v>160.01</v>
      </c>
      <c r="W25" s="185">
        <f t="shared" si="12"/>
        <v>1.2731143331621102E-3</v>
      </c>
      <c r="X25" s="157">
        <v>301.83999999999997</v>
      </c>
      <c r="Y25" s="185">
        <f t="shared" si="13"/>
        <v>2.4097964965819033E-3</v>
      </c>
      <c r="Z25" s="191">
        <f t="shared" si="0"/>
        <v>125.70249999999999</v>
      </c>
      <c r="AA25" s="185">
        <f t="shared" ref="AA25:AA60" si="20">Z25/Z$2</f>
        <v>1.3331116709546361E-3</v>
      </c>
      <c r="AB25" s="172">
        <f t="shared" si="18"/>
        <v>1508.43</v>
      </c>
      <c r="AC25" s="173">
        <f t="shared" si="19"/>
        <v>1.3331116709546368E-3</v>
      </c>
      <c r="AF25" s="299"/>
    </row>
    <row r="26" spans="1:32" x14ac:dyDescent="0.3">
      <c r="A26" s="157" t="s">
        <v>144</v>
      </c>
      <c r="B26" s="157">
        <v>1357.32</v>
      </c>
      <c r="C26" s="185">
        <f t="shared" si="16"/>
        <v>1.6323379261327764E-2</v>
      </c>
      <c r="D26" s="157">
        <f>242.65+180+343.75+214.19+198+262.32</f>
        <v>1440.9099999999999</v>
      </c>
      <c r="E26" s="185">
        <f t="shared" si="17"/>
        <v>1.7523746098260237E-2</v>
      </c>
      <c r="F26" s="157">
        <v>1421.44</v>
      </c>
      <c r="G26" s="185">
        <f t="shared" si="2"/>
        <v>2.628115645667355E-2</v>
      </c>
      <c r="H26" s="157">
        <v>1356.57</v>
      </c>
      <c r="I26" s="185">
        <f t="shared" si="3"/>
        <v>1.7269280191420058E-2</v>
      </c>
      <c r="J26" s="157">
        <v>1253.9000000000001</v>
      </c>
      <c r="K26" s="185">
        <f t="shared" si="4"/>
        <v>1.0446568953186975E-2</v>
      </c>
      <c r="L26" s="157">
        <v>1255.8</v>
      </c>
      <c r="M26" s="185">
        <f t="shared" si="5"/>
        <v>1.0768708079172214E-2</v>
      </c>
      <c r="N26" s="157">
        <v>1158.49</v>
      </c>
      <c r="O26" s="185">
        <f t="shared" si="6"/>
        <v>1.2159882474797283E-2</v>
      </c>
      <c r="P26" s="157">
        <v>1272.9000000000001</v>
      </c>
      <c r="Q26" s="185">
        <f t="shared" si="7"/>
        <v>1.1910710375764244E-2</v>
      </c>
      <c r="R26" s="157">
        <v>1186.47</v>
      </c>
      <c r="S26" s="185">
        <f t="shared" si="8"/>
        <v>1.5154181893609205E-2</v>
      </c>
      <c r="T26" s="157">
        <v>1346.22</v>
      </c>
      <c r="U26" s="185">
        <f t="shared" si="9"/>
        <v>2.0561452812609779E-2</v>
      </c>
      <c r="V26" s="157">
        <v>1382.01</v>
      </c>
      <c r="W26" s="185">
        <f t="shared" si="12"/>
        <v>1.0995917377497456E-2</v>
      </c>
      <c r="X26" s="157">
        <v>2641.8</v>
      </c>
      <c r="Y26" s="185">
        <f t="shared" si="13"/>
        <v>2.1091307926948296E-2</v>
      </c>
      <c r="Z26" s="191">
        <f t="shared" si="0"/>
        <v>1422.8191666666664</v>
      </c>
      <c r="AA26" s="185">
        <f t="shared" si="20"/>
        <v>1.5089412197380983E-2</v>
      </c>
      <c r="AB26" s="172">
        <f t="shared" si="18"/>
        <v>17073.830000000002</v>
      </c>
      <c r="AC26" s="173">
        <f t="shared" si="19"/>
        <v>1.508941219738099E-2</v>
      </c>
      <c r="AF26" s="299"/>
    </row>
    <row r="27" spans="1:32" x14ac:dyDescent="0.3">
      <c r="A27" s="157" t="s">
        <v>148</v>
      </c>
      <c r="B27" s="157">
        <f>1225.27+1593.5</f>
        <v>2818.77</v>
      </c>
      <c r="C27" s="185">
        <f t="shared" si="16"/>
        <v>3.3899045000775688E-2</v>
      </c>
      <c r="D27" s="157"/>
      <c r="E27" s="185">
        <f t="shared" si="17"/>
        <v>0</v>
      </c>
      <c r="F27" s="157">
        <v>1198.69</v>
      </c>
      <c r="G27" s="185">
        <f t="shared" si="2"/>
        <v>2.2162707840675665E-2</v>
      </c>
      <c r="H27" s="157">
        <v>1215.7</v>
      </c>
      <c r="I27" s="185">
        <f t="shared" si="3"/>
        <v>1.5475990128566436E-2</v>
      </c>
      <c r="J27" s="157">
        <v>1143.8399999999999</v>
      </c>
      <c r="K27" s="185">
        <f t="shared" si="4"/>
        <v>9.529630298599082E-3</v>
      </c>
      <c r="L27" s="157">
        <v>1118.6500000000001</v>
      </c>
      <c r="M27" s="185">
        <f t="shared" si="5"/>
        <v>9.5926224659706946E-3</v>
      </c>
      <c r="N27" s="157">
        <v>1072.3</v>
      </c>
      <c r="O27" s="185">
        <f t="shared" si="6"/>
        <v>1.1255204600579312E-2</v>
      </c>
      <c r="P27" s="157">
        <v>1100.6300000000001</v>
      </c>
      <c r="Q27" s="185">
        <f t="shared" si="7"/>
        <v>1.0298754938233482E-2</v>
      </c>
      <c r="R27" s="157">
        <v>1050.56</v>
      </c>
      <c r="S27" s="185">
        <f t="shared" si="8"/>
        <v>1.3418272126686798E-2</v>
      </c>
      <c r="T27" s="157">
        <v>1203.46</v>
      </c>
      <c r="U27" s="185">
        <f t="shared" si="9"/>
        <v>1.8381012020222076E-2</v>
      </c>
      <c r="V27" s="157">
        <f>1155.37+1322.06</f>
        <v>2477.4299999999998</v>
      </c>
      <c r="W27" s="185">
        <f t="shared" si="12"/>
        <v>1.9711590790611876E-2</v>
      </c>
      <c r="X27" s="157">
        <v>1767.83</v>
      </c>
      <c r="Y27" s="185">
        <f t="shared" si="13"/>
        <v>1.4113803805169581E-2</v>
      </c>
      <c r="Z27" s="191">
        <f t="shared" si="0"/>
        <v>1347.3216666666665</v>
      </c>
      <c r="AA27" s="185">
        <f>Z27/Z$2</f>
        <v>1.4288739192644421E-2</v>
      </c>
      <c r="AB27" s="172">
        <f t="shared" si="18"/>
        <v>16167.86</v>
      </c>
      <c r="AC27" s="173">
        <f t="shared" si="19"/>
        <v>1.4288739192644426E-2</v>
      </c>
      <c r="AF27"/>
    </row>
    <row r="28" spans="1:32" x14ac:dyDescent="0.3">
      <c r="A28" s="157" t="s">
        <v>184</v>
      </c>
      <c r="B28" s="157">
        <v>729.55</v>
      </c>
      <c r="C28" s="185">
        <f t="shared" si="16"/>
        <v>8.7737021042213099E-3</v>
      </c>
      <c r="D28" s="157">
        <v>649.54999999999995</v>
      </c>
      <c r="E28" s="185">
        <f t="shared" si="17"/>
        <v>7.8995560292627141E-3</v>
      </c>
      <c r="F28" s="157">
        <v>774.55</v>
      </c>
      <c r="G28" s="185">
        <f t="shared" si="2"/>
        <v>1.4320737937244272E-2</v>
      </c>
      <c r="H28" s="157">
        <v>854.55</v>
      </c>
      <c r="I28" s="185">
        <f t="shared" si="3"/>
        <v>1.0878512268130662E-2</v>
      </c>
      <c r="J28" s="157">
        <v>519.54999999999995</v>
      </c>
      <c r="K28" s="185">
        <f t="shared" si="4"/>
        <v>4.3285069779314877E-3</v>
      </c>
      <c r="L28" s="157">
        <v>674.55</v>
      </c>
      <c r="M28" s="185">
        <f t="shared" si="5"/>
        <v>5.7843860764497665E-3</v>
      </c>
      <c r="N28" s="157">
        <v>779.55</v>
      </c>
      <c r="O28" s="185">
        <f t="shared" si="6"/>
        <v>8.182406739141659E-3</v>
      </c>
      <c r="P28" s="157">
        <v>729.55</v>
      </c>
      <c r="Q28" s="185">
        <f t="shared" si="7"/>
        <v>6.8265054243371853E-3</v>
      </c>
      <c r="R28" s="157">
        <v>740.4</v>
      </c>
      <c r="S28" s="185">
        <f t="shared" si="8"/>
        <v>9.4567551425895763E-3</v>
      </c>
      <c r="T28" s="157">
        <v>575.65</v>
      </c>
      <c r="U28" s="185">
        <f t="shared" si="9"/>
        <v>8.7921738731996397E-3</v>
      </c>
      <c r="V28" s="157">
        <v>605.9</v>
      </c>
      <c r="W28" s="185">
        <f t="shared" si="12"/>
        <v>4.8208235389220833E-3</v>
      </c>
      <c r="X28" s="157">
        <v>880.9</v>
      </c>
      <c r="Y28" s="185">
        <f t="shared" si="13"/>
        <v>7.032831082159418E-3</v>
      </c>
      <c r="Z28" s="191">
        <f t="shared" si="0"/>
        <v>709.52083333333337</v>
      </c>
      <c r="AA28" s="185">
        <f t="shared" si="20"/>
        <v>7.5246753541268162E-3</v>
      </c>
      <c r="AB28" s="172">
        <f t="shared" si="18"/>
        <v>8514.25</v>
      </c>
      <c r="AC28" s="173">
        <f t="shared" si="19"/>
        <v>7.524675354126817E-3</v>
      </c>
      <c r="AF28" s="299"/>
    </row>
    <row r="29" spans="1:32" x14ac:dyDescent="0.3">
      <c r="A29" s="157" t="s">
        <v>185</v>
      </c>
      <c r="B29" s="157">
        <v>297</v>
      </c>
      <c r="C29" s="185">
        <f t="shared" si="16"/>
        <v>3.5717764717342602E-3</v>
      </c>
      <c r="D29" s="157">
        <v>297</v>
      </c>
      <c r="E29" s="185">
        <f t="shared" si="17"/>
        <v>3.6119900557170749E-3</v>
      </c>
      <c r="F29" s="157">
        <v>297</v>
      </c>
      <c r="G29" s="185">
        <f t="shared" si="2"/>
        <v>5.4912648213305132E-3</v>
      </c>
      <c r="H29" s="157">
        <v>338.81</v>
      </c>
      <c r="I29" s="185">
        <f t="shared" si="3"/>
        <v>4.31308728753771E-3</v>
      </c>
      <c r="J29" s="157">
        <v>413.2</v>
      </c>
      <c r="K29" s="185">
        <f t="shared" si="4"/>
        <v>3.4424773039770777E-3</v>
      </c>
      <c r="L29" s="157">
        <v>351</v>
      </c>
      <c r="M29" s="185">
        <f t="shared" si="5"/>
        <v>3.0098873513214261E-3</v>
      </c>
      <c r="N29" s="157">
        <v>351</v>
      </c>
      <c r="O29" s="185">
        <f t="shared" si="6"/>
        <v>3.6842085375392505E-3</v>
      </c>
      <c r="P29" s="157">
        <v>417.54</v>
      </c>
      <c r="Q29" s="185">
        <f t="shared" si="7"/>
        <v>3.9069824890381041E-3</v>
      </c>
      <c r="R29" s="157">
        <v>256.81</v>
      </c>
      <c r="S29" s="185">
        <f t="shared" si="8"/>
        <v>3.2801043870454203E-3</v>
      </c>
      <c r="T29" s="157">
        <v>375.97</v>
      </c>
      <c r="U29" s="185">
        <f t="shared" si="9"/>
        <v>5.742367082614208E-3</v>
      </c>
      <c r="V29" s="157">
        <v>357.63</v>
      </c>
      <c r="W29" s="185">
        <f t="shared" si="12"/>
        <v>2.8454714015921844E-3</v>
      </c>
      <c r="X29" s="157">
        <v>167.73</v>
      </c>
      <c r="Y29" s="185">
        <f t="shared" si="13"/>
        <v>1.3391040497339076E-3</v>
      </c>
      <c r="Z29" s="191">
        <f t="shared" si="0"/>
        <v>326.72416666666669</v>
      </c>
      <c r="AA29" s="185">
        <f t="shared" si="20"/>
        <v>3.4650050696387194E-3</v>
      </c>
      <c r="AB29" s="172">
        <f t="shared" si="18"/>
        <v>3920.6899999999996</v>
      </c>
      <c r="AC29" s="173">
        <f t="shared" si="19"/>
        <v>3.4650050696387194E-3</v>
      </c>
      <c r="AF29" s="299"/>
    </row>
    <row r="30" spans="1:32" x14ac:dyDescent="0.3">
      <c r="A30" s="157" t="s">
        <v>125</v>
      </c>
      <c r="B30" s="157">
        <f>SUBTOTAL(9,B31:B34)</f>
        <v>7027.0000000000009</v>
      </c>
      <c r="C30" s="185">
        <f t="shared" si="16"/>
        <v>8.4507990797564478E-2</v>
      </c>
      <c r="D30" s="157">
        <f>SUBTOTAL(9,D31:D34)</f>
        <v>7178.73</v>
      </c>
      <c r="E30" s="185">
        <f t="shared" si="17"/>
        <v>8.7304718426524694E-2</v>
      </c>
      <c r="F30" s="157">
        <f>SUBTOTAL(9,F31:F34)</f>
        <v>7242.7599999999993</v>
      </c>
      <c r="G30" s="185">
        <f t="shared" si="2"/>
        <v>0.13391216564760869</v>
      </c>
      <c r="H30" s="157">
        <f>SUBTOTAL(9,H31:H34)</f>
        <v>7242.7599999999993</v>
      </c>
      <c r="I30" s="185">
        <f t="shared" si="3"/>
        <v>9.2201104107572443E-2</v>
      </c>
      <c r="J30" s="157">
        <f>SUBTOTAL(9,J31:J34)</f>
        <v>7242.7599999999993</v>
      </c>
      <c r="K30" s="185">
        <f t="shared" si="4"/>
        <v>6.0341328456323853E-2</v>
      </c>
      <c r="L30" s="157">
        <f>SUBTOTAL(9,L31:L34)</f>
        <v>7242.7599999999993</v>
      </c>
      <c r="M30" s="185">
        <f t="shared" si="5"/>
        <v>6.2107953597312734E-2</v>
      </c>
      <c r="N30" s="157">
        <f>SUBTOTAL(9,N31:N34)</f>
        <v>7242.7599999999993</v>
      </c>
      <c r="O30" s="185">
        <f t="shared" si="6"/>
        <v>7.6022331132044957E-2</v>
      </c>
      <c r="P30" s="157">
        <f>SUBTOTAL(9,P31:P34)</f>
        <v>7242.7599999999993</v>
      </c>
      <c r="Q30" s="185">
        <f t="shared" si="7"/>
        <v>6.7771558395137266E-2</v>
      </c>
      <c r="R30" s="157">
        <f>SUBTOTAL(9,R31:R34)</f>
        <v>7242.7599999999993</v>
      </c>
      <c r="S30" s="185">
        <f t="shared" si="8"/>
        <v>9.2508114365940142E-2</v>
      </c>
      <c r="T30" s="157">
        <f>SUBTOTAL(9,T31:T34)</f>
        <v>7242.7599999999993</v>
      </c>
      <c r="U30" s="185">
        <f t="shared" si="9"/>
        <v>0.1106220884944939</v>
      </c>
      <c r="V30" s="157">
        <f>SUBTOTAL(9,V31:V34)</f>
        <v>7242.7599999999993</v>
      </c>
      <c r="W30" s="185">
        <f t="shared" si="12"/>
        <v>5.7626783123887283E-2</v>
      </c>
      <c r="X30" s="157">
        <f>SUBTOTAL(9,X31:X34)</f>
        <v>7244.2599999999993</v>
      </c>
      <c r="Y30" s="185">
        <f t="shared" si="13"/>
        <v>5.7835914286802341E-2</v>
      </c>
      <c r="Z30" s="191">
        <f t="shared" si="0"/>
        <v>7219.5691666666653</v>
      </c>
      <c r="AA30" s="185">
        <f t="shared" si="20"/>
        <v>7.6565636445954294E-2</v>
      </c>
      <c r="AB30" s="172">
        <f>SUBTOTAL(9,AB31:AB34)</f>
        <v>86634.83</v>
      </c>
      <c r="AC30" s="173">
        <f t="shared" si="19"/>
        <v>7.6565636445954321E-2</v>
      </c>
      <c r="AF30"/>
    </row>
    <row r="31" spans="1:32" x14ac:dyDescent="0.3">
      <c r="A31" s="175" t="s">
        <v>145</v>
      </c>
      <c r="B31" s="157">
        <v>4637.2700000000004</v>
      </c>
      <c r="C31" s="185">
        <f t="shared" si="16"/>
        <v>5.5768659525518967E-2</v>
      </c>
      <c r="D31" s="157">
        <v>4806.07</v>
      </c>
      <c r="E31" s="185">
        <f t="shared" si="17"/>
        <v>5.8449417666936572E-2</v>
      </c>
      <c r="F31" s="157">
        <v>4806.07</v>
      </c>
      <c r="G31" s="185">
        <f t="shared" si="2"/>
        <v>8.8859943164484631E-2</v>
      </c>
      <c r="H31" s="157">
        <v>4806.07</v>
      </c>
      <c r="I31" s="185">
        <f t="shared" si="3"/>
        <v>6.1181781588549214E-2</v>
      </c>
      <c r="J31" s="157">
        <v>4806.07</v>
      </c>
      <c r="K31" s="185">
        <f t="shared" si="4"/>
        <v>4.0040626564194368E-2</v>
      </c>
      <c r="L31" s="157">
        <v>4806.07</v>
      </c>
      <c r="M31" s="185">
        <f t="shared" si="5"/>
        <v>4.1212903995912722E-2</v>
      </c>
      <c r="N31" s="157">
        <v>4806.07</v>
      </c>
      <c r="O31" s="185">
        <f t="shared" si="6"/>
        <v>5.0446051641057733E-2</v>
      </c>
      <c r="P31" s="157">
        <v>4806.07</v>
      </c>
      <c r="Q31" s="185">
        <f t="shared" si="7"/>
        <v>4.4971095777868848E-2</v>
      </c>
      <c r="R31" s="157">
        <v>4806.07</v>
      </c>
      <c r="S31" s="185">
        <f t="shared" si="8"/>
        <v>6.1385504035852897E-2</v>
      </c>
      <c r="T31" s="157">
        <v>4806.07</v>
      </c>
      <c r="U31" s="185">
        <f t="shared" si="9"/>
        <v>7.3405373207276275E-2</v>
      </c>
      <c r="V31" s="157">
        <v>4806.07</v>
      </c>
      <c r="W31" s="185">
        <f t="shared" si="12"/>
        <v>3.8239338811201944E-2</v>
      </c>
      <c r="X31" s="157">
        <v>4806.07</v>
      </c>
      <c r="Y31" s="185">
        <f t="shared" si="13"/>
        <v>3.8370165148182443E-2</v>
      </c>
      <c r="Z31" s="191">
        <f t="shared" si="0"/>
        <v>4792.0033333333331</v>
      </c>
      <c r="AA31" s="185">
        <f t="shared" si="20"/>
        <v>5.0820592835625282E-2</v>
      </c>
      <c r="AB31" s="172">
        <f t="shared" si="18"/>
        <v>57504.039999999994</v>
      </c>
      <c r="AC31" s="173">
        <f t="shared" si="19"/>
        <v>5.0820592835625289E-2</v>
      </c>
      <c r="AF31" s="299"/>
    </row>
    <row r="32" spans="1:32" x14ac:dyDescent="0.3">
      <c r="A32" s="165" t="s">
        <v>158</v>
      </c>
      <c r="B32" s="157">
        <v>642.33000000000004</v>
      </c>
      <c r="C32" s="185">
        <f t="shared" si="16"/>
        <v>7.7247783875052777E-3</v>
      </c>
      <c r="D32" s="157">
        <v>671.11</v>
      </c>
      <c r="E32" s="185">
        <f t="shared" si="17"/>
        <v>8.1617597518258787E-3</v>
      </c>
      <c r="F32" s="157">
        <v>671.11</v>
      </c>
      <c r="G32" s="185">
        <f t="shared" si="2"/>
        <v>1.2408224694421282E-2</v>
      </c>
      <c r="H32" s="157">
        <v>671.11</v>
      </c>
      <c r="I32" s="185">
        <f t="shared" si="3"/>
        <v>8.5433015835997533E-3</v>
      </c>
      <c r="J32" s="157">
        <v>671.11</v>
      </c>
      <c r="K32" s="185">
        <f t="shared" si="4"/>
        <v>5.5911929900098181E-3</v>
      </c>
      <c r="L32" s="157">
        <v>671.11</v>
      </c>
      <c r="M32" s="185">
        <f t="shared" si="5"/>
        <v>5.7548874653712886E-3</v>
      </c>
      <c r="N32" s="157">
        <v>671.11</v>
      </c>
      <c r="O32" s="185">
        <f t="shared" si="6"/>
        <v>7.0441857311338077E-3</v>
      </c>
      <c r="P32" s="157">
        <v>671.11</v>
      </c>
      <c r="Q32" s="185">
        <f t="shared" si="7"/>
        <v>6.279673847340044E-3</v>
      </c>
      <c r="R32" s="157">
        <v>671.11</v>
      </c>
      <c r="S32" s="185">
        <f t="shared" si="8"/>
        <v>8.5717489785835915E-3</v>
      </c>
      <c r="T32" s="157">
        <v>671.11</v>
      </c>
      <c r="U32" s="185">
        <f t="shared" si="9"/>
        <v>1.0250179463290212E-2</v>
      </c>
      <c r="V32" s="157">
        <v>671.11</v>
      </c>
      <c r="W32" s="185">
        <f t="shared" si="12"/>
        <v>5.3396647717544139E-3</v>
      </c>
      <c r="X32" s="157">
        <v>671.11</v>
      </c>
      <c r="Y32" s="185">
        <f t="shared" si="13"/>
        <v>5.3579330997252893E-3</v>
      </c>
      <c r="Z32" s="191">
        <f t="shared" si="0"/>
        <v>668.71166666666659</v>
      </c>
      <c r="AA32" s="185">
        <f t="shared" si="20"/>
        <v>7.0918822405032491E-3</v>
      </c>
      <c r="AB32" s="172">
        <f t="shared" si="18"/>
        <v>8024.5399999999991</v>
      </c>
      <c r="AC32" s="173">
        <f t="shared" si="19"/>
        <v>7.0918822405032509E-3</v>
      </c>
      <c r="AF32"/>
    </row>
    <row r="33" spans="1:33" x14ac:dyDescent="0.3">
      <c r="A33" s="165" t="s">
        <v>159</v>
      </c>
      <c r="B33" s="157">
        <v>559.85</v>
      </c>
      <c r="C33" s="185">
        <f t="shared" si="16"/>
        <v>6.7328587801361132E-3</v>
      </c>
      <c r="D33" s="157">
        <v>559.85</v>
      </c>
      <c r="E33" s="185">
        <f t="shared" si="17"/>
        <v>6.808662062940082E-3</v>
      </c>
      <c r="F33" s="157">
        <v>623.88</v>
      </c>
      <c r="G33" s="185">
        <f t="shared" si="2"/>
        <v>1.1534984164079732E-2</v>
      </c>
      <c r="H33" s="157">
        <v>623.88</v>
      </c>
      <c r="I33" s="185">
        <f t="shared" si="3"/>
        <v>7.9420586669491054E-3</v>
      </c>
      <c r="J33" s="157">
        <v>623.88</v>
      </c>
      <c r="K33" s="185">
        <f t="shared" si="4"/>
        <v>5.1977075034008212E-3</v>
      </c>
      <c r="L33" s="157">
        <v>623.88</v>
      </c>
      <c r="M33" s="185">
        <f t="shared" si="5"/>
        <v>5.3498818254769558E-3</v>
      </c>
      <c r="N33" s="157">
        <v>623.88</v>
      </c>
      <c r="O33" s="185">
        <f t="shared" si="6"/>
        <v>6.5484445082620727E-3</v>
      </c>
      <c r="P33" s="157">
        <v>623.88</v>
      </c>
      <c r="Q33" s="185">
        <f t="shared" si="7"/>
        <v>5.8377358702425925E-3</v>
      </c>
      <c r="R33" s="157">
        <v>623.88</v>
      </c>
      <c r="S33" s="185">
        <f t="shared" si="8"/>
        <v>7.9685040496471973E-3</v>
      </c>
      <c r="T33" s="157">
        <v>623.88</v>
      </c>
      <c r="U33" s="185">
        <f t="shared" si="9"/>
        <v>9.5288134039985956E-3</v>
      </c>
      <c r="V33" s="157">
        <v>623.88</v>
      </c>
      <c r="W33" s="185">
        <f t="shared" si="12"/>
        <v>4.9638808210310439E-3</v>
      </c>
      <c r="X33" s="157">
        <v>623.88</v>
      </c>
      <c r="Y33" s="185">
        <f t="shared" si="13"/>
        <v>4.9808634981696196E-3</v>
      </c>
      <c r="Z33" s="191">
        <f t="shared" si="0"/>
        <v>613.20833333333337</v>
      </c>
      <c r="AA33" s="185">
        <f t="shared" si="20"/>
        <v>6.5032532041391991E-3</v>
      </c>
      <c r="AB33" s="172">
        <f t="shared" si="18"/>
        <v>7358.5000000000009</v>
      </c>
      <c r="AC33" s="173">
        <f t="shared" si="19"/>
        <v>6.5032532041392008E-3</v>
      </c>
      <c r="AF33" s="299"/>
    </row>
    <row r="34" spans="1:33" x14ac:dyDescent="0.3">
      <c r="A34" s="157" t="s">
        <v>182</v>
      </c>
      <c r="B34" s="176">
        <f>1141.7+45.85</f>
        <v>1187.55</v>
      </c>
      <c r="C34" s="185">
        <f>B34/B$2</f>
        <v>1.428169410440411E-2</v>
      </c>
      <c r="D34" s="176">
        <v>1141.7</v>
      </c>
      <c r="E34" s="185">
        <f>D34/D$2</f>
        <v>1.388487894482217E-2</v>
      </c>
      <c r="F34" s="176">
        <v>1141.7</v>
      </c>
      <c r="G34" s="185">
        <f>F34/F$2</f>
        <v>2.1109013624623054E-2</v>
      </c>
      <c r="H34" s="176">
        <v>1141.7</v>
      </c>
      <c r="I34" s="185">
        <f>H34/H$2</f>
        <v>1.4533962268474376E-2</v>
      </c>
      <c r="J34" s="176">
        <v>1141.7</v>
      </c>
      <c r="K34" s="185">
        <f>J34/J$2</f>
        <v>9.5118013987188534E-3</v>
      </c>
      <c r="L34" s="176">
        <v>1141.7</v>
      </c>
      <c r="M34" s="185">
        <f>L34/L$2</f>
        <v>9.7902803105517737E-3</v>
      </c>
      <c r="N34" s="176">
        <v>1141.7</v>
      </c>
      <c r="O34" s="185">
        <f>N34/N$2</f>
        <v>1.1983649251591346E-2</v>
      </c>
      <c r="P34" s="176">
        <v>1141.7</v>
      </c>
      <c r="Q34" s="185">
        <f>P34/P$2</f>
        <v>1.0683052899685786E-2</v>
      </c>
      <c r="R34" s="176">
        <v>1141.7</v>
      </c>
      <c r="S34" s="185">
        <f>R34/R$2</f>
        <v>1.4582357301856455E-2</v>
      </c>
      <c r="T34" s="176">
        <v>1141.7</v>
      </c>
      <c r="U34" s="185">
        <f>T34/T$2</f>
        <v>1.7437722419928827E-2</v>
      </c>
      <c r="V34" s="176">
        <v>1141.7</v>
      </c>
      <c r="W34" s="185">
        <f>V34/V$2</f>
        <v>9.0838987198998897E-3</v>
      </c>
      <c r="X34" s="176">
        <v>1143.2</v>
      </c>
      <c r="Y34" s="185">
        <f>X34/X$2</f>
        <v>9.126952540724995E-3</v>
      </c>
      <c r="Z34" s="191">
        <f t="shared" si="0"/>
        <v>1145.6458333333335</v>
      </c>
      <c r="AA34" s="185">
        <f>Z34/Z$2</f>
        <v>1.2149908165686578E-2</v>
      </c>
      <c r="AB34" s="172">
        <f t="shared" si="18"/>
        <v>13747.750000000002</v>
      </c>
      <c r="AC34" s="173">
        <f t="shared" si="19"/>
        <v>1.214990816568658E-2</v>
      </c>
      <c r="AF34"/>
    </row>
    <row r="35" spans="1:33" x14ac:dyDescent="0.3">
      <c r="A35" s="157" t="s">
        <v>137</v>
      </c>
      <c r="B35" s="157"/>
      <c r="C35" s="185">
        <f t="shared" si="16"/>
        <v>0</v>
      </c>
      <c r="D35" s="157"/>
      <c r="E35" s="185">
        <f t="shared" si="17"/>
        <v>0</v>
      </c>
      <c r="F35" s="157"/>
      <c r="G35" s="185">
        <f t="shared" si="2"/>
        <v>0</v>
      </c>
      <c r="H35" s="157"/>
      <c r="I35" s="185">
        <f t="shared" si="3"/>
        <v>0</v>
      </c>
      <c r="J35" s="226"/>
      <c r="K35" s="185">
        <f>J35/J$2</f>
        <v>0</v>
      </c>
      <c r="L35" s="157"/>
      <c r="M35" s="185">
        <f t="shared" si="5"/>
        <v>0</v>
      </c>
      <c r="N35" s="157"/>
      <c r="O35" s="185">
        <f t="shared" si="6"/>
        <v>0</v>
      </c>
      <c r="P35" s="157"/>
      <c r="Q35" s="185">
        <f t="shared" si="7"/>
        <v>0</v>
      </c>
      <c r="R35" s="157"/>
      <c r="S35" s="185">
        <f t="shared" si="8"/>
        <v>0</v>
      </c>
      <c r="T35" s="157"/>
      <c r="U35" s="185">
        <f t="shared" si="9"/>
        <v>0</v>
      </c>
      <c r="V35" s="157"/>
      <c r="W35" s="185">
        <f t="shared" si="12"/>
        <v>0</v>
      </c>
      <c r="X35" s="157"/>
      <c r="Y35" s="185">
        <f t="shared" si="13"/>
        <v>0</v>
      </c>
      <c r="Z35" s="191">
        <f t="shared" ref="Z35:Z60" si="21">(B35+D35+F35+H35+J35+L35+N35+P35+R35+T35+V35+X35)/AE$2</f>
        <v>0</v>
      </c>
      <c r="AA35" s="185">
        <f t="shared" si="20"/>
        <v>0</v>
      </c>
      <c r="AB35" s="172">
        <f t="shared" si="18"/>
        <v>0</v>
      </c>
      <c r="AC35" s="173">
        <f t="shared" si="19"/>
        <v>0</v>
      </c>
      <c r="AF35" s="299"/>
    </row>
    <row r="36" spans="1:33" x14ac:dyDescent="0.3">
      <c r="A36" s="157" t="s">
        <v>135</v>
      </c>
      <c r="B36" s="157">
        <v>15000</v>
      </c>
      <c r="C36" s="185">
        <f t="shared" si="16"/>
        <v>0.1803927510976899</v>
      </c>
      <c r="D36" s="157"/>
      <c r="E36" s="185">
        <f t="shared" si="17"/>
        <v>0</v>
      </c>
      <c r="F36" s="157">
        <v>8000</v>
      </c>
      <c r="G36" s="185">
        <f t="shared" si="2"/>
        <v>0.14791285714021585</v>
      </c>
      <c r="H36" s="157">
        <v>4000</v>
      </c>
      <c r="I36" s="185">
        <f t="shared" si="3"/>
        <v>5.0920424869841024E-2</v>
      </c>
      <c r="J36" s="157">
        <v>15526.4</v>
      </c>
      <c r="K36" s="185">
        <f>J36/J$2</f>
        <v>0.12935450051420547</v>
      </c>
      <c r="L36" s="157">
        <v>5000</v>
      </c>
      <c r="M36" s="185">
        <f t="shared" si="5"/>
        <v>4.2875888195461911E-2</v>
      </c>
      <c r="N36" s="157">
        <v>5000</v>
      </c>
      <c r="O36" s="185">
        <f t="shared" si="6"/>
        <v>5.2481603098849722E-2</v>
      </c>
      <c r="P36" s="157">
        <v>10000</v>
      </c>
      <c r="Q36" s="185">
        <f t="shared" si="7"/>
        <v>9.3571453969394633E-2</v>
      </c>
      <c r="R36" s="157">
        <v>15000</v>
      </c>
      <c r="S36" s="185">
        <f t="shared" si="8"/>
        <v>0.19158742185149061</v>
      </c>
      <c r="T36" s="157">
        <v>15000</v>
      </c>
      <c r="U36" s="185">
        <f t="shared" si="9"/>
        <v>0.22910207261008356</v>
      </c>
      <c r="V36" s="157">
        <v>15000</v>
      </c>
      <c r="W36" s="185">
        <f t="shared" si="12"/>
        <v>0.11934700954585122</v>
      </c>
      <c r="X36" s="157">
        <v>15000</v>
      </c>
      <c r="Y36" s="185">
        <f t="shared" si="13"/>
        <v>0.11975532549936574</v>
      </c>
      <c r="Z36" s="191">
        <f>(B36+D36+F36+H36+J36+L36+N36+P36+R36+T36+V36+X36)/AE$2</f>
        <v>10210.533333333333</v>
      </c>
      <c r="AA36" s="185">
        <f t="shared" si="20"/>
        <v>0.10828568368439778</v>
      </c>
      <c r="AB36" s="172">
        <f>L36+N36+P36+R36+T36+V36+X36+J36+H36+F36+D36+B36</f>
        <v>122526.39999999999</v>
      </c>
      <c r="AC36" s="173">
        <f t="shared" si="19"/>
        <v>0.10828568368439781</v>
      </c>
      <c r="AF36"/>
    </row>
    <row r="37" spans="1:33" x14ac:dyDescent="0.3">
      <c r="A37" s="157" t="s">
        <v>21</v>
      </c>
      <c r="B37" s="157">
        <v>456.38</v>
      </c>
      <c r="C37" s="185">
        <f t="shared" si="16"/>
        <v>5.4885095830642478E-3</v>
      </c>
      <c r="D37" s="157">
        <f>375.4+80.98</f>
        <v>456.38</v>
      </c>
      <c r="E37" s="185">
        <f t="shared" si="17"/>
        <v>5.550303103125113E-3</v>
      </c>
      <c r="F37" s="157">
        <f>80.98+375.4</f>
        <v>456.38</v>
      </c>
      <c r="G37" s="185">
        <f t="shared" si="2"/>
        <v>8.4380587177064637E-3</v>
      </c>
      <c r="H37" s="157">
        <v>80.98</v>
      </c>
      <c r="I37" s="185">
        <f t="shared" si="3"/>
        <v>1.0308840014899316E-3</v>
      </c>
      <c r="J37" s="157">
        <v>80.98</v>
      </c>
      <c r="K37" s="185">
        <f>J37/J$2</f>
        <v>6.7466556649579804E-4</v>
      </c>
      <c r="L37" s="157">
        <v>80.98</v>
      </c>
      <c r="M37" s="185">
        <f t="shared" si="5"/>
        <v>6.9441788521370118E-4</v>
      </c>
      <c r="N37" s="157">
        <v>80.98</v>
      </c>
      <c r="O37" s="185">
        <f t="shared" si="6"/>
        <v>8.4999204378897021E-4</v>
      </c>
      <c r="P37" s="157">
        <v>80.98</v>
      </c>
      <c r="Q37" s="185">
        <f t="shared" si="7"/>
        <v>7.5774163424415777E-4</v>
      </c>
      <c r="R37" s="157">
        <f>86.93+311.95</f>
        <v>398.88</v>
      </c>
      <c r="S37" s="185">
        <f t="shared" si="8"/>
        <v>5.0946927218748382E-3</v>
      </c>
      <c r="T37" s="157">
        <f>67.66+311.88</f>
        <v>379.53999999999996</v>
      </c>
      <c r="U37" s="185">
        <f t="shared" si="9"/>
        <v>5.7968933758954068E-3</v>
      </c>
      <c r="V37" s="157">
        <f>311.88+67.66</f>
        <v>379.53999999999996</v>
      </c>
      <c r="W37" s="185">
        <f t="shared" si="12"/>
        <v>3.0197976002021578E-3</v>
      </c>
      <c r="X37" s="157">
        <f>63.01+311.88+271.97</f>
        <v>646.86</v>
      </c>
      <c r="Y37" s="185">
        <f t="shared" si="13"/>
        <v>5.1643286568346485E-3</v>
      </c>
      <c r="Z37" s="191">
        <f t="shared" si="21"/>
        <v>298.23833333333334</v>
      </c>
      <c r="AA37" s="185">
        <f t="shared" si="20"/>
        <v>3.1629044998526348E-3</v>
      </c>
      <c r="AB37" s="172">
        <f t="shared" si="18"/>
        <v>3578.86</v>
      </c>
      <c r="AC37" s="173">
        <f t="shared" si="19"/>
        <v>3.1629044998526356E-3</v>
      </c>
      <c r="AF37" s="299"/>
    </row>
    <row r="38" spans="1:33" x14ac:dyDescent="0.3">
      <c r="A38" s="157" t="s">
        <v>140</v>
      </c>
      <c r="B38" s="157">
        <v>300</v>
      </c>
      <c r="C38" s="185">
        <f t="shared" si="16"/>
        <v>3.6078550219537982E-3</v>
      </c>
      <c r="D38" s="157">
        <f>300+455</f>
        <v>755</v>
      </c>
      <c r="E38" s="185">
        <f t="shared" si="17"/>
        <v>9.1819949227824639E-3</v>
      </c>
      <c r="F38" s="157">
        <v>300</v>
      </c>
      <c r="G38" s="185">
        <f t="shared" si="2"/>
        <v>5.5467321427580939E-3</v>
      </c>
      <c r="H38" s="157">
        <v>300</v>
      </c>
      <c r="I38" s="185">
        <f t="shared" si="3"/>
        <v>3.819031865238077E-3</v>
      </c>
      <c r="J38" s="157">
        <f>300+565</f>
        <v>865</v>
      </c>
      <c r="K38" s="185">
        <f t="shared" si="4"/>
        <v>7.2065413067283939E-3</v>
      </c>
      <c r="L38" s="157">
        <f>300+287.5</f>
        <v>587.5</v>
      </c>
      <c r="M38" s="185">
        <f t="shared" si="5"/>
        <v>5.0379168629667744E-3</v>
      </c>
      <c r="N38" s="157">
        <f>300+287.5</f>
        <v>587.5</v>
      </c>
      <c r="O38" s="185">
        <f t="shared" si="6"/>
        <v>6.1665883641148422E-3</v>
      </c>
      <c r="P38" s="157">
        <v>300</v>
      </c>
      <c r="Q38" s="185">
        <f t="shared" si="7"/>
        <v>2.807143619081839E-3</v>
      </c>
      <c r="R38" s="157">
        <f>300+797.66</f>
        <v>1097.6599999999999</v>
      </c>
      <c r="S38" s="185">
        <f t="shared" si="8"/>
        <v>1.4019856631300478E-2</v>
      </c>
      <c r="T38" s="157">
        <f>300+797.66</f>
        <v>1097.6599999999999</v>
      </c>
      <c r="U38" s="185">
        <f t="shared" si="9"/>
        <v>1.6765078734745618E-2</v>
      </c>
      <c r="V38" s="157">
        <f>300+797.68</f>
        <v>1097.6799999999998</v>
      </c>
      <c r="W38" s="185">
        <f t="shared" si="12"/>
        <v>8.73365502921933E-3</v>
      </c>
      <c r="X38" s="157">
        <v>300</v>
      </c>
      <c r="Y38" s="185">
        <f t="shared" si="13"/>
        <v>2.3951065099873147E-3</v>
      </c>
      <c r="Z38" s="191">
        <f t="shared" si="21"/>
        <v>632.33333333333337</v>
      </c>
      <c r="AA38" s="185">
        <f t="shared" si="20"/>
        <v>6.7060794065377785E-3</v>
      </c>
      <c r="AB38" s="172">
        <f t="shared" si="18"/>
        <v>7588</v>
      </c>
      <c r="AC38" s="173">
        <f t="shared" si="19"/>
        <v>6.7060794065377793E-3</v>
      </c>
      <c r="AF38"/>
    </row>
    <row r="39" spans="1:33" x14ac:dyDescent="0.3">
      <c r="A39" s="157" t="s">
        <v>22</v>
      </c>
      <c r="B39" s="157">
        <f>69.8+59+188.86+343.35+199.5</f>
        <v>860.51</v>
      </c>
      <c r="C39" s="185">
        <f t="shared" si="16"/>
        <v>1.0348651083138209E-2</v>
      </c>
      <c r="D39" s="157">
        <f>69.8+208.75+343.35+199.5+59</f>
        <v>880.40000000000009</v>
      </c>
      <c r="E39" s="185">
        <f t="shared" si="17"/>
        <v>1.0707057390751895E-2</v>
      </c>
      <c r="F39" s="157">
        <f>343.35+199.5+59+70.41+69.8</f>
        <v>742.06</v>
      </c>
      <c r="G39" s="185">
        <f t="shared" si="2"/>
        <v>1.3720026846183569E-2</v>
      </c>
      <c r="H39" s="157">
        <f>220.24+343.35+199.5+59</f>
        <v>822.09</v>
      </c>
      <c r="I39" s="185">
        <f t="shared" si="3"/>
        <v>1.0465293020311904E-2</v>
      </c>
      <c r="J39" s="157">
        <f>236.87+228.65+159.6+59</f>
        <v>684.12</v>
      </c>
      <c r="K39" s="185">
        <f t="shared" si="4"/>
        <v>5.699582703767663E-3</v>
      </c>
      <c r="L39" s="157">
        <f>205.12+236.87+159.6+59</f>
        <v>660.59</v>
      </c>
      <c r="M39" s="185">
        <f t="shared" si="5"/>
        <v>5.6646765966080368E-3</v>
      </c>
      <c r="N39" s="157">
        <f>162.95+236.87+194.4+59</f>
        <v>653.22</v>
      </c>
      <c r="O39" s="185">
        <f t="shared" si="6"/>
        <v>6.8564065552461232E-3</v>
      </c>
      <c r="P39" s="157">
        <f>159.6+236.87+59+194.4</f>
        <v>649.87</v>
      </c>
      <c r="Q39" s="185">
        <f t="shared" si="7"/>
        <v>6.0809280791090494E-3</v>
      </c>
      <c r="R39" s="157">
        <f>309.52+194.4+159.6+59</f>
        <v>722.52</v>
      </c>
      <c r="S39" s="185">
        <f t="shared" si="8"/>
        <v>9.2283829357426E-3</v>
      </c>
      <c r="T39" s="157">
        <f>194.4+59+309.52+199.5+299</f>
        <v>1061.42</v>
      </c>
      <c r="U39" s="185">
        <f t="shared" si="9"/>
        <v>1.6211568127319661E-2</v>
      </c>
      <c r="V39" s="157">
        <f>199.26+309.52+199.5+59</f>
        <v>767.28</v>
      </c>
      <c r="W39" s="185">
        <f t="shared" si="12"/>
        <v>6.1048382322893809E-3</v>
      </c>
      <c r="X39" s="157">
        <f>219.65+59+408.52+218.7</f>
        <v>905.86999999999989</v>
      </c>
      <c r="Y39" s="185">
        <f t="shared" si="13"/>
        <v>7.2321837806740286E-3</v>
      </c>
      <c r="Z39" s="191">
        <f t="shared" si="21"/>
        <v>784.16250000000002</v>
      </c>
      <c r="AA39" s="185">
        <f t="shared" si="20"/>
        <v>8.3162719967778288E-3</v>
      </c>
      <c r="AB39" s="172">
        <f t="shared" si="18"/>
        <v>9409.9499999999989</v>
      </c>
      <c r="AC39" s="173">
        <f t="shared" si="19"/>
        <v>8.3162719967778288E-3</v>
      </c>
      <c r="AF39" s="299"/>
    </row>
    <row r="40" spans="1:33" x14ac:dyDescent="0.3">
      <c r="A40" s="157" t="s">
        <v>23</v>
      </c>
      <c r="B40" s="157">
        <v>209.79</v>
      </c>
      <c r="C40" s="185">
        <f>B40/B$2</f>
        <v>2.5229730168522908E-3</v>
      </c>
      <c r="D40" s="157">
        <f>100.72+109.99</f>
        <v>210.70999999999998</v>
      </c>
      <c r="E40" s="185">
        <f t="shared" si="17"/>
        <v>2.5625670863304536E-3</v>
      </c>
      <c r="F40" s="157">
        <f>99.8+109.99</f>
        <v>209.79</v>
      </c>
      <c r="G40" s="185">
        <f t="shared" si="2"/>
        <v>3.8788297874307351E-3</v>
      </c>
      <c r="H40" s="157">
        <v>210.94</v>
      </c>
      <c r="I40" s="185">
        <f t="shared" si="3"/>
        <v>2.6852886055110667E-3</v>
      </c>
      <c r="J40" s="157">
        <f>101.81+109.99</f>
        <v>211.8</v>
      </c>
      <c r="K40" s="185">
        <f t="shared" si="4"/>
        <v>1.7645612124451721E-3</v>
      </c>
      <c r="L40" s="157">
        <f>99.8+109.99</f>
        <v>209.79</v>
      </c>
      <c r="M40" s="185">
        <f t="shared" si="5"/>
        <v>1.7989865169051908E-3</v>
      </c>
      <c r="N40" s="157">
        <v>210.06</v>
      </c>
      <c r="O40" s="185">
        <f t="shared" si="6"/>
        <v>2.2048571093888744E-3</v>
      </c>
      <c r="P40" s="157">
        <v>219.71</v>
      </c>
      <c r="Q40" s="185">
        <f t="shared" si="7"/>
        <v>2.0558584151615699E-3</v>
      </c>
      <c r="R40" s="157">
        <f>30+102.15+115.5</f>
        <v>247.65</v>
      </c>
      <c r="S40" s="185">
        <f t="shared" si="8"/>
        <v>3.1631083347681099E-3</v>
      </c>
      <c r="T40" s="157">
        <v>218.64</v>
      </c>
      <c r="U40" s="185">
        <f t="shared" si="9"/>
        <v>3.3393918103645777E-3</v>
      </c>
      <c r="V40" s="157">
        <v>282.54000000000002</v>
      </c>
      <c r="W40" s="185">
        <f t="shared" si="12"/>
        <v>2.2480202718056538E-3</v>
      </c>
      <c r="X40" s="157">
        <f>165.49+99.8+50</f>
        <v>315.29000000000002</v>
      </c>
      <c r="Y40" s="185">
        <f t="shared" si="13"/>
        <v>2.5171771051130019E-3</v>
      </c>
      <c r="Z40" s="191">
        <f t="shared" si="21"/>
        <v>229.72583333333333</v>
      </c>
      <c r="AA40" s="185">
        <f t="shared" si="20"/>
        <v>2.43630945714243E-3</v>
      </c>
      <c r="AB40" s="172">
        <f t="shared" si="18"/>
        <v>2756.7099999999996</v>
      </c>
      <c r="AC40" s="173">
        <f t="shared" si="19"/>
        <v>2.43630945714243E-3</v>
      </c>
    </row>
    <row r="41" spans="1:33" x14ac:dyDescent="0.3">
      <c r="A41" s="157" t="s">
        <v>127</v>
      </c>
      <c r="B41" s="157">
        <f>246.86+102.97</f>
        <v>349.83000000000004</v>
      </c>
      <c r="C41" s="185">
        <f>B41/B$2</f>
        <v>4.2071197411003248E-3</v>
      </c>
      <c r="D41" s="157">
        <f>244.96+102.97</f>
        <v>347.93</v>
      </c>
      <c r="E41" s="185">
        <f t="shared" si="17"/>
        <v>4.2313794615678182E-3</v>
      </c>
      <c r="F41" s="157">
        <f>102.35+245.67</f>
        <v>348.02</v>
      </c>
      <c r="G41" s="185">
        <f t="shared" si="2"/>
        <v>6.4345790677422391E-3</v>
      </c>
      <c r="H41" s="157">
        <f>245.52+102.97</f>
        <v>348.49</v>
      </c>
      <c r="I41" s="185">
        <f t="shared" si="3"/>
        <v>4.4363147157227252E-3</v>
      </c>
      <c r="J41" s="157">
        <f>102.97+268.29</f>
        <v>371.26</v>
      </c>
      <c r="K41" s="185">
        <f t="shared" si="4"/>
        <v>3.0930641913710791E-3</v>
      </c>
      <c r="L41" s="157">
        <f>178.47+102.97</f>
        <v>281.44</v>
      </c>
      <c r="M41" s="185">
        <f t="shared" si="5"/>
        <v>2.4133979947461599E-3</v>
      </c>
      <c r="N41" s="157">
        <f>171.69+102.48</f>
        <v>274.17</v>
      </c>
      <c r="O41" s="185">
        <f t="shared" si="6"/>
        <v>2.8777762243223258E-3</v>
      </c>
      <c r="P41" s="157">
        <f>261.89+122.53</f>
        <v>384.41999999999996</v>
      </c>
      <c r="Q41" s="185">
        <f t="shared" si="7"/>
        <v>3.5970738334914682E-3</v>
      </c>
      <c r="R41" s="157">
        <f>172.83+102.97</f>
        <v>275.8</v>
      </c>
      <c r="S41" s="185">
        <f t="shared" si="8"/>
        <v>3.5226540631094075E-3</v>
      </c>
      <c r="T41" s="157">
        <f>174.04+109.85</f>
        <v>283.89</v>
      </c>
      <c r="U41" s="185">
        <f t="shared" si="9"/>
        <v>4.3359858262184406E-3</v>
      </c>
      <c r="V41" s="157">
        <f>171.69+110.99</f>
        <v>282.68</v>
      </c>
      <c r="W41" s="185">
        <f t="shared" si="12"/>
        <v>2.2491341772280815E-3</v>
      </c>
      <c r="X41" s="157">
        <f>171.69+120.78</f>
        <v>292.47000000000003</v>
      </c>
      <c r="Y41" s="185">
        <f t="shared" si="13"/>
        <v>2.3349893365866336E-3</v>
      </c>
      <c r="Z41" s="191">
        <f t="shared" si="21"/>
        <v>320.0333333333333</v>
      </c>
      <c r="AA41" s="185">
        <f t="shared" si="20"/>
        <v>3.3940468308997999E-3</v>
      </c>
      <c r="AB41" s="172">
        <f t="shared" si="18"/>
        <v>3840.3999999999996</v>
      </c>
      <c r="AC41" s="173">
        <f t="shared" si="19"/>
        <v>3.3940468308998003E-3</v>
      </c>
    </row>
    <row r="42" spans="1:33" x14ac:dyDescent="0.3">
      <c r="A42" s="157" t="s">
        <v>156</v>
      </c>
      <c r="B42" s="157">
        <v>144.68</v>
      </c>
      <c r="C42" s="185">
        <f>B42/B$2</f>
        <v>1.7399482152542518E-3</v>
      </c>
      <c r="D42" s="157"/>
      <c r="E42" s="185">
        <f>D42/D$2</f>
        <v>0</v>
      </c>
      <c r="F42" s="157">
        <f>227.57+100.73</f>
        <v>328.3</v>
      </c>
      <c r="G42" s="185">
        <f>F42/F$2</f>
        <v>6.0699738748916073E-3</v>
      </c>
      <c r="H42" s="157">
        <v>310.14</v>
      </c>
      <c r="I42" s="185">
        <f>H42/H$2</f>
        <v>3.948115142283124E-3</v>
      </c>
      <c r="J42" s="157">
        <f>184.37</f>
        <v>184.37</v>
      </c>
      <c r="K42" s="185">
        <f>J42/J$2</f>
        <v>1.5360347060364324E-3</v>
      </c>
      <c r="L42" s="157">
        <v>150.03</v>
      </c>
      <c r="M42" s="185">
        <f>L42/L$2</f>
        <v>1.2865339011930302E-3</v>
      </c>
      <c r="N42" s="157">
        <v>314.20999999999998</v>
      </c>
      <c r="O42" s="185">
        <f>N42/N$2</f>
        <v>3.2980489019379142E-3</v>
      </c>
      <c r="P42" s="157"/>
      <c r="Q42" s="185">
        <f>P42/P$2</f>
        <v>0</v>
      </c>
      <c r="R42" s="157">
        <v>199.9</v>
      </c>
      <c r="S42" s="185">
        <f>R42/R$2</f>
        <v>2.5532217085408649E-3</v>
      </c>
      <c r="T42" s="157">
        <f>242+8</f>
        <v>250</v>
      </c>
      <c r="U42" s="185">
        <f>T42/T$2</f>
        <v>3.8183678768347259E-3</v>
      </c>
      <c r="V42" s="157">
        <v>251.95</v>
      </c>
      <c r="W42" s="185">
        <f>V42/V$2</f>
        <v>2.0046319370051473E-3</v>
      </c>
      <c r="X42" s="157">
        <v>362.11</v>
      </c>
      <c r="Y42" s="185">
        <f>X42/X$2</f>
        <v>2.890973394438355E-3</v>
      </c>
      <c r="Z42" s="191">
        <f t="shared" si="21"/>
        <v>207.97416666666666</v>
      </c>
      <c r="AA42" s="185">
        <f>Z42/Z$2</f>
        <v>2.2056266887325077E-3</v>
      </c>
      <c r="AB42" s="172">
        <f t="shared" si="18"/>
        <v>2495.6899999999996</v>
      </c>
      <c r="AC42" s="173">
        <f t="shared" si="19"/>
        <v>2.2056266887325077E-3</v>
      </c>
    </row>
    <row r="43" spans="1:33" x14ac:dyDescent="0.3">
      <c r="A43" s="157" t="s">
        <v>157</v>
      </c>
      <c r="B43" s="157"/>
      <c r="C43" s="185">
        <f>B43/B$2</f>
        <v>0</v>
      </c>
      <c r="D43" s="157"/>
      <c r="E43" s="185">
        <f>D43/D$2</f>
        <v>0</v>
      </c>
      <c r="F43" s="157">
        <v>228</v>
      </c>
      <c r="G43" s="185">
        <f>F43/F$2</f>
        <v>4.2155164284961516E-3</v>
      </c>
      <c r="H43" s="157">
        <v>300</v>
      </c>
      <c r="I43" s="185">
        <f>H43/H$2</f>
        <v>3.819031865238077E-3</v>
      </c>
      <c r="J43" s="157">
        <v>430</v>
      </c>
      <c r="K43" s="185">
        <f>J43/J$2</f>
        <v>3.5824424992985078E-3</v>
      </c>
      <c r="L43" s="157">
        <v>326</v>
      </c>
      <c r="M43" s="185">
        <f>L43/L$2</f>
        <v>2.7955079103441165E-3</v>
      </c>
      <c r="N43" s="157">
        <v>350</v>
      </c>
      <c r="O43" s="185">
        <f>N43/N$2</f>
        <v>3.6737122169194806E-3</v>
      </c>
      <c r="P43" s="157">
        <v>300</v>
      </c>
      <c r="Q43" s="185">
        <f>P43/P$2</f>
        <v>2.807143619081839E-3</v>
      </c>
      <c r="R43" s="157">
        <v>300</v>
      </c>
      <c r="S43" s="185">
        <f>R43/R$2</f>
        <v>3.8317484370298124E-3</v>
      </c>
      <c r="T43" s="157">
        <v>375</v>
      </c>
      <c r="U43" s="185">
        <f>T43/T$2</f>
        <v>5.7275518152520889E-3</v>
      </c>
      <c r="V43" s="157">
        <v>300</v>
      </c>
      <c r="W43" s="185">
        <f>V43/V$2</f>
        <v>2.3869401909170241E-3</v>
      </c>
      <c r="X43" s="157">
        <v>225</v>
      </c>
      <c r="Y43" s="185">
        <f>X43/X$2</f>
        <v>1.796329882490486E-3</v>
      </c>
      <c r="Z43" s="191">
        <f t="shared" si="21"/>
        <v>261.16666666666669</v>
      </c>
      <c r="AA43" s="185">
        <f>Z43/Z$2</f>
        <v>2.7697486636912754E-3</v>
      </c>
      <c r="AB43" s="172">
        <f t="shared" si="18"/>
        <v>3134</v>
      </c>
      <c r="AC43" s="173">
        <f t="shared" si="19"/>
        <v>2.7697486636912758E-3</v>
      </c>
    </row>
    <row r="44" spans="1:33" x14ac:dyDescent="0.3">
      <c r="A44" s="157" t="s">
        <v>163</v>
      </c>
      <c r="B44" s="157">
        <v>144.72</v>
      </c>
      <c r="C44" s="185">
        <f t="shared" si="16"/>
        <v>1.7404292625905122E-3</v>
      </c>
      <c r="D44" s="157"/>
      <c r="E44" s="185">
        <f t="shared" si="17"/>
        <v>0</v>
      </c>
      <c r="F44" s="157">
        <v>16.5</v>
      </c>
      <c r="G44" s="185">
        <f t="shared" si="2"/>
        <v>3.0507026785169515E-4</v>
      </c>
      <c r="H44" s="157"/>
      <c r="I44" s="185">
        <f t="shared" si="3"/>
        <v>0</v>
      </c>
      <c r="J44" s="157">
        <v>257.7</v>
      </c>
      <c r="K44" s="185">
        <f t="shared" si="4"/>
        <v>2.1469661210912218E-3</v>
      </c>
      <c r="L44" s="157">
        <v>40</v>
      </c>
      <c r="M44" s="185">
        <f t="shared" si="5"/>
        <v>3.4300710556369531E-4</v>
      </c>
      <c r="N44" s="157"/>
      <c r="O44" s="185">
        <f t="shared" si="6"/>
        <v>0</v>
      </c>
      <c r="P44" s="157">
        <v>11</v>
      </c>
      <c r="Q44" s="185">
        <f t="shared" si="7"/>
        <v>1.029285993663341E-4</v>
      </c>
      <c r="R44" s="157">
        <v>530</v>
      </c>
      <c r="S44" s="185">
        <f t="shared" si="8"/>
        <v>6.7694222387526684E-3</v>
      </c>
      <c r="T44" s="157"/>
      <c r="U44" s="185">
        <f t="shared" si="9"/>
        <v>0</v>
      </c>
      <c r="V44" s="157">
        <v>63.6</v>
      </c>
      <c r="W44" s="185">
        <f t="shared" si="12"/>
        <v>5.0603132047440916E-4</v>
      </c>
      <c r="X44" s="157">
        <v>282.89999999999998</v>
      </c>
      <c r="Y44" s="185">
        <f t="shared" si="13"/>
        <v>2.2585854389180378E-3</v>
      </c>
      <c r="Z44" s="191">
        <f t="shared" si="21"/>
        <v>112.20166666666667</v>
      </c>
      <c r="AA44" s="185">
        <f t="shared" si="20"/>
        <v>1.1899313962243799E-3</v>
      </c>
      <c r="AB44" s="172">
        <f t="shared" si="18"/>
        <v>1346.42</v>
      </c>
      <c r="AC44" s="173">
        <f t="shared" si="19"/>
        <v>1.1899313962243803E-3</v>
      </c>
    </row>
    <row r="45" spans="1:33" x14ac:dyDescent="0.3">
      <c r="A45" s="157" t="s">
        <v>152</v>
      </c>
      <c r="B45" s="157">
        <v>954.06</v>
      </c>
      <c r="C45" s="185">
        <f t="shared" si="16"/>
        <v>1.1473700540817469E-2</v>
      </c>
      <c r="D45" s="157">
        <v>90.18</v>
      </c>
      <c r="E45" s="185">
        <f t="shared" si="17"/>
        <v>1.0967315260086391E-3</v>
      </c>
      <c r="F45" s="157">
        <v>96.76</v>
      </c>
      <c r="G45" s="185">
        <f t="shared" si="2"/>
        <v>1.7890060071109107E-3</v>
      </c>
      <c r="H45" s="157">
        <v>217.7</v>
      </c>
      <c r="I45" s="185">
        <f t="shared" si="3"/>
        <v>2.7713441235410977E-3</v>
      </c>
      <c r="J45" s="157"/>
      <c r="K45" s="185">
        <f t="shared" si="4"/>
        <v>0</v>
      </c>
      <c r="L45" s="157">
        <v>139.47999999999999</v>
      </c>
      <c r="M45" s="185">
        <f t="shared" si="5"/>
        <v>1.1960657771006055E-3</v>
      </c>
      <c r="N45" s="157">
        <v>223.19</v>
      </c>
      <c r="O45" s="185">
        <f t="shared" si="6"/>
        <v>2.3426737991264538E-3</v>
      </c>
      <c r="P45" s="157">
        <v>88.05</v>
      </c>
      <c r="Q45" s="185">
        <f t="shared" si="7"/>
        <v>8.2389665220051979E-4</v>
      </c>
      <c r="R45" s="157">
        <v>205.53</v>
      </c>
      <c r="S45" s="185">
        <f t="shared" si="8"/>
        <v>2.6251308542091243E-3</v>
      </c>
      <c r="T45" s="157">
        <v>194.4</v>
      </c>
      <c r="U45" s="185">
        <f t="shared" si="9"/>
        <v>2.9691628610266827E-3</v>
      </c>
      <c r="V45" s="157">
        <v>61.61</v>
      </c>
      <c r="W45" s="185">
        <f t="shared" si="12"/>
        <v>4.9019795054132626E-4</v>
      </c>
      <c r="X45" s="157"/>
      <c r="Y45" s="185">
        <f t="shared" si="13"/>
        <v>0</v>
      </c>
      <c r="Z45" s="191">
        <f t="shared" si="21"/>
        <v>189.24666666666667</v>
      </c>
      <c r="AA45" s="185">
        <f t="shared" si="20"/>
        <v>2.0070160897563299E-3</v>
      </c>
      <c r="AB45" s="172">
        <f t="shared" si="18"/>
        <v>2270.96</v>
      </c>
      <c r="AC45" s="173">
        <f t="shared" si="19"/>
        <v>2.0070160897563303E-3</v>
      </c>
      <c r="AG45" s="257"/>
    </row>
    <row r="46" spans="1:33" x14ac:dyDescent="0.3">
      <c r="A46" s="157" t="s">
        <v>17</v>
      </c>
      <c r="B46" s="157">
        <v>551.32000000000005</v>
      </c>
      <c r="C46" s="185">
        <f t="shared" si="16"/>
        <v>6.6302754356785606E-3</v>
      </c>
      <c r="D46" s="157">
        <v>358.94</v>
      </c>
      <c r="E46" s="185">
        <f t="shared" si="17"/>
        <v>4.3652784868656123E-3</v>
      </c>
      <c r="F46" s="157">
        <f>200.68+240.74</f>
        <v>441.42</v>
      </c>
      <c r="G46" s="185">
        <f t="shared" si="2"/>
        <v>8.1614616748542593E-3</v>
      </c>
      <c r="H46" s="157">
        <v>197.09</v>
      </c>
      <c r="I46" s="185">
        <f t="shared" si="3"/>
        <v>2.5089766343992419E-3</v>
      </c>
      <c r="J46" s="157">
        <v>114.72</v>
      </c>
      <c r="K46" s="185">
        <f t="shared" si="4"/>
        <v>9.5576233376633681E-4</v>
      </c>
      <c r="L46" s="157">
        <v>200</v>
      </c>
      <c r="M46" s="185">
        <f t="shared" si="5"/>
        <v>1.7150355278184764E-3</v>
      </c>
      <c r="N46" s="157">
        <v>218.65</v>
      </c>
      <c r="O46" s="185">
        <f t="shared" si="6"/>
        <v>2.2950205035126986E-3</v>
      </c>
      <c r="P46" s="157">
        <v>380.28</v>
      </c>
      <c r="Q46" s="185">
        <f t="shared" si="7"/>
        <v>3.5583352515481392E-3</v>
      </c>
      <c r="R46" s="157">
        <v>176.85</v>
      </c>
      <c r="S46" s="185">
        <f t="shared" si="8"/>
        <v>2.2588157036290742E-3</v>
      </c>
      <c r="T46" s="157">
        <v>380.33</v>
      </c>
      <c r="U46" s="185">
        <f t="shared" si="9"/>
        <v>5.8089594183862048E-3</v>
      </c>
      <c r="V46" s="157">
        <v>219.2</v>
      </c>
      <c r="W46" s="185">
        <f t="shared" si="12"/>
        <v>1.7440576328300391E-3</v>
      </c>
      <c r="X46" s="157">
        <v>23.89</v>
      </c>
      <c r="Y46" s="185">
        <f t="shared" si="13"/>
        <v>1.9073031507865651E-4</v>
      </c>
      <c r="Z46" s="191">
        <f t="shared" si="21"/>
        <v>271.89083333333332</v>
      </c>
      <c r="AA46" s="185">
        <f t="shared" si="20"/>
        <v>2.8834815786658858E-3</v>
      </c>
      <c r="AB46" s="172">
        <f t="shared" si="18"/>
        <v>3262.69</v>
      </c>
      <c r="AC46" s="173">
        <f t="shared" si="19"/>
        <v>2.8834815786658867E-3</v>
      </c>
      <c r="AG46" s="257"/>
    </row>
    <row r="47" spans="1:33" x14ac:dyDescent="0.3">
      <c r="A47" s="157" t="s">
        <v>153</v>
      </c>
      <c r="B47" s="157"/>
      <c r="C47" s="185">
        <f t="shared" si="16"/>
        <v>0</v>
      </c>
      <c r="D47" s="157"/>
      <c r="E47" s="185">
        <f t="shared" si="17"/>
        <v>0</v>
      </c>
      <c r="F47" s="157"/>
      <c r="G47" s="185">
        <f t="shared" si="2"/>
        <v>0</v>
      </c>
      <c r="H47" s="157"/>
      <c r="I47" s="185">
        <f t="shared" si="3"/>
        <v>0</v>
      </c>
      <c r="J47" s="157"/>
      <c r="K47" s="185">
        <f t="shared" si="4"/>
        <v>0</v>
      </c>
      <c r="L47" s="157"/>
      <c r="M47" s="185">
        <f t="shared" si="5"/>
        <v>0</v>
      </c>
      <c r="N47" s="157"/>
      <c r="O47" s="185">
        <f t="shared" si="6"/>
        <v>0</v>
      </c>
      <c r="P47" s="157"/>
      <c r="Q47" s="185">
        <f t="shared" si="7"/>
        <v>0</v>
      </c>
      <c r="R47" s="157"/>
      <c r="S47" s="185">
        <f t="shared" si="8"/>
        <v>0</v>
      </c>
      <c r="T47" s="157">
        <v>10</v>
      </c>
      <c r="U47" s="185">
        <f t="shared" si="9"/>
        <v>1.5273471507338903E-4</v>
      </c>
      <c r="V47" s="157"/>
      <c r="W47" s="185">
        <f t="shared" si="12"/>
        <v>0</v>
      </c>
      <c r="X47" s="157"/>
      <c r="Y47" s="185">
        <f t="shared" si="13"/>
        <v>0</v>
      </c>
      <c r="Z47" s="191">
        <f t="shared" si="21"/>
        <v>0.83333333333333337</v>
      </c>
      <c r="AA47" s="185">
        <f t="shared" si="20"/>
        <v>8.8377430239032404E-6</v>
      </c>
      <c r="AB47" s="172">
        <f t="shared" si="18"/>
        <v>10</v>
      </c>
      <c r="AC47" s="173">
        <f t="shared" si="19"/>
        <v>8.8377430239032421E-6</v>
      </c>
      <c r="AG47" s="257"/>
    </row>
    <row r="48" spans="1:33" x14ac:dyDescent="0.3">
      <c r="A48" s="157" t="s">
        <v>154</v>
      </c>
      <c r="B48" s="176"/>
      <c r="C48" s="185">
        <f t="shared" si="16"/>
        <v>0</v>
      </c>
      <c r="D48" s="176"/>
      <c r="E48" s="185">
        <f t="shared" si="17"/>
        <v>0</v>
      </c>
      <c r="F48" s="176"/>
      <c r="G48" s="185">
        <f t="shared" si="2"/>
        <v>0</v>
      </c>
      <c r="H48" s="176"/>
      <c r="I48" s="185">
        <f t="shared" si="3"/>
        <v>0</v>
      </c>
      <c r="J48" s="176"/>
      <c r="K48" s="185">
        <f t="shared" si="4"/>
        <v>0</v>
      </c>
      <c r="L48" s="176"/>
      <c r="M48" s="185">
        <f t="shared" si="5"/>
        <v>0</v>
      </c>
      <c r="N48" s="176"/>
      <c r="O48" s="185">
        <f t="shared" si="6"/>
        <v>0</v>
      </c>
      <c r="P48" s="176"/>
      <c r="Q48" s="185">
        <f t="shared" si="7"/>
        <v>0</v>
      </c>
      <c r="R48" s="176"/>
      <c r="S48" s="185">
        <f t="shared" si="8"/>
        <v>0</v>
      </c>
      <c r="T48" s="176"/>
      <c r="U48" s="185">
        <f t="shared" si="9"/>
        <v>0</v>
      </c>
      <c r="V48" s="176"/>
      <c r="W48" s="185">
        <f t="shared" si="12"/>
        <v>0</v>
      </c>
      <c r="X48" s="176"/>
      <c r="Y48" s="185">
        <f t="shared" si="13"/>
        <v>0</v>
      </c>
      <c r="Z48" s="191">
        <f t="shared" si="21"/>
        <v>0</v>
      </c>
      <c r="AA48" s="185">
        <f t="shared" si="20"/>
        <v>0</v>
      </c>
      <c r="AB48" s="172">
        <f t="shared" si="18"/>
        <v>0</v>
      </c>
      <c r="AC48" s="173">
        <f t="shared" si="19"/>
        <v>0</v>
      </c>
      <c r="AG48" s="257"/>
    </row>
    <row r="49" spans="1:232" x14ac:dyDescent="0.3">
      <c r="A49" s="165" t="s">
        <v>155</v>
      </c>
      <c r="B49" s="176">
        <v>31.97</v>
      </c>
      <c r="C49" s="185">
        <f t="shared" si="16"/>
        <v>3.8447708350620974E-4</v>
      </c>
      <c r="D49" s="176"/>
      <c r="E49" s="185">
        <f t="shared" si="17"/>
        <v>0</v>
      </c>
      <c r="F49" s="176">
        <v>11.54</v>
      </c>
      <c r="G49" s="185">
        <f t="shared" si="2"/>
        <v>2.1336429642476132E-4</v>
      </c>
      <c r="H49" s="176">
        <v>17.3</v>
      </c>
      <c r="I49" s="185">
        <f t="shared" si="3"/>
        <v>2.2023083756206245E-4</v>
      </c>
      <c r="J49" s="176">
        <v>20.14</v>
      </c>
      <c r="K49" s="185">
        <f t="shared" si="4"/>
        <v>1.6779160915319057E-4</v>
      </c>
      <c r="L49" s="176">
        <v>11</v>
      </c>
      <c r="M49" s="185">
        <f t="shared" si="5"/>
        <v>9.4326954030016206E-5</v>
      </c>
      <c r="N49" s="176">
        <v>7.94</v>
      </c>
      <c r="O49" s="185">
        <f t="shared" si="6"/>
        <v>8.3340785720973363E-5</v>
      </c>
      <c r="P49" s="176"/>
      <c r="Q49" s="185">
        <f t="shared" si="7"/>
        <v>0</v>
      </c>
      <c r="R49" s="176">
        <v>14.5</v>
      </c>
      <c r="S49" s="185">
        <f t="shared" si="8"/>
        <v>1.8520117445644093E-4</v>
      </c>
      <c r="T49" s="176">
        <v>7.1</v>
      </c>
      <c r="U49" s="185">
        <f t="shared" si="9"/>
        <v>1.0844164770210621E-4</v>
      </c>
      <c r="V49" s="176">
        <v>23.72</v>
      </c>
      <c r="W49" s="185">
        <f t="shared" si="12"/>
        <v>1.8872740442850604E-4</v>
      </c>
      <c r="X49" s="176">
        <v>23.01</v>
      </c>
      <c r="Y49" s="185">
        <f t="shared" si="13"/>
        <v>1.8370466931602706E-4</v>
      </c>
      <c r="Z49" s="191">
        <f t="shared" si="21"/>
        <v>14.018333333333331</v>
      </c>
      <c r="AA49" s="185">
        <f t="shared" si="20"/>
        <v>1.4866851314810026E-4</v>
      </c>
      <c r="AB49" s="172">
        <f t="shared" si="18"/>
        <v>168.22</v>
      </c>
      <c r="AC49" s="173">
        <f t="shared" si="19"/>
        <v>1.4866851314810031E-4</v>
      </c>
      <c r="AG49" s="257"/>
    </row>
    <row r="50" spans="1:232" x14ac:dyDescent="0.3">
      <c r="A50" s="176" t="s">
        <v>28</v>
      </c>
      <c r="B50" s="157"/>
      <c r="C50" s="185">
        <f t="shared" si="16"/>
        <v>0</v>
      </c>
      <c r="D50" s="157"/>
      <c r="E50" s="185">
        <f t="shared" si="17"/>
        <v>0</v>
      </c>
      <c r="F50" s="157"/>
      <c r="G50" s="185">
        <f t="shared" si="2"/>
        <v>0</v>
      </c>
      <c r="H50" s="157"/>
      <c r="I50" s="185">
        <f t="shared" si="3"/>
        <v>0</v>
      </c>
      <c r="J50" s="157"/>
      <c r="K50" s="185">
        <f t="shared" si="4"/>
        <v>0</v>
      </c>
      <c r="L50" s="157"/>
      <c r="M50" s="185">
        <f t="shared" si="5"/>
        <v>0</v>
      </c>
      <c r="N50" s="157"/>
      <c r="O50" s="185">
        <f t="shared" si="6"/>
        <v>0</v>
      </c>
      <c r="P50" s="157"/>
      <c r="Q50" s="185">
        <f t="shared" si="7"/>
        <v>0</v>
      </c>
      <c r="R50" s="157"/>
      <c r="S50" s="185">
        <f t="shared" si="8"/>
        <v>0</v>
      </c>
      <c r="T50" s="157"/>
      <c r="U50" s="185">
        <f t="shared" si="9"/>
        <v>0</v>
      </c>
      <c r="V50" s="157"/>
      <c r="W50" s="185">
        <f t="shared" si="12"/>
        <v>0</v>
      </c>
      <c r="X50" s="157"/>
      <c r="Y50" s="185">
        <f t="shared" si="13"/>
        <v>0</v>
      </c>
      <c r="Z50" s="191">
        <f t="shared" si="21"/>
        <v>0</v>
      </c>
      <c r="AA50" s="185">
        <f t="shared" si="20"/>
        <v>0</v>
      </c>
      <c r="AB50" s="172">
        <f t="shared" si="18"/>
        <v>0</v>
      </c>
      <c r="AC50" s="173">
        <f t="shared" si="19"/>
        <v>0</v>
      </c>
      <c r="AG50" s="257"/>
    </row>
    <row r="51" spans="1:232" x14ac:dyDescent="0.3">
      <c r="A51" s="157" t="s">
        <v>193</v>
      </c>
      <c r="B51" s="176">
        <f>436.32+1813.75</f>
        <v>2250.0700000000002</v>
      </c>
      <c r="C51" s="185">
        <f t="shared" si="16"/>
        <v>2.7059754497491942E-2</v>
      </c>
      <c r="D51" s="176">
        <v>1885.4</v>
      </c>
      <c r="E51" s="185">
        <f t="shared" si="17"/>
        <v>2.2929447983329878E-2</v>
      </c>
      <c r="F51" s="176">
        <v>1669.32</v>
      </c>
      <c r="G51" s="185">
        <f t="shared" si="2"/>
        <v>3.0864236335163137E-2</v>
      </c>
      <c r="H51" s="176">
        <v>1720.16</v>
      </c>
      <c r="I51" s="185">
        <f t="shared" si="3"/>
        <v>2.1897819511026435E-2</v>
      </c>
      <c r="J51" s="176">
        <v>800</v>
      </c>
      <c r="K51" s="185">
        <f t="shared" si="4"/>
        <v>6.6650093010204798E-3</v>
      </c>
      <c r="L51" s="176">
        <v>1160.6099999999999</v>
      </c>
      <c r="M51" s="185">
        <f t="shared" si="5"/>
        <v>9.9524369197070087E-3</v>
      </c>
      <c r="N51" s="176">
        <v>800</v>
      </c>
      <c r="O51" s="185">
        <f t="shared" si="6"/>
        <v>8.397056495815956E-3</v>
      </c>
      <c r="P51" s="176">
        <v>800</v>
      </c>
      <c r="Q51" s="185">
        <f t="shared" si="7"/>
        <v>7.4857163175515709E-3</v>
      </c>
      <c r="R51" s="176">
        <v>800</v>
      </c>
      <c r="S51" s="185">
        <f t="shared" si="8"/>
        <v>1.02179958320795E-2</v>
      </c>
      <c r="T51" s="176">
        <v>806.22</v>
      </c>
      <c r="U51" s="185">
        <f t="shared" si="9"/>
        <v>1.231377819864677E-2</v>
      </c>
      <c r="V51" s="176">
        <v>800</v>
      </c>
      <c r="W51" s="185">
        <f t="shared" si="12"/>
        <v>6.3651738424453982E-3</v>
      </c>
      <c r="X51" s="176">
        <v>800</v>
      </c>
      <c r="Y51" s="185">
        <f t="shared" si="13"/>
        <v>6.3869506932995061E-3</v>
      </c>
      <c r="Z51" s="191">
        <f t="shared" si="21"/>
        <v>1190.9816666666668</v>
      </c>
      <c r="AA51" s="185">
        <f t="shared" si="20"/>
        <v>1.2630707899415986E-2</v>
      </c>
      <c r="AB51" s="172">
        <f t="shared" si="18"/>
        <v>14291.779999999999</v>
      </c>
      <c r="AC51" s="173">
        <f t="shared" si="19"/>
        <v>1.2630707899415986E-2</v>
      </c>
      <c r="AF51" s="257"/>
      <c r="AG51" s="257"/>
    </row>
    <row r="52" spans="1:232" x14ac:dyDescent="0.3">
      <c r="A52" s="157" t="s">
        <v>151</v>
      </c>
      <c r="B52" s="157">
        <v>225</v>
      </c>
      <c r="C52" s="185">
        <f t="shared" si="16"/>
        <v>2.7058912664653487E-3</v>
      </c>
      <c r="D52" s="157"/>
      <c r="E52" s="185">
        <f t="shared" si="17"/>
        <v>0</v>
      </c>
      <c r="F52" s="157"/>
      <c r="G52" s="185">
        <f t="shared" si="2"/>
        <v>0</v>
      </c>
      <c r="H52" s="157"/>
      <c r="I52" s="185">
        <f t="shared" si="3"/>
        <v>0</v>
      </c>
      <c r="J52" s="157">
        <f>200+17.64</f>
        <v>217.64</v>
      </c>
      <c r="K52" s="185">
        <f t="shared" si="4"/>
        <v>1.8132157803426214E-3</v>
      </c>
      <c r="L52" s="157">
        <f>575.2+100</f>
        <v>675.2</v>
      </c>
      <c r="M52" s="185">
        <f t="shared" si="5"/>
        <v>5.7899599419151768E-3</v>
      </c>
      <c r="N52" s="157">
        <v>111.51</v>
      </c>
      <c r="O52" s="185">
        <f t="shared" si="6"/>
        <v>1.1704447123105466E-3</v>
      </c>
      <c r="P52" s="157">
        <f>401.96+481.91</f>
        <v>883.87</v>
      </c>
      <c r="Q52" s="185">
        <f t="shared" si="7"/>
        <v>8.2705001019928847E-3</v>
      </c>
      <c r="R52" s="157">
        <f>318.09+177.25+300</f>
        <v>795.33999999999992</v>
      </c>
      <c r="S52" s="185">
        <f t="shared" si="8"/>
        <v>1.0158476006357635E-2</v>
      </c>
      <c r="T52" s="157">
        <f>200+34.3</f>
        <v>234.3</v>
      </c>
      <c r="U52" s="185">
        <f t="shared" si="9"/>
        <v>3.578574374169505E-3</v>
      </c>
      <c r="V52" s="157">
        <v>23.15</v>
      </c>
      <c r="W52" s="185">
        <f t="shared" si="12"/>
        <v>1.841922180657637E-4</v>
      </c>
      <c r="X52" s="157">
        <f>151.06+540.16</f>
        <v>691.22</v>
      </c>
      <c r="Y52" s="185">
        <f t="shared" si="13"/>
        <v>5.5184850727781056E-3</v>
      </c>
      <c r="Z52" s="191">
        <f t="shared" si="21"/>
        <v>321.43583333333339</v>
      </c>
      <c r="AA52" s="185">
        <f t="shared" si="20"/>
        <v>3.4089207524090298E-3</v>
      </c>
      <c r="AB52" s="172">
        <f t="shared" si="18"/>
        <v>3857.23</v>
      </c>
      <c r="AC52" s="173">
        <f t="shared" si="19"/>
        <v>3.4089207524090298E-3</v>
      </c>
      <c r="AF52" s="257"/>
      <c r="AG52" s="257"/>
    </row>
    <row r="53" spans="1:232" x14ac:dyDescent="0.3">
      <c r="A53" s="157" t="s">
        <v>181</v>
      </c>
      <c r="B53" s="157">
        <f>555.66+1095</f>
        <v>1650.6599999999999</v>
      </c>
      <c r="C53" s="185">
        <f t="shared" si="16"/>
        <v>1.9851139901794185E-2</v>
      </c>
      <c r="D53" s="157">
        <f>1095+630+555.66</f>
        <v>2280.66</v>
      </c>
      <c r="E53" s="185">
        <f t="shared" si="17"/>
        <v>2.7736435153103377E-2</v>
      </c>
      <c r="F53" s="157">
        <f>1095</f>
        <v>1095</v>
      </c>
      <c r="G53" s="185">
        <f t="shared" si="2"/>
        <v>2.0245572321067044E-2</v>
      </c>
      <c r="H53" s="157">
        <v>1095</v>
      </c>
      <c r="I53" s="185">
        <f t="shared" si="3"/>
        <v>1.3939466308118981E-2</v>
      </c>
      <c r="J53" s="157">
        <v>1095</v>
      </c>
      <c r="K53" s="185">
        <f t="shared" si="4"/>
        <v>9.122731480771782E-3</v>
      </c>
      <c r="L53" s="157">
        <f>1095</f>
        <v>1095</v>
      </c>
      <c r="M53" s="185">
        <f t="shared" si="5"/>
        <v>9.3898195148061584E-3</v>
      </c>
      <c r="N53" s="157">
        <v>1095</v>
      </c>
      <c r="O53" s="185">
        <f t="shared" si="6"/>
        <v>1.149347107864809E-2</v>
      </c>
      <c r="P53" s="157">
        <v>1095</v>
      </c>
      <c r="Q53" s="185">
        <f t="shared" si="7"/>
        <v>1.0246074209648712E-2</v>
      </c>
      <c r="R53" s="157">
        <f>1095</f>
        <v>1095</v>
      </c>
      <c r="S53" s="185">
        <f t="shared" si="8"/>
        <v>1.3985881795158814E-2</v>
      </c>
      <c r="T53" s="157">
        <v>1095</v>
      </c>
      <c r="U53" s="185">
        <f t="shared" si="9"/>
        <v>1.6724451300536097E-2</v>
      </c>
      <c r="V53" s="157"/>
      <c r="W53" s="185">
        <f t="shared" si="12"/>
        <v>0</v>
      </c>
      <c r="X53" s="157"/>
      <c r="Y53" s="185">
        <f t="shared" si="13"/>
        <v>0</v>
      </c>
      <c r="Z53" s="191">
        <f t="shared" si="21"/>
        <v>1057.6099999999999</v>
      </c>
      <c r="AA53" s="185">
        <f t="shared" si="20"/>
        <v>1.1216262479412365E-2</v>
      </c>
      <c r="AB53" s="172">
        <f t="shared" si="18"/>
        <v>12691.32</v>
      </c>
      <c r="AC53" s="173">
        <f t="shared" si="19"/>
        <v>1.1216262479412369E-2</v>
      </c>
      <c r="AF53" s="257"/>
      <c r="AG53" s="257"/>
    </row>
    <row r="54" spans="1:232" s="240" customFormat="1" x14ac:dyDescent="0.3">
      <c r="A54" s="233" t="s">
        <v>107</v>
      </c>
      <c r="B54" s="234">
        <f>SUM(B55:B60)</f>
        <v>34482.660000000003</v>
      </c>
      <c r="C54" s="235">
        <f t="shared" si="16"/>
        <v>0.4146947935044179</v>
      </c>
      <c r="D54" s="234">
        <f>SUM(D55:D60)</f>
        <v>608.5</v>
      </c>
      <c r="E54" s="235">
        <f t="shared" si="17"/>
        <v>7.4003230602822899E-3</v>
      </c>
      <c r="F54" s="234">
        <f>SUM(F55:F60)</f>
        <v>2043.5</v>
      </c>
      <c r="G54" s="235">
        <f t="shared" si="2"/>
        <v>3.778249044575388E-2</v>
      </c>
      <c r="H54" s="234">
        <f>SUM(H55:H60)</f>
        <v>2309.85</v>
      </c>
      <c r="I54" s="235">
        <f t="shared" si="3"/>
        <v>2.9404635846400573E-2</v>
      </c>
      <c r="J54" s="234">
        <f>SUM(J55:J60)</f>
        <v>48.21</v>
      </c>
      <c r="K54" s="235">
        <f t="shared" si="4"/>
        <v>4.0165012300274669E-4</v>
      </c>
      <c r="L54" s="234">
        <f>SUM(L55:L60)</f>
        <v>2001.51</v>
      </c>
      <c r="M54" s="235">
        <f t="shared" si="5"/>
        <v>1.7163303796419793E-2</v>
      </c>
      <c r="N54" s="234">
        <f>SUM(N55:N60)</f>
        <v>563.32999999999993</v>
      </c>
      <c r="O54" s="235">
        <f t="shared" si="6"/>
        <v>5.9128922947350024E-3</v>
      </c>
      <c r="P54" s="234">
        <f>SUM(P55:P60)</f>
        <v>391.19</v>
      </c>
      <c r="Q54" s="235">
        <f t="shared" si="7"/>
        <v>3.6604217078287488E-3</v>
      </c>
      <c r="R54" s="234">
        <f>SUM(R55:R60)</f>
        <v>1161.27</v>
      </c>
      <c r="S54" s="235">
        <f t="shared" si="8"/>
        <v>1.48323150248987E-2</v>
      </c>
      <c r="T54" s="234">
        <f>SUM(T55:T60)</f>
        <v>1342.52</v>
      </c>
      <c r="U54" s="235">
        <f t="shared" si="9"/>
        <v>2.0504940968032626E-2</v>
      </c>
      <c r="V54" s="234">
        <f>SUM(V55:V60)</f>
        <v>3921.17</v>
      </c>
      <c r="W54" s="235">
        <f t="shared" si="12"/>
        <v>3.1198660894727028E-2</v>
      </c>
      <c r="X54" s="234">
        <f>SUM(X55:X60)</f>
        <v>9867.9699999999993</v>
      </c>
      <c r="Y54" s="235">
        <f t="shared" si="13"/>
        <v>7.87827972911984E-2</v>
      </c>
      <c r="Z54" s="242">
        <f t="shared" si="21"/>
        <v>4895.1400000000003</v>
      </c>
      <c r="AA54" s="235">
        <f t="shared" si="20"/>
        <v>5.1914387263235648E-2</v>
      </c>
      <c r="AB54" s="234">
        <f>SUM(AB55:AB60)</f>
        <v>58741.679999999993</v>
      </c>
      <c r="AC54" s="241">
        <f>AB54/AB$2</f>
        <v>5.1914387263235648E-2</v>
      </c>
      <c r="AD54" s="165"/>
      <c r="AE54" s="165"/>
      <c r="AF54" s="257"/>
      <c r="AG54" s="257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S54" s="165"/>
      <c r="AT54" s="165"/>
      <c r="AU54" s="165"/>
      <c r="AV54" s="165"/>
      <c r="AW54" s="165"/>
      <c r="AX54" s="165"/>
      <c r="AY54" s="165"/>
      <c r="AZ54" s="165"/>
      <c r="BA54" s="165"/>
      <c r="BB54" s="165"/>
      <c r="BC54" s="165"/>
      <c r="BD54" s="165"/>
      <c r="BE54" s="165"/>
      <c r="BF54" s="165"/>
      <c r="BG54" s="165"/>
      <c r="BH54" s="165"/>
      <c r="BI54" s="165"/>
      <c r="BJ54" s="165"/>
      <c r="BK54" s="165"/>
      <c r="BL54" s="165"/>
      <c r="BM54" s="165"/>
      <c r="BN54" s="165"/>
      <c r="BO54" s="165"/>
      <c r="BP54" s="165"/>
      <c r="BQ54" s="165"/>
      <c r="BR54" s="165"/>
      <c r="BS54" s="165"/>
      <c r="BT54" s="165"/>
      <c r="BU54" s="165"/>
      <c r="BV54" s="165"/>
      <c r="BW54" s="165"/>
      <c r="BX54" s="165"/>
      <c r="BY54" s="165"/>
      <c r="BZ54" s="165"/>
      <c r="CA54" s="165"/>
      <c r="CB54" s="165"/>
      <c r="CC54" s="165"/>
      <c r="CD54" s="165"/>
      <c r="CE54" s="165"/>
      <c r="CF54" s="165"/>
      <c r="CG54" s="165"/>
      <c r="CH54" s="165"/>
      <c r="CI54" s="165"/>
      <c r="CJ54" s="165"/>
      <c r="CK54" s="165"/>
      <c r="CL54" s="165"/>
      <c r="CM54" s="165"/>
      <c r="CN54" s="165"/>
      <c r="CO54" s="165"/>
      <c r="CP54" s="165"/>
      <c r="CQ54" s="165"/>
      <c r="CR54" s="165"/>
      <c r="CS54" s="165"/>
      <c r="CT54" s="165"/>
      <c r="CU54" s="165"/>
      <c r="CV54" s="165"/>
      <c r="CW54" s="165"/>
      <c r="CX54" s="165"/>
      <c r="CY54" s="165"/>
      <c r="CZ54" s="165"/>
      <c r="DA54" s="165"/>
      <c r="DB54" s="165"/>
      <c r="DC54" s="165"/>
      <c r="DD54" s="165"/>
      <c r="DE54" s="165"/>
      <c r="DF54" s="165"/>
      <c r="DG54" s="165"/>
      <c r="DH54" s="165"/>
      <c r="DI54" s="165"/>
      <c r="DJ54" s="165"/>
      <c r="DK54" s="165"/>
      <c r="DL54" s="165"/>
      <c r="DM54" s="165"/>
      <c r="DN54" s="165"/>
      <c r="DO54" s="165"/>
      <c r="DP54" s="165"/>
      <c r="DQ54" s="165"/>
      <c r="DR54" s="165"/>
      <c r="DS54" s="165"/>
      <c r="DT54" s="165"/>
      <c r="DU54" s="165"/>
      <c r="DV54" s="165"/>
      <c r="DW54" s="165"/>
      <c r="DX54" s="165"/>
      <c r="DY54" s="165"/>
      <c r="DZ54" s="165"/>
      <c r="EA54" s="165"/>
      <c r="EB54" s="165"/>
      <c r="EC54" s="165"/>
      <c r="ED54" s="165"/>
      <c r="EE54" s="165"/>
      <c r="EF54" s="165"/>
      <c r="EG54" s="165"/>
      <c r="EH54" s="165"/>
      <c r="EI54" s="165"/>
      <c r="EJ54" s="165"/>
      <c r="EK54" s="165"/>
      <c r="EL54" s="165"/>
      <c r="EM54" s="165"/>
      <c r="EN54" s="165"/>
      <c r="EO54" s="165"/>
      <c r="EP54" s="165"/>
      <c r="EQ54" s="165"/>
      <c r="ER54" s="165"/>
      <c r="ES54" s="165"/>
      <c r="ET54" s="165"/>
      <c r="EU54" s="165"/>
      <c r="EV54" s="165"/>
      <c r="EW54" s="165"/>
      <c r="EX54" s="165"/>
      <c r="EY54" s="165"/>
      <c r="EZ54" s="165"/>
      <c r="FA54" s="165"/>
      <c r="FB54" s="165"/>
      <c r="FC54" s="165"/>
      <c r="FD54" s="165"/>
      <c r="FE54" s="165"/>
      <c r="FF54" s="165"/>
      <c r="FG54" s="165"/>
      <c r="FH54" s="165"/>
      <c r="FI54" s="165"/>
      <c r="FJ54" s="165"/>
      <c r="FK54" s="165"/>
      <c r="FL54" s="165"/>
      <c r="FM54" s="165"/>
      <c r="FN54" s="165"/>
      <c r="FO54" s="165"/>
      <c r="FP54" s="165"/>
      <c r="FQ54" s="165"/>
      <c r="FR54" s="165"/>
      <c r="FS54" s="165"/>
      <c r="FT54" s="165"/>
      <c r="FU54" s="165"/>
      <c r="FV54" s="165"/>
      <c r="FW54" s="165"/>
      <c r="FX54" s="165"/>
      <c r="FY54" s="165"/>
      <c r="FZ54" s="165"/>
      <c r="GA54" s="165"/>
      <c r="GB54" s="165"/>
      <c r="GC54" s="165"/>
      <c r="GD54" s="165"/>
      <c r="GE54" s="165"/>
      <c r="GF54" s="165"/>
      <c r="GG54" s="165"/>
      <c r="GH54" s="165"/>
      <c r="GI54" s="165"/>
      <c r="GJ54" s="165"/>
      <c r="GK54" s="165"/>
      <c r="GL54" s="165"/>
      <c r="GM54" s="165"/>
      <c r="GN54" s="165"/>
      <c r="GO54" s="165"/>
      <c r="GP54" s="165"/>
      <c r="GQ54" s="165"/>
      <c r="GR54" s="165"/>
      <c r="GS54" s="165"/>
      <c r="GT54" s="165"/>
      <c r="GU54" s="165"/>
      <c r="GV54" s="165"/>
      <c r="GW54" s="165"/>
      <c r="GX54" s="165"/>
      <c r="GY54" s="165"/>
      <c r="GZ54" s="165"/>
      <c r="HA54" s="165"/>
      <c r="HB54" s="165"/>
      <c r="HC54" s="165"/>
      <c r="HD54" s="165"/>
      <c r="HE54" s="165"/>
      <c r="HF54" s="165"/>
      <c r="HG54" s="165"/>
      <c r="HH54" s="165"/>
      <c r="HI54" s="165"/>
      <c r="HJ54" s="165"/>
      <c r="HK54" s="165"/>
      <c r="HL54" s="165"/>
      <c r="HM54" s="165"/>
      <c r="HN54" s="165"/>
      <c r="HO54" s="165"/>
      <c r="HP54" s="165"/>
      <c r="HQ54" s="165"/>
      <c r="HR54" s="165"/>
      <c r="HS54" s="165"/>
      <c r="HT54" s="165"/>
      <c r="HU54" s="165"/>
      <c r="HV54" s="165"/>
      <c r="HW54" s="165"/>
      <c r="HX54" s="165"/>
    </row>
    <row r="55" spans="1:232" x14ac:dyDescent="0.3">
      <c r="A55" s="157" t="s">
        <v>149</v>
      </c>
      <c r="B55" s="157">
        <v>29609.4</v>
      </c>
      <c r="C55" s="185">
        <f t="shared" si="16"/>
        <v>0.35608807495679595</v>
      </c>
      <c r="D55" s="157"/>
      <c r="E55" s="185">
        <f t="shared" si="17"/>
        <v>0</v>
      </c>
      <c r="F55" s="157"/>
      <c r="G55" s="185">
        <f t="shared" si="2"/>
        <v>0</v>
      </c>
      <c r="H55" s="157"/>
      <c r="I55" s="185">
        <f t="shared" si="3"/>
        <v>0</v>
      </c>
      <c r="J55" s="157"/>
      <c r="K55" s="185">
        <f t="shared" si="4"/>
        <v>0</v>
      </c>
      <c r="L55" s="157"/>
      <c r="M55" s="185">
        <f t="shared" si="5"/>
        <v>0</v>
      </c>
      <c r="N55" s="157"/>
      <c r="O55" s="185">
        <f t="shared" si="6"/>
        <v>0</v>
      </c>
      <c r="P55" s="157"/>
      <c r="Q55" s="185">
        <f t="shared" si="7"/>
        <v>0</v>
      </c>
      <c r="R55" s="157"/>
      <c r="S55" s="185">
        <f t="shared" si="8"/>
        <v>0</v>
      </c>
      <c r="T55" s="157"/>
      <c r="U55" s="185">
        <f t="shared" si="9"/>
        <v>0</v>
      </c>
      <c r="V55" s="157"/>
      <c r="W55" s="185">
        <f t="shared" si="12"/>
        <v>0</v>
      </c>
      <c r="X55" s="157"/>
      <c r="Y55" s="185">
        <f t="shared" si="13"/>
        <v>0</v>
      </c>
      <c r="Z55" s="191">
        <f t="shared" si="21"/>
        <v>2467.4500000000003</v>
      </c>
      <c r="AA55" s="185">
        <f t="shared" si="20"/>
        <v>2.616802682919606E-2</v>
      </c>
      <c r="AB55" s="172">
        <f>L55+N55+P55+R55+T55+V55+X55+J55+H55+F55+D55+B55</f>
        <v>29609.4</v>
      </c>
      <c r="AC55" s="171">
        <f>AB55/AB$2</f>
        <v>2.6168026829196063E-2</v>
      </c>
      <c r="AE55" s="178"/>
      <c r="AF55" s="257"/>
      <c r="AG55" s="257"/>
    </row>
    <row r="56" spans="1:232" x14ac:dyDescent="0.3">
      <c r="A56" s="157" t="s">
        <v>15</v>
      </c>
      <c r="B56" s="157">
        <v>130</v>
      </c>
      <c r="C56" s="185">
        <f t="shared" si="16"/>
        <v>1.5634038428466459E-3</v>
      </c>
      <c r="D56" s="157">
        <v>105.5</v>
      </c>
      <c r="E56" s="185">
        <f t="shared" si="17"/>
        <v>1.2830469726537084E-3</v>
      </c>
      <c r="F56" s="157">
        <f>93.5</f>
        <v>93.5</v>
      </c>
      <c r="G56" s="185">
        <f t="shared" si="2"/>
        <v>1.7287315178262726E-3</v>
      </c>
      <c r="H56" s="157">
        <v>184.75</v>
      </c>
      <c r="I56" s="185">
        <f t="shared" si="3"/>
        <v>2.3518871236757823E-3</v>
      </c>
      <c r="J56" s="157">
        <f>32.5+15.71</f>
        <v>48.21</v>
      </c>
      <c r="K56" s="185">
        <f t="shared" si="4"/>
        <v>4.0165012300274669E-4</v>
      </c>
      <c r="L56" s="157">
        <v>1.51</v>
      </c>
      <c r="M56" s="185">
        <f t="shared" si="5"/>
        <v>1.2948518235029497E-5</v>
      </c>
      <c r="N56" s="157"/>
      <c r="O56" s="185">
        <f t="shared" si="6"/>
        <v>0</v>
      </c>
      <c r="P56" s="157"/>
      <c r="Q56" s="185">
        <f t="shared" si="7"/>
        <v>0</v>
      </c>
      <c r="R56" s="157"/>
      <c r="S56" s="185">
        <f t="shared" si="8"/>
        <v>0</v>
      </c>
      <c r="T56" s="157">
        <v>78</v>
      </c>
      <c r="U56" s="185">
        <f t="shared" si="9"/>
        <v>1.1913307775724344E-3</v>
      </c>
      <c r="V56" s="157">
        <v>20</v>
      </c>
      <c r="W56" s="185">
        <f t="shared" si="12"/>
        <v>1.5912934606113495E-4</v>
      </c>
      <c r="X56" s="157">
        <v>72</v>
      </c>
      <c r="Y56" s="185">
        <f t="shared" si="13"/>
        <v>5.7482556239695556E-4</v>
      </c>
      <c r="Z56" s="191">
        <f t="shared" si="21"/>
        <v>61.122500000000002</v>
      </c>
      <c r="AA56" s="185">
        <f t="shared" si="20"/>
        <v>6.4822193757423097E-4</v>
      </c>
      <c r="AB56" s="172">
        <f t="shared" ref="AB56:AB60" si="22">L56+N56+P56+R56+T56+V56+X56+J56+H56+F56+D56+B56</f>
        <v>733.47</v>
      </c>
      <c r="AC56" s="171">
        <f t="shared" ref="AC56:AC60" si="23">AB56/AB$2</f>
        <v>6.4822193757423107E-4</v>
      </c>
      <c r="AE56" s="178"/>
      <c r="AF56" s="257"/>
      <c r="AG56" s="257"/>
    </row>
    <row r="57" spans="1:232" x14ac:dyDescent="0.3">
      <c r="A57" s="157" t="s">
        <v>122</v>
      </c>
      <c r="B57" s="157"/>
      <c r="C57" s="185">
        <f t="shared" si="16"/>
        <v>0</v>
      </c>
      <c r="D57" s="157"/>
      <c r="E57" s="185">
        <f t="shared" si="17"/>
        <v>0</v>
      </c>
      <c r="F57" s="157"/>
      <c r="G57" s="185">
        <f t="shared" si="2"/>
        <v>0</v>
      </c>
      <c r="H57" s="157"/>
      <c r="I57" s="185">
        <f t="shared" si="3"/>
        <v>0</v>
      </c>
      <c r="J57" s="157"/>
      <c r="K57" s="185">
        <f t="shared" si="4"/>
        <v>0</v>
      </c>
      <c r="L57" s="157"/>
      <c r="M57" s="185">
        <f t="shared" si="5"/>
        <v>0</v>
      </c>
      <c r="N57" s="157">
        <v>270</v>
      </c>
      <c r="O57" s="185">
        <f t="shared" si="6"/>
        <v>2.834006567337885E-3</v>
      </c>
      <c r="P57" s="157"/>
      <c r="Q57" s="185">
        <f t="shared" si="7"/>
        <v>0</v>
      </c>
      <c r="R57" s="157">
        <f>725.43+82.5+60</f>
        <v>867.93</v>
      </c>
      <c r="S57" s="185">
        <f t="shared" si="8"/>
        <v>1.108563140317095E-2</v>
      </c>
      <c r="T57" s="157"/>
      <c r="U57" s="185">
        <f>T57/T$2</f>
        <v>0</v>
      </c>
      <c r="V57" s="157">
        <v>189.98</v>
      </c>
      <c r="W57" s="185">
        <f>V57/V$2</f>
        <v>1.5115696582347208E-3</v>
      </c>
      <c r="X57" s="157"/>
      <c r="Y57" s="185">
        <f>X57/X$2</f>
        <v>0</v>
      </c>
      <c r="Z57" s="191">
        <f t="shared" si="21"/>
        <v>110.65916666666665</v>
      </c>
      <c r="AA57" s="185">
        <f>Z57/Z$2</f>
        <v>1.173572733887135E-3</v>
      </c>
      <c r="AB57" s="172">
        <f t="shared" si="22"/>
        <v>1327.9099999999999</v>
      </c>
      <c r="AC57" s="171">
        <f t="shared" si="23"/>
        <v>1.1735727338871352E-3</v>
      </c>
      <c r="AF57" s="257"/>
      <c r="AG57" s="257"/>
    </row>
    <row r="58" spans="1:232" x14ac:dyDescent="0.3">
      <c r="A58" s="157" t="s">
        <v>192</v>
      </c>
      <c r="B58" s="157">
        <f>60+1702+717.57</f>
        <v>2479.5700000000002</v>
      </c>
      <c r="C58" s="185">
        <f>B58/B$2</f>
        <v>2.9819763589286598E-2</v>
      </c>
      <c r="D58" s="157"/>
      <c r="E58" s="185">
        <f>D58/D$2</f>
        <v>0</v>
      </c>
      <c r="F58" s="157"/>
      <c r="G58" s="185">
        <f>F58/F$2</f>
        <v>0</v>
      </c>
      <c r="H58" s="157">
        <v>125.1</v>
      </c>
      <c r="I58" s="185">
        <f>H58/H$2</f>
        <v>1.5925362878042781E-3</v>
      </c>
      <c r="J58" s="157"/>
      <c r="K58" s="185">
        <f>J58/J$2</f>
        <v>0</v>
      </c>
      <c r="L58" s="157"/>
      <c r="M58" s="185">
        <f>L58/L$2</f>
        <v>0</v>
      </c>
      <c r="N58" s="157"/>
      <c r="O58" s="185">
        <f>N58/N$2</f>
        <v>0</v>
      </c>
      <c r="P58" s="157">
        <v>62.86</v>
      </c>
      <c r="Q58" s="185">
        <f>P58/P$2</f>
        <v>5.8819015965161467E-4</v>
      </c>
      <c r="R58" s="157"/>
      <c r="S58" s="185">
        <f>R58/R$2</f>
        <v>0</v>
      </c>
      <c r="T58" s="157">
        <f>489.52+60+565</f>
        <v>1114.52</v>
      </c>
      <c r="U58" s="185">
        <f>T58/T$2</f>
        <v>1.7022589464359354E-2</v>
      </c>
      <c r="V58" s="157">
        <f>51.19+1600+400+1060+565</f>
        <v>3676.19</v>
      </c>
      <c r="W58" s="185">
        <f>V58/V$2</f>
        <v>2.9249485534824184E-2</v>
      </c>
      <c r="X58" s="157">
        <f>1159.9+889.26</f>
        <v>2049.16</v>
      </c>
      <c r="Y58" s="185">
        <f>X58/X$2</f>
        <v>1.6359854853352018E-2</v>
      </c>
      <c r="Z58" s="191">
        <f>(B58+D58+F58+H58+J58+L58+N58+P58+R58+T58+V58+X58)/AE$2</f>
        <v>792.2833333333333</v>
      </c>
      <c r="AA58" s="185">
        <f>Z58/Z$2</f>
        <v>8.402395802545766E-3</v>
      </c>
      <c r="AB58" s="172">
        <f>L58+N58+P58+R58+T58+V58+X58+J58+H58+F58+D58+B58</f>
        <v>9507.4</v>
      </c>
      <c r="AC58" s="171">
        <f t="shared" si="23"/>
        <v>8.4023958025457677E-3</v>
      </c>
      <c r="AF58" s="257"/>
      <c r="AG58" s="257"/>
    </row>
    <row r="59" spans="1:232" x14ac:dyDescent="0.3">
      <c r="A59" s="157" t="s">
        <v>150</v>
      </c>
      <c r="B59" s="157"/>
      <c r="C59" s="185">
        <f t="shared" si="16"/>
        <v>0</v>
      </c>
      <c r="D59" s="157">
        <v>300</v>
      </c>
      <c r="E59" s="185">
        <f t="shared" si="17"/>
        <v>3.6484748037546211E-3</v>
      </c>
      <c r="F59" s="157"/>
      <c r="G59" s="185">
        <f t="shared" si="2"/>
        <v>0</v>
      </c>
      <c r="H59" s="157"/>
      <c r="I59" s="185">
        <f t="shared" si="3"/>
        <v>0</v>
      </c>
      <c r="J59" s="157"/>
      <c r="K59" s="185">
        <f t="shared" si="4"/>
        <v>0</v>
      </c>
      <c r="L59" s="157"/>
      <c r="M59" s="185">
        <f t="shared" si="5"/>
        <v>0</v>
      </c>
      <c r="N59" s="157"/>
      <c r="O59" s="185">
        <f t="shared" si="6"/>
        <v>0</v>
      </c>
      <c r="P59" s="157"/>
      <c r="Q59" s="185">
        <f t="shared" si="7"/>
        <v>0</v>
      </c>
      <c r="R59" s="157"/>
      <c r="S59" s="185">
        <f t="shared" si="8"/>
        <v>0</v>
      </c>
      <c r="T59" s="157">
        <v>150</v>
      </c>
      <c r="U59" s="185">
        <f t="shared" si="9"/>
        <v>2.2910207261008357E-3</v>
      </c>
      <c r="V59" s="157"/>
      <c r="W59" s="185">
        <f t="shared" si="12"/>
        <v>0</v>
      </c>
      <c r="X59" s="157">
        <f>960+236.81</f>
        <v>1196.81</v>
      </c>
      <c r="Y59" s="185">
        <f t="shared" si="13"/>
        <v>9.5549580740597259E-3</v>
      </c>
      <c r="Z59" s="191">
        <f t="shared" si="21"/>
        <v>137.23416666666665</v>
      </c>
      <c r="AA59" s="185">
        <f t="shared" si="20"/>
        <v>1.4554083589194092E-3</v>
      </c>
      <c r="AB59" s="172">
        <f t="shared" si="22"/>
        <v>1646.81</v>
      </c>
      <c r="AC59" s="171">
        <f t="shared" si="23"/>
        <v>1.4554083589194097E-3</v>
      </c>
      <c r="AE59" s="178"/>
      <c r="AF59" s="257"/>
      <c r="AG59" s="257"/>
    </row>
    <row r="60" spans="1:232" x14ac:dyDescent="0.3">
      <c r="A60" s="157" t="s">
        <v>120</v>
      </c>
      <c r="B60" s="157">
        <f>23.7+33.98+2074.89+131.12</f>
        <v>2263.6899999999996</v>
      </c>
      <c r="C60" s="185">
        <f t="shared" si="16"/>
        <v>2.7223551115488638E-2</v>
      </c>
      <c r="D60" s="157">
        <v>203</v>
      </c>
      <c r="E60" s="185">
        <f t="shared" si="17"/>
        <v>2.4688012838739604E-3</v>
      </c>
      <c r="F60" s="157">
        <v>1950</v>
      </c>
      <c r="G60" s="185">
        <f t="shared" si="2"/>
        <v>3.6053758927927608E-2</v>
      </c>
      <c r="H60" s="157">
        <v>2000</v>
      </c>
      <c r="I60" s="185">
        <f t="shared" si="3"/>
        <v>2.5460212434920512E-2</v>
      </c>
      <c r="J60" s="157"/>
      <c r="K60" s="185">
        <f t="shared" si="4"/>
        <v>0</v>
      </c>
      <c r="L60" s="157">
        <f>2000</f>
        <v>2000</v>
      </c>
      <c r="M60" s="185">
        <f t="shared" si="5"/>
        <v>1.7150355278184766E-2</v>
      </c>
      <c r="N60" s="157">
        <v>293.33</v>
      </c>
      <c r="O60" s="185">
        <f t="shared" si="6"/>
        <v>3.0788857273971178E-3</v>
      </c>
      <c r="P60" s="157">
        <f>293.33+35</f>
        <v>328.33</v>
      </c>
      <c r="Q60" s="185">
        <f t="shared" si="7"/>
        <v>3.0722315481771338E-3</v>
      </c>
      <c r="R60" s="157">
        <v>293.33999999999997</v>
      </c>
      <c r="S60" s="185">
        <f t="shared" si="8"/>
        <v>3.7466836217277502E-3</v>
      </c>
      <c r="T60" s="157"/>
      <c r="U60" s="185">
        <f t="shared" si="9"/>
        <v>0</v>
      </c>
      <c r="V60" s="157">
        <v>35</v>
      </c>
      <c r="W60" s="185">
        <f t="shared" si="12"/>
        <v>2.7847635560698618E-4</v>
      </c>
      <c r="X60" s="157">
        <v>6550</v>
      </c>
      <c r="Y60" s="185">
        <f t="shared" si="13"/>
        <v>5.2293158801389704E-2</v>
      </c>
      <c r="Z60" s="191">
        <f t="shared" si="21"/>
        <v>1326.3908333333331</v>
      </c>
      <c r="AA60" s="185">
        <f t="shared" si="20"/>
        <v>1.4066761601113044E-2</v>
      </c>
      <c r="AB60" s="172">
        <f t="shared" si="22"/>
        <v>15916.689999999999</v>
      </c>
      <c r="AC60" s="171">
        <f t="shared" si="23"/>
        <v>1.4066761601113047E-2</v>
      </c>
      <c r="AE60" s="178"/>
      <c r="AF60" s="257"/>
    </row>
    <row r="61" spans="1:232" x14ac:dyDescent="0.3">
      <c r="A61" s="233" t="s">
        <v>191</v>
      </c>
      <c r="B61" s="243">
        <f>B2-B6-B15-B54</f>
        <v>-18480.290000000008</v>
      </c>
      <c r="C61" s="186">
        <f>B61/B$2</f>
        <v>-0.22224735694554196</v>
      </c>
      <c r="D61" s="243">
        <f>D2-D6-D15-D54</f>
        <v>39355.64</v>
      </c>
      <c r="E61" s="186">
        <f>D61/D$2</f>
        <v>0.47862686975212504</v>
      </c>
      <c r="F61" s="243">
        <f>F2-F6-F15-F54</f>
        <v>-680.2699999999968</v>
      </c>
      <c r="G61" s="186">
        <f>F61/F$2</f>
        <v>-1.2577584915846769E-2</v>
      </c>
      <c r="H61" s="243">
        <f>H2-H6-H15-H54</f>
        <v>33402.69</v>
      </c>
      <c r="I61" s="186">
        <f>H61/H$2</f>
        <v>0.42521979164889756</v>
      </c>
      <c r="J61" s="243">
        <f>J2-J6-J15-J54</f>
        <v>64491.429999999993</v>
      </c>
      <c r="K61" s="186">
        <f>J61/J$2</f>
        <v>0.53729497598263898</v>
      </c>
      <c r="L61" s="243">
        <f>L2-L6-L15-L54</f>
        <v>64214.94000000001</v>
      </c>
      <c r="M61" s="186">
        <f>L61/L$2</f>
        <v>0.55065451758365902</v>
      </c>
      <c r="N61" s="243">
        <f>N2-N6-N15-N54</f>
        <v>45813.659999999996</v>
      </c>
      <c r="O61" s="186">
        <f>N61/N$2</f>
        <v>0.48087486412512948</v>
      </c>
      <c r="P61" s="243">
        <f>P2-P6-P15-P54</f>
        <v>53323.06</v>
      </c>
      <c r="Q61" s="186">
        <f>P61/P$2</f>
        <v>0.49895162542972682</v>
      </c>
      <c r="R61" s="243">
        <f>R2-R6-R15-R54</f>
        <v>15746.150000000012</v>
      </c>
      <c r="S61" s="186">
        <f>R61/R$2</f>
        <v>0.20111761883912341</v>
      </c>
      <c r="T61" s="243">
        <f>T2-T6-T15-T54</f>
        <v>4252.0199999999859</v>
      </c>
      <c r="U61" s="186">
        <f>T61/T$2</f>
        <v>6.4943106318634952E-2</v>
      </c>
      <c r="V61" s="243">
        <f>V2-V6-V15-V54</f>
        <v>49504.320000000007</v>
      </c>
      <c r="W61" s="186">
        <f>V61/V$2</f>
        <v>0.39387950344005829</v>
      </c>
      <c r="X61" s="243">
        <f>X2-X6-X15-X54</f>
        <v>35500.979999999981</v>
      </c>
      <c r="Y61" s="186">
        <f>X61/X$2</f>
        <v>0.28342876102976472</v>
      </c>
      <c r="Z61" s="243">
        <f>Z2-Z6-Z15-Z54</f>
        <v>32203.694166666675</v>
      </c>
      <c r="AA61" s="186">
        <f>Z61/Z$2</f>
        <v>0.34152956815844621</v>
      </c>
      <c r="AB61" s="243">
        <f>AB2-AB6-AB15-AB54</f>
        <v>386451.2099999999</v>
      </c>
      <c r="AC61" s="179">
        <f>AB61/AB$2</f>
        <v>0.34153564852564655</v>
      </c>
      <c r="AF61" s="257"/>
    </row>
    <row r="62" spans="1:232" x14ac:dyDescent="0.3">
      <c r="A62" s="233" t="s">
        <v>200</v>
      </c>
      <c r="B62" s="300">
        <f>B61/B2*100%</f>
        <v>-0.22224735694554196</v>
      </c>
      <c r="C62" s="186"/>
      <c r="D62" s="300">
        <f>D61/D2</f>
        <v>0.47862686975212504</v>
      </c>
      <c r="E62" s="186"/>
      <c r="F62" s="300">
        <f>F61/F2</f>
        <v>-1.2577584915846769E-2</v>
      </c>
      <c r="G62" s="186"/>
      <c r="H62" s="300">
        <f>H61/H2</f>
        <v>0.42521979164889756</v>
      </c>
      <c r="I62" s="186"/>
      <c r="J62" s="300">
        <f>J61/J2</f>
        <v>0.53729497598263898</v>
      </c>
      <c r="K62" s="186"/>
      <c r="L62" s="300">
        <f>L61/L2</f>
        <v>0.55065451758365902</v>
      </c>
      <c r="M62" s="186"/>
      <c r="N62" s="300">
        <f>N61/N2</f>
        <v>0.48087486412512948</v>
      </c>
      <c r="O62" s="186"/>
      <c r="P62" s="300">
        <f>P61/P2</f>
        <v>0.49895162542972682</v>
      </c>
      <c r="Q62" s="186"/>
      <c r="R62" s="300">
        <f>R61/R2</f>
        <v>0.20111761883912341</v>
      </c>
      <c r="S62" s="186"/>
      <c r="T62" s="300">
        <f>T61/T2</f>
        <v>6.4943106318634952E-2</v>
      </c>
      <c r="U62" s="186"/>
      <c r="V62" s="300">
        <f>V61/V2</f>
        <v>0.39387950344005829</v>
      </c>
      <c r="W62" s="186"/>
      <c r="X62" s="300">
        <f>X61/X2</f>
        <v>0.28342876102976472</v>
      </c>
      <c r="Y62" s="186"/>
      <c r="Z62" s="300">
        <f>Z61/Z2</f>
        <v>0.34152956815844621</v>
      </c>
      <c r="AA62" s="186">
        <f>Z62/Z$2</f>
        <v>3.6220206701387927E-6</v>
      </c>
      <c r="AB62" s="243"/>
      <c r="AC62" s="179"/>
      <c r="AF62" s="257"/>
    </row>
    <row r="63" spans="1:232" x14ac:dyDescent="0.3">
      <c r="A63" s="233" t="s">
        <v>189</v>
      </c>
      <c r="B63" s="248">
        <f>(B15+B54)/C14</f>
        <v>104359.50178550456</v>
      </c>
      <c r="C63" s="186">
        <f>B63/B$2</f>
        <v>1.2550465086847633</v>
      </c>
      <c r="D63" s="248">
        <f>(D15+D54)/E14</f>
        <v>37345.071645486336</v>
      </c>
      <c r="E63" s="186">
        <f>D63/D$2</f>
        <v>0.45417517647656008</v>
      </c>
      <c r="F63" s="248">
        <f>(F15+F54)/G14</f>
        <v>54912.674587067915</v>
      </c>
      <c r="G63" s="186">
        <f>F63/F$2</f>
        <v>1.0152863239230172</v>
      </c>
      <c r="H63" s="248">
        <f>(H15+H54)/I14</f>
        <v>42360.994491659141</v>
      </c>
      <c r="I63" s="186">
        <f>H63/H$2</f>
        <v>0.53925995935606974</v>
      </c>
      <c r="J63" s="248">
        <f>(J15+J54)/K14</f>
        <v>49566.006571501137</v>
      </c>
      <c r="K63" s="186">
        <f>J63/J$2</f>
        <v>0.41294736851687164</v>
      </c>
      <c r="L63" s="248">
        <f>(L15+L54)/M14</f>
        <v>43188.325577610922</v>
      </c>
      <c r="M63" s="186">
        <f>L63/L$2</f>
        <v>0.37034756376297079</v>
      </c>
      <c r="N63" s="248">
        <f>(N15+N54)/O14</f>
        <v>41758.226698046681</v>
      </c>
      <c r="O63" s="186">
        <f>N63/N$2</f>
        <v>0.43830773593573519</v>
      </c>
      <c r="P63" s="248">
        <f>(P15+P54)/Q14</f>
        <v>46328.744887684872</v>
      </c>
      <c r="Q63" s="186">
        <f>P63/P$2</f>
        <v>0.4335048019717832</v>
      </c>
      <c r="R63" s="248">
        <f>(R15+R54)/S14</f>
        <v>59065.404365986964</v>
      </c>
      <c r="S63" s="186">
        <f>R63/R$2</f>
        <v>0.75441256953968128</v>
      </c>
      <c r="T63" s="248">
        <f>(T15+T54)/U14</f>
        <v>60470.191137242393</v>
      </c>
      <c r="U63" s="186">
        <f>T63/T$2</f>
        <v>0.9235897413780092</v>
      </c>
      <c r="V63" s="248">
        <f>(V15+V54)/W14</f>
        <v>72900.055311035452</v>
      </c>
      <c r="W63" s="186">
        <f>V63/V$2</f>
        <v>0.58002690647328192</v>
      </c>
      <c r="X63" s="248">
        <f>(X15+X54)/Y14</f>
        <v>85089.248483875534</v>
      </c>
      <c r="Y63" s="186">
        <f>X63/X$2</f>
        <v>0.67932604324552848</v>
      </c>
      <c r="Z63" s="253">
        <f>(B63+D63+F63+H63+J63+L63+N63+P63+R63+T63+V63+X63)/AE$2</f>
        <v>58112.037128558492</v>
      </c>
      <c r="AA63" s="186">
        <f t="shared" ref="AA63:AA64" si="24">Z63/Z$2</f>
        <v>0.61629510088526862</v>
      </c>
      <c r="AB63" s="248">
        <f>(AB15+AB54)/AC14</f>
        <v>693117.65636451007</v>
      </c>
      <c r="AC63" s="179">
        <f>AB63/AB$2</f>
        <v>0.61255957322796128</v>
      </c>
    </row>
    <row r="64" spans="1:232" x14ac:dyDescent="0.3">
      <c r="A64" s="245" t="s">
        <v>190</v>
      </c>
      <c r="B64" s="234">
        <f>B6+B15+B54</f>
        <v>101632.19</v>
      </c>
      <c r="C64" s="186">
        <f t="shared" ref="C64" si="25">B64/B$2</f>
        <v>1.2222473569455419</v>
      </c>
      <c r="D64" s="234">
        <f>D6+D15+D54</f>
        <v>42870.5</v>
      </c>
      <c r="E64" s="186">
        <f t="shared" ref="E64" si="26">D64/D$2</f>
        <v>0.52137313024787491</v>
      </c>
      <c r="F64" s="234">
        <f>F6+F15+F54</f>
        <v>54766.17</v>
      </c>
      <c r="G64" s="186">
        <f t="shared" ref="G64" si="27">F64/F$2</f>
        <v>1.0125775849158467</v>
      </c>
      <c r="H64" s="234">
        <f>H54+H15+H6</f>
        <v>45151.25</v>
      </c>
      <c r="I64" s="186">
        <f t="shared" ref="I64" si="28">H64/H$2</f>
        <v>0.57478020835110244</v>
      </c>
      <c r="J64" s="234">
        <f>J54+J15+J6</f>
        <v>55538.410000000011</v>
      </c>
      <c r="K64" s="186">
        <f t="shared" ref="K64" si="29">J64/J$2</f>
        <v>0.46270502401736113</v>
      </c>
      <c r="L64" s="234">
        <f>L54+L15+L6</f>
        <v>52400.719999999994</v>
      </c>
      <c r="M64" s="186">
        <f t="shared" ref="M64" si="30">L64/L$2</f>
        <v>0.44934548241634092</v>
      </c>
      <c r="N64" s="234">
        <f>N54+N15+N6</f>
        <v>49457.820000000007</v>
      </c>
      <c r="O64" s="186">
        <f t="shared" ref="O64" si="31">N64/N$2</f>
        <v>0.51912513587487041</v>
      </c>
      <c r="P64" s="234">
        <f>P54+P15+P6</f>
        <v>53547.140000000014</v>
      </c>
      <c r="Q64" s="186">
        <f t="shared" ref="Q64" si="32">P64/P$2</f>
        <v>0.50104837457027318</v>
      </c>
      <c r="R64" s="234">
        <f>R54+R15+R6</f>
        <v>62547.089999999989</v>
      </c>
      <c r="S64" s="186">
        <f t="shared" ref="S64" si="33">R64/R$2</f>
        <v>0.79888238116087651</v>
      </c>
      <c r="T64" s="234">
        <f>T54+T15+T6</f>
        <v>61220.98000000001</v>
      </c>
      <c r="U64" s="186">
        <f t="shared" ref="U64" si="34">T64/T$2</f>
        <v>0.93505689368136502</v>
      </c>
      <c r="V64" s="234">
        <f>V54+V15+V6</f>
        <v>76179.599999999991</v>
      </c>
      <c r="W64" s="186">
        <f t="shared" ref="W64" si="35">V64/V$2</f>
        <v>0.60612049655994171</v>
      </c>
      <c r="X64" s="234">
        <f>X54+X15+X6</f>
        <v>89754.410000000018</v>
      </c>
      <c r="Y64" s="186">
        <f t="shared" ref="Y64" si="36">X64/X$2</f>
        <v>0.71657123897023534</v>
      </c>
      <c r="Z64" s="254">
        <f>(B64+D64+F64+H64+J64+L64+N64+P64+R64+T64+V64+X64)/AE$2</f>
        <v>62088.856666666667</v>
      </c>
      <c r="AA64" s="186">
        <f t="shared" si="24"/>
        <v>0.65847043184155374</v>
      </c>
      <c r="AB64" s="234">
        <f>B64+D64+F64+H64+J64+L64+N64+P64+R64+T64+V64+X64</f>
        <v>745066.28</v>
      </c>
      <c r="AC64" s="179">
        <f>AB64/AB$2</f>
        <v>0.65847043184155396</v>
      </c>
    </row>
    <row r="65" spans="1:29" x14ac:dyDescent="0.3">
      <c r="A65" s="246" t="s">
        <v>180</v>
      </c>
      <c r="B65" s="250"/>
      <c r="C65" s="200"/>
      <c r="D65" s="248">
        <v>25000</v>
      </c>
      <c r="E65" s="200"/>
      <c r="F65" s="248">
        <v>25000</v>
      </c>
      <c r="G65" s="200"/>
      <c r="H65" s="250">
        <v>281.23</v>
      </c>
      <c r="I65" s="200"/>
      <c r="J65" s="248">
        <v>100000</v>
      </c>
      <c r="K65" s="200"/>
      <c r="L65" s="248"/>
      <c r="M65" s="200"/>
      <c r="N65" s="248"/>
      <c r="O65" s="200"/>
      <c r="P65" s="250"/>
      <c r="Q65" s="200"/>
      <c r="R65" s="251"/>
      <c r="S65" s="200"/>
      <c r="T65" s="248"/>
      <c r="U65" s="200"/>
      <c r="V65" s="250"/>
      <c r="W65" s="200"/>
      <c r="X65" s="297">
        <v>-198446.74</v>
      </c>
      <c r="Y65" s="200"/>
      <c r="Z65" s="254">
        <f>(B65+D65+F65+H65+J65+L65+N65+P65+R65+T65+V65+X65)/AE$2</f>
        <v>-4013.7924999999982</v>
      </c>
      <c r="AA65" s="200"/>
      <c r="AB65" s="265">
        <f>B65+D65+F65+H65+J65+L65+N65+P65+R65+T65+V65+X65</f>
        <v>-48165.50999999998</v>
      </c>
      <c r="AC65" s="200"/>
    </row>
    <row r="66" spans="1:29" ht="15" thickBot="1" x14ac:dyDescent="0.35">
      <c r="A66" s="247" t="s">
        <v>164</v>
      </c>
      <c r="B66" s="249">
        <f>B61-B65</f>
        <v>-18480.290000000008</v>
      </c>
      <c r="C66" s="201"/>
      <c r="D66" s="249">
        <f>D61-D65</f>
        <v>14355.64</v>
      </c>
      <c r="E66" s="201"/>
      <c r="F66" s="249">
        <f>F61-F65</f>
        <v>-25680.269999999997</v>
      </c>
      <c r="G66" s="252"/>
      <c r="H66" s="249">
        <f>H61-H65</f>
        <v>33121.46</v>
      </c>
      <c r="I66" s="252"/>
      <c r="J66" s="249">
        <f>J61-J65</f>
        <v>-35508.570000000007</v>
      </c>
      <c r="K66" s="252"/>
      <c r="L66" s="249">
        <f>L61-L65</f>
        <v>64214.94000000001</v>
      </c>
      <c r="M66" s="252"/>
      <c r="N66" s="249">
        <f>N61-N65</f>
        <v>45813.659999999996</v>
      </c>
      <c r="O66" s="252"/>
      <c r="P66" s="249">
        <f>P61-P65</f>
        <v>53323.06</v>
      </c>
      <c r="Q66" s="252"/>
      <c r="R66" s="249">
        <f>R61-R65</f>
        <v>15746.150000000012</v>
      </c>
      <c r="S66" s="252"/>
      <c r="T66" s="249">
        <f>T61-T65</f>
        <v>4252.0199999999859</v>
      </c>
      <c r="U66" s="252"/>
      <c r="V66" s="249">
        <f>V61-V65</f>
        <v>49504.320000000007</v>
      </c>
      <c r="W66" s="252"/>
      <c r="X66" s="249">
        <f>X61-X65</f>
        <v>233947.71999999997</v>
      </c>
      <c r="Y66" s="201"/>
      <c r="Z66" s="254">
        <f>(B66+D66+F66+H66+J66+L66+N66+P66+R66+T66+V66+X66)/AE$2</f>
        <v>36217.486666666664</v>
      </c>
      <c r="AA66" s="201"/>
      <c r="AB66" s="259">
        <f>AB61-AB65</f>
        <v>434616.71999999986</v>
      </c>
      <c r="AC66" s="201"/>
    </row>
    <row r="67" spans="1:29" x14ac:dyDescent="0.3">
      <c r="A67" s="573" t="s">
        <v>279</v>
      </c>
      <c r="B67" s="574"/>
      <c r="C67" s="368"/>
      <c r="D67" s="574"/>
      <c r="E67" s="368"/>
      <c r="F67" s="574"/>
      <c r="G67" s="575"/>
      <c r="H67" s="574"/>
      <c r="I67" s="575"/>
      <c r="J67" s="574"/>
      <c r="K67" s="575"/>
      <c r="L67" s="574"/>
      <c r="M67" s="575"/>
      <c r="N67" s="574"/>
      <c r="O67" s="575"/>
      <c r="P67" s="574"/>
      <c r="Q67" s="575"/>
      <c r="R67" s="574"/>
      <c r="S67" s="575"/>
      <c r="T67" s="574"/>
      <c r="U67" s="575"/>
      <c r="V67" s="574"/>
      <c r="W67" s="575"/>
      <c r="X67" s="574">
        <v>310000</v>
      </c>
      <c r="Y67" s="368"/>
      <c r="Z67" s="254"/>
      <c r="AA67" s="368"/>
      <c r="AB67" s="576"/>
    </row>
    <row r="68" spans="1:29" x14ac:dyDescent="0.3">
      <c r="A68" s="245" t="s">
        <v>206</v>
      </c>
      <c r="B68" s="234">
        <f>B6+B15+B54</f>
        <v>101632.19</v>
      </c>
      <c r="C68" s="186">
        <f>B68/'2021'!B$2</f>
        <v>0.84715199936650432</v>
      </c>
      <c r="D68" s="234">
        <f>D6+D15+D54</f>
        <v>42870.5</v>
      </c>
      <c r="E68" s="186">
        <f>D68/'2021'!D$2</f>
        <v>0.39917424874736912</v>
      </c>
      <c r="F68" s="234">
        <f>F6+F15+F54</f>
        <v>54766.17</v>
      </c>
      <c r="G68" s="186">
        <f>F68/'2021'!F$2</f>
        <v>0.39972213828711062</v>
      </c>
      <c r="H68" s="234">
        <f>H6+H15+H54</f>
        <v>45151.25</v>
      </c>
      <c r="I68" s="186">
        <f>H68/'2021'!H$2</f>
        <v>0.30897843198642311</v>
      </c>
      <c r="J68" s="234">
        <f>J6+J15+J54</f>
        <v>55538.410000000011</v>
      </c>
      <c r="K68" s="186">
        <f>J68/'2021'!J$2</f>
        <v>0.27694720050424387</v>
      </c>
      <c r="L68" s="234">
        <f>L6+L15+L54</f>
        <v>52400.719999999994</v>
      </c>
      <c r="M68" s="186">
        <f>L68/'2021'!L$2</f>
        <v>0.32797760769910589</v>
      </c>
      <c r="N68" s="234">
        <f>N6+N15+N54</f>
        <v>49457.820000000007</v>
      </c>
      <c r="O68" s="186">
        <f>N68/'2021'!N$2</f>
        <v>0.23731264262297977</v>
      </c>
      <c r="P68" s="234">
        <f>P6+P15+P54</f>
        <v>53547.140000000014</v>
      </c>
      <c r="Q68" s="186">
        <f>P68/'2021'!P$2</f>
        <v>0.28571295940482311</v>
      </c>
      <c r="R68" s="234">
        <f>R6+R15+R54</f>
        <v>62547.089999999989</v>
      </c>
      <c r="S68" s="186">
        <f>R68/'2021'!R$2</f>
        <v>0.34661657939520985</v>
      </c>
      <c r="T68" s="234">
        <f>T6+T15+T54</f>
        <v>61220.98000000001</v>
      </c>
      <c r="U68" s="186">
        <f>T68/'2021'!T$2</f>
        <v>0.39685551812217357</v>
      </c>
      <c r="V68" s="234">
        <f>V6+V15+V54</f>
        <v>76179.599999999991</v>
      </c>
      <c r="W68" s="186">
        <f>V68/'2021'!V$2</f>
        <v>0.26515366550066427</v>
      </c>
      <c r="X68" s="234">
        <f>X6+X15-310000+X54</f>
        <v>-220245.59</v>
      </c>
      <c r="Y68" s="186">
        <f>X68/'2021'!X$2</f>
        <v>-1.4866145649295708</v>
      </c>
      <c r="Z68" s="254">
        <f>(B68+D68+F68+H68+J68+L68+N68+P68+R68+T68+V68+X68)/'2021'!AE$2</f>
        <v>36255.523333333338</v>
      </c>
      <c r="AA68" s="186">
        <f>Z68/'2021'!Z$2</f>
        <v>0.21360169926423458</v>
      </c>
      <c r="AB68" s="268">
        <f>B68+D68+F68+H68+J68+L68+N68+P68+R68+T68+V68+X68</f>
        <v>435066.28</v>
      </c>
    </row>
    <row r="69" spans="1:29" x14ac:dyDescent="0.3">
      <c r="A69" s="245" t="s">
        <v>207</v>
      </c>
      <c r="B69" s="303">
        <f>B70/B2</f>
        <v>-0.22224735694554196</v>
      </c>
      <c r="C69" s="186"/>
      <c r="D69" s="363">
        <f>D70/D2</f>
        <v>0.47862686975212504</v>
      </c>
      <c r="E69" s="186"/>
      <c r="F69" s="303">
        <f>F70/F2</f>
        <v>-1.2577584915846769E-2</v>
      </c>
      <c r="G69" s="186"/>
      <c r="H69" s="363">
        <f>H70/H2</f>
        <v>0.42521979164889756</v>
      </c>
      <c r="I69" s="186"/>
      <c r="J69" s="363">
        <f>J70/J2</f>
        <v>0.53729497598263898</v>
      </c>
      <c r="K69" s="186"/>
      <c r="L69" s="363">
        <f>L70/L2</f>
        <v>0.55065451758365902</v>
      </c>
      <c r="M69" s="186"/>
      <c r="N69" s="363">
        <f>N70/N2</f>
        <v>0.48087486412512948</v>
      </c>
      <c r="O69" s="186"/>
      <c r="P69" s="363">
        <f>P70/P2</f>
        <v>0.49895162542972682</v>
      </c>
      <c r="Q69" s="186"/>
      <c r="R69" s="363">
        <f>R70/R2</f>
        <v>0.20111761883912341</v>
      </c>
      <c r="S69" s="186"/>
      <c r="T69" s="363">
        <f>T70/T2</f>
        <v>6.4943106318634952E-2</v>
      </c>
      <c r="U69" s="186"/>
      <c r="V69" s="363">
        <f>V70/V2</f>
        <v>0.39387950344005829</v>
      </c>
      <c r="W69" s="186"/>
      <c r="X69" s="363">
        <f>X70/X2</f>
        <v>0.28342876102976472</v>
      </c>
      <c r="Y69" s="186">
        <f>X69/'2021'!X$2</f>
        <v>1.913088585641106E-6</v>
      </c>
      <c r="Z69" s="364">
        <f>(B69+D69+F69+H69+J69+L69+N69+P69+R69+T69+V69+X69)/12</f>
        <v>0.30668055769069746</v>
      </c>
      <c r="AA69" s="186">
        <f>Z69/'2021'!Z$2</f>
        <v>1.8068278218400037E-6</v>
      </c>
      <c r="AB69" s="303">
        <f>AB70/AB2</f>
        <v>0.34152956815844615</v>
      </c>
    </row>
    <row r="70" spans="1:29" x14ac:dyDescent="0.3">
      <c r="A70" s="245" t="s">
        <v>208</v>
      </c>
      <c r="B70" s="268">
        <f>B2-B6-B15-B54</f>
        <v>-18480.290000000008</v>
      </c>
      <c r="C70" s="186">
        <f>B70/'2021'!B$2</f>
        <v>-0.15404188990095385</v>
      </c>
      <c r="D70" s="234">
        <f>D2-D6-D15-D54</f>
        <v>39355.64</v>
      </c>
      <c r="E70" s="186">
        <f>D70/'2021'!D$2</f>
        <v>0.36644681146643748</v>
      </c>
      <c r="F70" s="268">
        <f>F2-F6-F15-F54</f>
        <v>-680.2699999999968</v>
      </c>
      <c r="G70" s="186">
        <f>F70/'2021'!F$2</f>
        <v>-4.9650902922839307E-3</v>
      </c>
      <c r="H70" s="234">
        <f>H2-H6-H15-H54</f>
        <v>33402.69</v>
      </c>
      <c r="I70" s="186">
        <f>H70/'2021'!H$2</f>
        <v>0.22858084284108582</v>
      </c>
      <c r="J70" s="234">
        <f>J2-J6-J15-J54</f>
        <v>64491.429999999993</v>
      </c>
      <c r="K70" s="186">
        <f>J70/'2021'!J$2</f>
        <v>0.32159222770359119</v>
      </c>
      <c r="L70" s="234">
        <f>L2-L6-L15-L54</f>
        <v>64214.94000000001</v>
      </c>
      <c r="M70" s="186">
        <f>L70/'2021'!L$2</f>
        <v>0.40192314914263827</v>
      </c>
      <c r="N70" s="234">
        <f>N2-N6-N15-N54</f>
        <v>45813.659999999996</v>
      </c>
      <c r="O70" s="186">
        <f>N70/'2021'!N$2</f>
        <v>0.21982692975207363</v>
      </c>
      <c r="P70" s="234">
        <f>P2-P6-P15-P54</f>
        <v>53323.06</v>
      </c>
      <c r="Q70" s="186">
        <f>P70/'2021'!P$2</f>
        <v>0.28451732953657172</v>
      </c>
      <c r="R70" s="234">
        <f>R2-R6-R15-R54</f>
        <v>15746.150000000012</v>
      </c>
      <c r="S70" s="186">
        <f>R70/'2021'!R$2</f>
        <v>8.7260281040155319E-2</v>
      </c>
      <c r="T70" s="234">
        <f>T2-T6-T15-T54</f>
        <v>4252.0199999999859</v>
      </c>
      <c r="U70" s="186">
        <f>T70/'2021'!T$2</f>
        <v>2.7563060901113288E-2</v>
      </c>
      <c r="V70" s="234">
        <f>V2-V6-V15-V54</f>
        <v>49504.320000000007</v>
      </c>
      <c r="W70" s="186">
        <f>V70/'2021'!V$2</f>
        <v>0.17230665304251855</v>
      </c>
      <c r="X70" s="234">
        <f>X2-X6-X15-X54</f>
        <v>35500.979999999981</v>
      </c>
      <c r="Y70" s="186">
        <f>X70/'2021'!X$2</f>
        <v>0.23962465689902515</v>
      </c>
      <c r="Z70" s="254">
        <f>(B70+D70+F70+H70+J70+L70+N70+P70+R70+T70+V70+X70)/'2021'!AE$2</f>
        <v>32203.694166666664</v>
      </c>
      <c r="AA70" s="186">
        <f>Z70/'2021'!Z$2</f>
        <v>0.18973009252527823</v>
      </c>
      <c r="AB70" s="268">
        <f>B70+D70+F70+H70+J70+L70+N70+P70+R70+T70+V70+X70</f>
        <v>386444.32999999996</v>
      </c>
    </row>
    <row r="71" spans="1:29" x14ac:dyDescent="0.3">
      <c r="A71" s="365"/>
      <c r="B71" s="307"/>
      <c r="C71" s="362"/>
      <c r="D71" s="307"/>
      <c r="E71" s="362"/>
      <c r="F71" s="307"/>
      <c r="G71" s="362"/>
      <c r="H71" s="307"/>
      <c r="I71" s="362"/>
      <c r="J71" s="307"/>
      <c r="K71" s="362"/>
      <c r="L71" s="307"/>
      <c r="M71" s="362"/>
      <c r="N71" s="307"/>
      <c r="O71" s="362"/>
      <c r="P71" s="307"/>
      <c r="Q71" s="362"/>
      <c r="R71" s="307"/>
      <c r="S71" s="362"/>
      <c r="T71" s="307"/>
      <c r="U71" s="362"/>
      <c r="V71" s="307"/>
      <c r="W71" s="362"/>
      <c r="X71" s="307"/>
      <c r="Y71" s="362"/>
      <c r="Z71" s="312"/>
      <c r="AA71" s="362"/>
      <c r="AB71" s="361"/>
    </row>
    <row r="73" spans="1:29" x14ac:dyDescent="0.3">
      <c r="B73" s="165" t="s">
        <v>168</v>
      </c>
      <c r="D73" s="165" t="s">
        <v>169</v>
      </c>
      <c r="F73" s="165" t="s">
        <v>170</v>
      </c>
      <c r="H73" s="165" t="s">
        <v>171</v>
      </c>
      <c r="J73" s="165" t="s">
        <v>172</v>
      </c>
      <c r="L73" s="165" t="s">
        <v>173</v>
      </c>
      <c r="N73" s="165" t="s">
        <v>174</v>
      </c>
      <c r="P73" s="165" t="s">
        <v>175</v>
      </c>
      <c r="R73" s="165" t="s">
        <v>176</v>
      </c>
      <c r="T73" s="165" t="s">
        <v>177</v>
      </c>
      <c r="V73" s="165" t="s">
        <v>178</v>
      </c>
      <c r="X73" s="165" t="s">
        <v>179</v>
      </c>
    </row>
    <row r="74" spans="1:29" x14ac:dyDescent="0.3">
      <c r="A74" s="207" t="s">
        <v>165</v>
      </c>
      <c r="B74" s="215">
        <f>B75+B76</f>
        <v>38257.64</v>
      </c>
      <c r="C74" s="208"/>
      <c r="D74" s="215">
        <f>D75+D76</f>
        <v>52613.280000000006</v>
      </c>
      <c r="E74" s="208"/>
      <c r="F74" s="215">
        <f>F75+F76</f>
        <v>26933.010000000002</v>
      </c>
      <c r="G74" s="208"/>
      <c r="H74" s="222">
        <f>SUM(H75:H76)</f>
        <v>60054.47</v>
      </c>
      <c r="I74" s="208"/>
      <c r="J74" s="222">
        <f>SUM(J75:J76)</f>
        <v>24545.899999999998</v>
      </c>
      <c r="K74" s="208"/>
      <c r="L74" s="222">
        <f>SUM(L75:L76)</f>
        <v>88760.84</v>
      </c>
      <c r="M74" s="208"/>
      <c r="N74" s="227">
        <f>SUM(N75:N76)</f>
        <v>34577.020000000004</v>
      </c>
      <c r="O74" s="208"/>
      <c r="P74" s="222">
        <f>SUM(P75:P76)</f>
        <v>87900.08</v>
      </c>
      <c r="Q74" s="208"/>
      <c r="R74" s="222">
        <f>SUM(R75:R76)</f>
        <v>103646.23</v>
      </c>
      <c r="S74" s="208"/>
      <c r="T74" s="215">
        <f>T75+T76</f>
        <v>109626.07999999999</v>
      </c>
      <c r="U74" s="208"/>
      <c r="V74" s="256">
        <f>SUM(V75:V76)</f>
        <v>159130.4</v>
      </c>
      <c r="W74" s="208"/>
      <c r="X74" s="262">
        <f>SUM(X75:X76)</f>
        <v>83078.12</v>
      </c>
      <c r="Y74" s="206"/>
      <c r="Z74" s="206"/>
      <c r="AA74" s="206"/>
      <c r="AB74" s="206"/>
      <c r="AC74" s="206"/>
    </row>
    <row r="75" spans="1:29" x14ac:dyDescent="0.3">
      <c r="A75" s="219" t="s">
        <v>166</v>
      </c>
      <c r="B75" s="216">
        <v>37344.339999999997</v>
      </c>
      <c r="C75" s="597"/>
      <c r="D75" s="217">
        <v>48699.98</v>
      </c>
      <c r="F75" s="217">
        <v>26524.74</v>
      </c>
      <c r="H75" s="223">
        <v>59715.71</v>
      </c>
      <c r="J75" s="223">
        <v>23967.439999999999</v>
      </c>
      <c r="L75" s="217">
        <v>88009.41</v>
      </c>
      <c r="N75" s="223">
        <v>34312.720000000001</v>
      </c>
      <c r="P75" s="223">
        <v>87114.64</v>
      </c>
      <c r="R75" s="223">
        <v>102772.69</v>
      </c>
      <c r="T75" s="217">
        <v>108205.54</v>
      </c>
      <c r="V75" s="255">
        <v>157827.13</v>
      </c>
      <c r="X75" s="263">
        <v>82433.06</v>
      </c>
    </row>
    <row r="76" spans="1:29" x14ac:dyDescent="0.3">
      <c r="A76" s="209" t="s">
        <v>167</v>
      </c>
      <c r="B76" s="211">
        <v>913.3</v>
      </c>
      <c r="C76" s="598"/>
      <c r="D76" s="212">
        <v>3913.3</v>
      </c>
      <c r="E76" s="210"/>
      <c r="F76" s="213">
        <v>408.27</v>
      </c>
      <c r="G76" s="210"/>
      <c r="H76" s="224">
        <v>338.76</v>
      </c>
      <c r="I76" s="210"/>
      <c r="J76" s="224">
        <v>578.46</v>
      </c>
      <c r="K76" s="210"/>
      <c r="L76" s="213">
        <v>751.43</v>
      </c>
      <c r="M76" s="210"/>
      <c r="N76" s="213">
        <v>264.3</v>
      </c>
      <c r="O76" s="210"/>
      <c r="P76" s="224">
        <v>785.44</v>
      </c>
      <c r="Q76" s="210"/>
      <c r="R76" s="224">
        <v>873.54</v>
      </c>
      <c r="S76" s="210"/>
      <c r="T76" s="212">
        <v>1420.54</v>
      </c>
      <c r="U76" s="210"/>
      <c r="V76" s="296">
        <v>1303.27</v>
      </c>
      <c r="W76" s="210"/>
      <c r="X76" s="264">
        <v>645.05999999999995</v>
      </c>
    </row>
    <row r="77" spans="1:29" x14ac:dyDescent="0.3">
      <c r="A77" s="205"/>
      <c r="B77" s="205"/>
      <c r="C77" s="205"/>
    </row>
    <row r="82" spans="29:29" x14ac:dyDescent="0.3">
      <c r="AC82" s="179"/>
    </row>
    <row r="83" spans="29:29" x14ac:dyDescent="0.3">
      <c r="AC83" s="179"/>
    </row>
    <row r="84" spans="29:29" x14ac:dyDescent="0.3">
      <c r="AC84" s="179"/>
    </row>
  </sheetData>
  <mergeCells count="1">
    <mergeCell ref="C75:C76"/>
  </mergeCells>
  <conditionalFormatting sqref="B66:B71 D66:D71 F66:X71">
    <cfRule type="cellIs" dxfId="17" priority="20" operator="lessThan">
      <formula>0</formula>
    </cfRule>
  </conditionalFormatting>
  <conditionalFormatting sqref="Z61:AC62 B61:Y64 AB63:AC64 B68:Y71 AB68:AB71 AC82:AC84">
    <cfRule type="cellIs" dxfId="16" priority="21" operator="lessThan">
      <formula>0</formula>
    </cfRule>
  </conditionalFormatting>
  <conditionalFormatting sqref="AA61:AA62">
    <cfRule type="cellIs" dxfId="15" priority="11" operator="greaterThan">
      <formula>0.9961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ignoredErrors>
    <ignoredError sqref="C20 Z59:Z60 Z44:Z57 Z13:Z35 J38:J42 Z11 Z3:Z9 Z37:Z42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-0.249977111117893"/>
  </sheetPr>
  <dimension ref="A1:HX91"/>
  <sheetViews>
    <sheetView zoomScaleNormal="100" workbookViewId="0">
      <pane xSplit="1" ySplit="1" topLeftCell="R47" activePane="bottomRight" state="frozen"/>
      <selection pane="topRight" activeCell="B1" sqref="B1"/>
      <selection pane="bottomLeft" activeCell="A2" sqref="A2"/>
      <selection pane="bottomRight" activeCell="AB66" sqref="AB66"/>
    </sheetView>
  </sheetViews>
  <sheetFormatPr defaultColWidth="28.88671875" defaultRowHeight="14.4" x14ac:dyDescent="0.3"/>
  <cols>
    <col min="1" max="1" width="30.44140625" style="165" customWidth="1"/>
    <col min="2" max="2" width="11.5546875" style="165" bestFit="1" customWidth="1"/>
    <col min="3" max="3" width="7.33203125" style="165" bestFit="1" customWidth="1"/>
    <col min="4" max="4" width="11.44140625" style="165" bestFit="1" customWidth="1"/>
    <col min="5" max="5" width="7.33203125" style="165" bestFit="1" customWidth="1"/>
    <col min="6" max="6" width="12.5546875" style="165" bestFit="1" customWidth="1"/>
    <col min="7" max="7" width="7" style="165" bestFit="1" customWidth="1"/>
    <col min="8" max="8" width="11.5546875" style="165" bestFit="1" customWidth="1"/>
    <col min="9" max="9" width="7" style="165" bestFit="1" customWidth="1"/>
    <col min="10" max="10" width="11.44140625" style="165" bestFit="1" customWidth="1"/>
    <col min="11" max="11" width="7" style="165" bestFit="1" customWidth="1"/>
    <col min="12" max="12" width="11.33203125" style="165" bestFit="1" customWidth="1"/>
    <col min="13" max="13" width="7" style="165" bestFit="1" customWidth="1"/>
    <col min="14" max="14" width="11.44140625" style="165" bestFit="1" customWidth="1"/>
    <col min="15" max="15" width="7" style="165" bestFit="1" customWidth="1"/>
    <col min="16" max="16" width="11.44140625" style="165" bestFit="1" customWidth="1"/>
    <col min="17" max="17" width="7" style="165" bestFit="1" customWidth="1"/>
    <col min="18" max="18" width="11.5546875" style="165" bestFit="1" customWidth="1"/>
    <col min="19" max="19" width="7" style="165" bestFit="1" customWidth="1"/>
    <col min="20" max="20" width="11.33203125" style="165" customWidth="1"/>
    <col min="21" max="21" width="7" style="165" bestFit="1" customWidth="1"/>
    <col min="22" max="22" width="11.6640625" style="165" bestFit="1" customWidth="1"/>
    <col min="23" max="23" width="7" style="165" bestFit="1" customWidth="1"/>
    <col min="24" max="24" width="11.6640625" style="165" bestFit="1" customWidth="1"/>
    <col min="25" max="25" width="7" style="165" bestFit="1" customWidth="1"/>
    <col min="26" max="26" width="11.44140625" style="165" bestFit="1" customWidth="1"/>
    <col min="27" max="27" width="9.109375" style="165" customWidth="1"/>
    <col min="28" max="29" width="15.5546875" style="165" customWidth="1"/>
    <col min="30" max="30" width="8.33203125" style="165" customWidth="1"/>
    <col min="31" max="31" width="8" style="165" customWidth="1"/>
    <col min="32" max="32" width="13.109375" style="165" customWidth="1"/>
    <col min="33" max="33" width="11.5546875" style="165" bestFit="1" customWidth="1"/>
    <col min="34" max="34" width="9.33203125" style="165" customWidth="1"/>
    <col min="35" max="35" width="12" style="165" customWidth="1"/>
    <col min="36" max="37" width="28.88671875" style="165"/>
    <col min="38" max="38" width="25.6640625" style="165" customWidth="1"/>
    <col min="39" max="39" width="22.109375" style="165" customWidth="1"/>
    <col min="40" max="16384" width="28.88671875" style="165"/>
  </cols>
  <sheetData>
    <row r="1" spans="1:232" x14ac:dyDescent="0.3">
      <c r="A1" s="279"/>
      <c r="B1" s="278" t="s">
        <v>31</v>
      </c>
      <c r="C1" s="162" t="s">
        <v>32</v>
      </c>
      <c r="D1" s="278" t="s">
        <v>33</v>
      </c>
      <c r="E1" s="162" t="s">
        <v>32</v>
      </c>
      <c r="F1" s="278" t="s">
        <v>34</v>
      </c>
      <c r="G1" s="162" t="s">
        <v>32</v>
      </c>
      <c r="H1" s="278" t="s">
        <v>35</v>
      </c>
      <c r="I1" s="162" t="s">
        <v>32</v>
      </c>
      <c r="J1" s="278" t="s">
        <v>36</v>
      </c>
      <c r="K1" s="187" t="s">
        <v>32</v>
      </c>
      <c r="L1" s="278" t="s">
        <v>37</v>
      </c>
      <c r="M1" s="187" t="s">
        <v>32</v>
      </c>
      <c r="N1" s="278" t="s">
        <v>38</v>
      </c>
      <c r="O1" s="187" t="s">
        <v>32</v>
      </c>
      <c r="P1" s="278" t="s">
        <v>39</v>
      </c>
      <c r="Q1" s="187" t="s">
        <v>32</v>
      </c>
      <c r="R1" s="278" t="s">
        <v>40</v>
      </c>
      <c r="S1" s="187" t="s">
        <v>32</v>
      </c>
      <c r="T1" s="278" t="s">
        <v>41</v>
      </c>
      <c r="U1" s="187" t="s">
        <v>32</v>
      </c>
      <c r="V1" s="278" t="s">
        <v>101</v>
      </c>
      <c r="W1" s="187" t="s">
        <v>32</v>
      </c>
      <c r="X1" s="278" t="s">
        <v>102</v>
      </c>
      <c r="Y1" s="187" t="s">
        <v>32</v>
      </c>
      <c r="Z1" s="280" t="s">
        <v>43</v>
      </c>
      <c r="AA1" s="188" t="s">
        <v>32</v>
      </c>
      <c r="AB1" s="281" t="s">
        <v>132</v>
      </c>
      <c r="AC1" s="164"/>
      <c r="AE1" s="282" t="s">
        <v>45</v>
      </c>
      <c r="AG1" s="601" t="s">
        <v>223</v>
      </c>
      <c r="AH1" s="601"/>
      <c r="AI1" s="601"/>
      <c r="AJ1" s="601"/>
    </row>
    <row r="2" spans="1:232" s="240" customFormat="1" x14ac:dyDescent="0.3">
      <c r="A2" s="267" t="s">
        <v>6</v>
      </c>
      <c r="B2" s="268">
        <f>SUM(B3:B5)</f>
        <v>119969.25</v>
      </c>
      <c r="C2" s="186">
        <v>1</v>
      </c>
      <c r="D2" s="268">
        <f>SUM(D3:D4)</f>
        <v>107397.96</v>
      </c>
      <c r="E2" s="186">
        <v>1</v>
      </c>
      <c r="F2" s="268">
        <f>SUM(F3:F5)</f>
        <v>137010.6</v>
      </c>
      <c r="G2" s="186">
        <v>1</v>
      </c>
      <c r="H2" s="268">
        <f>SUM(H3:H5)</f>
        <v>146130.75</v>
      </c>
      <c r="I2" s="186">
        <v>1</v>
      </c>
      <c r="J2" s="268">
        <f>SUM(J3:J5)</f>
        <v>200537.9</v>
      </c>
      <c r="K2" s="186">
        <v>1</v>
      </c>
      <c r="L2" s="268">
        <f>SUM(L3:L5)</f>
        <v>159769.20000000001</v>
      </c>
      <c r="M2" s="186">
        <v>1</v>
      </c>
      <c r="N2" s="268">
        <f>SUM(N3:N5)</f>
        <v>208407.86000000002</v>
      </c>
      <c r="O2" s="186">
        <v>1</v>
      </c>
      <c r="P2" s="268">
        <f>SUM(P3:P5)</f>
        <v>187415.86000000002</v>
      </c>
      <c r="Q2" s="186">
        <v>1</v>
      </c>
      <c r="R2" s="268">
        <f>SUM(R3:R5)</f>
        <v>180450.37</v>
      </c>
      <c r="S2" s="186">
        <v>1</v>
      </c>
      <c r="T2" s="268">
        <f>SUM(T3:T5)</f>
        <v>154265.16</v>
      </c>
      <c r="U2" s="186">
        <v>1</v>
      </c>
      <c r="V2" s="268">
        <f>SUM(V3:V5)</f>
        <v>287303.59000000003</v>
      </c>
      <c r="W2" s="186">
        <v>1</v>
      </c>
      <c r="X2" s="268">
        <f>SUM(X3:X5)</f>
        <v>148152.45000000001</v>
      </c>
      <c r="Y2" s="186">
        <v>1</v>
      </c>
      <c r="Z2" s="270">
        <f>(B2+D2+F2+H2+J2+L2+N2+P2+R2+T2+V2+X2)/AE$2</f>
        <v>169734.24583333338</v>
      </c>
      <c r="AA2" s="272">
        <v>1</v>
      </c>
      <c r="AB2" s="268">
        <f>SUM(AB3:AB5)</f>
        <v>2036810.95</v>
      </c>
      <c r="AC2" s="276">
        <v>1</v>
      </c>
      <c r="AD2" s="170"/>
      <c r="AE2" s="277">
        <f>COUNTIF(B2:Y2,"&gt;1")</f>
        <v>12</v>
      </c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5"/>
      <c r="BS2" s="165"/>
      <c r="BT2" s="165"/>
      <c r="BU2" s="165"/>
      <c r="BV2" s="165"/>
      <c r="BW2" s="165"/>
      <c r="BX2" s="165"/>
      <c r="BY2" s="165"/>
      <c r="BZ2" s="165"/>
      <c r="CA2" s="165"/>
      <c r="CB2" s="165"/>
      <c r="CC2" s="165"/>
      <c r="CD2" s="165"/>
      <c r="CE2" s="165"/>
      <c r="CF2" s="165"/>
      <c r="CG2" s="165"/>
      <c r="CH2" s="165"/>
      <c r="CI2" s="165"/>
      <c r="CJ2" s="165"/>
      <c r="CK2" s="165"/>
      <c r="CL2" s="165"/>
      <c r="CM2" s="165"/>
      <c r="CN2" s="165"/>
      <c r="CO2" s="165"/>
      <c r="CP2" s="165"/>
      <c r="CQ2" s="165"/>
      <c r="CR2" s="165"/>
      <c r="CS2" s="165"/>
      <c r="CT2" s="165"/>
      <c r="CU2" s="165"/>
      <c r="CV2" s="165"/>
      <c r="CW2" s="165"/>
      <c r="CX2" s="165"/>
      <c r="CY2" s="165"/>
      <c r="CZ2" s="165"/>
      <c r="DA2" s="165"/>
      <c r="DB2" s="165"/>
      <c r="DC2" s="165"/>
      <c r="DD2" s="165"/>
      <c r="DE2" s="165"/>
      <c r="DF2" s="165"/>
      <c r="DG2" s="165"/>
      <c r="DH2" s="165"/>
      <c r="DI2" s="165"/>
      <c r="DJ2" s="165"/>
      <c r="DK2" s="165"/>
      <c r="DL2" s="165"/>
      <c r="DM2" s="165"/>
      <c r="DN2" s="165"/>
      <c r="DO2" s="165"/>
      <c r="DP2" s="165"/>
      <c r="DQ2" s="165"/>
      <c r="DR2" s="165"/>
      <c r="DS2" s="165"/>
      <c r="DT2" s="165"/>
      <c r="DU2" s="165"/>
      <c r="DV2" s="165"/>
      <c r="DW2" s="165"/>
      <c r="DX2" s="165"/>
      <c r="DY2" s="165"/>
      <c r="DZ2" s="165"/>
      <c r="EA2" s="165"/>
      <c r="EB2" s="165"/>
      <c r="EC2" s="165"/>
      <c r="ED2" s="165"/>
      <c r="EE2" s="165"/>
      <c r="EF2" s="165"/>
      <c r="EG2" s="165"/>
      <c r="EH2" s="165"/>
      <c r="EI2" s="165"/>
      <c r="EJ2" s="165"/>
      <c r="EK2" s="165"/>
      <c r="EL2" s="165"/>
      <c r="EM2" s="165"/>
      <c r="EN2" s="165"/>
      <c r="EO2" s="165"/>
      <c r="EP2" s="165"/>
      <c r="EQ2" s="165"/>
      <c r="ER2" s="165"/>
      <c r="ES2" s="165"/>
      <c r="ET2" s="165"/>
      <c r="EU2" s="165"/>
      <c r="EV2" s="165"/>
      <c r="EW2" s="165"/>
      <c r="EX2" s="165"/>
      <c r="EY2" s="165"/>
      <c r="EZ2" s="165"/>
      <c r="FA2" s="165"/>
      <c r="FB2" s="165"/>
      <c r="FC2" s="165"/>
      <c r="FD2" s="165"/>
      <c r="FE2" s="165"/>
      <c r="FF2" s="165"/>
      <c r="FG2" s="165"/>
      <c r="FH2" s="165"/>
      <c r="FI2" s="165"/>
      <c r="FJ2" s="165"/>
      <c r="FK2" s="165"/>
      <c r="FL2" s="165"/>
      <c r="FM2" s="165"/>
      <c r="FN2" s="165"/>
      <c r="FO2" s="165"/>
      <c r="FP2" s="165"/>
      <c r="FQ2" s="165"/>
      <c r="FR2" s="165"/>
      <c r="FS2" s="165"/>
      <c r="FT2" s="165"/>
      <c r="FU2" s="165"/>
      <c r="FV2" s="165"/>
      <c r="FW2" s="165"/>
      <c r="FX2" s="165"/>
      <c r="FY2" s="165"/>
      <c r="FZ2" s="165"/>
      <c r="GA2" s="165"/>
      <c r="GB2" s="165"/>
      <c r="GC2" s="165"/>
      <c r="GD2" s="165"/>
      <c r="GE2" s="165"/>
      <c r="GF2" s="165"/>
      <c r="GG2" s="165"/>
      <c r="GH2" s="165"/>
      <c r="GI2" s="165"/>
      <c r="GJ2" s="165"/>
      <c r="GK2" s="165"/>
      <c r="GL2" s="165"/>
      <c r="GM2" s="165"/>
      <c r="GN2" s="165"/>
      <c r="GO2" s="165"/>
      <c r="GP2" s="165"/>
      <c r="GQ2" s="165"/>
      <c r="GR2" s="165"/>
      <c r="GS2" s="165"/>
      <c r="GT2" s="165"/>
      <c r="GU2" s="165"/>
      <c r="GV2" s="165"/>
      <c r="GW2" s="165"/>
      <c r="GX2" s="165"/>
      <c r="GY2" s="165"/>
      <c r="GZ2" s="165"/>
      <c r="HA2" s="165"/>
      <c r="HB2" s="165"/>
      <c r="HC2" s="165"/>
      <c r="HD2" s="165"/>
      <c r="HE2" s="165"/>
      <c r="HF2" s="165"/>
      <c r="HG2" s="165"/>
      <c r="HH2" s="165"/>
      <c r="HI2" s="165"/>
      <c r="HJ2" s="165"/>
      <c r="HK2" s="165"/>
      <c r="HL2" s="165"/>
      <c r="HM2" s="165"/>
      <c r="HN2" s="165"/>
      <c r="HO2" s="165"/>
      <c r="HP2" s="165"/>
      <c r="HQ2" s="165"/>
      <c r="HR2" s="165"/>
      <c r="HS2" s="165"/>
      <c r="HT2" s="165"/>
      <c r="HU2" s="165"/>
      <c r="HV2" s="165"/>
      <c r="HW2" s="165"/>
      <c r="HX2" s="165"/>
    </row>
    <row r="3" spans="1:232" x14ac:dyDescent="0.3">
      <c r="A3" s="157" t="s">
        <v>27</v>
      </c>
      <c r="B3" s="157">
        <v>119969.25</v>
      </c>
      <c r="C3" s="185">
        <f t="shared" ref="C3:C9" si="0">B3/B$2</f>
        <v>1</v>
      </c>
      <c r="D3" s="157">
        <v>107397.96</v>
      </c>
      <c r="E3" s="185">
        <f t="shared" ref="E3:E9" si="1">D3/D$2</f>
        <v>1</v>
      </c>
      <c r="F3" s="157">
        <v>137010.6</v>
      </c>
      <c r="G3" s="185">
        <f t="shared" ref="G3:G9" si="2">F3/F$2</f>
        <v>1</v>
      </c>
      <c r="H3" s="157">
        <v>146130.75</v>
      </c>
      <c r="I3" s="185">
        <f t="shared" ref="I3:I9" si="3">H3/H$2</f>
        <v>1</v>
      </c>
      <c r="J3" s="157">
        <f>200518.8+19.1</f>
        <v>200537.9</v>
      </c>
      <c r="K3" s="185">
        <f t="shared" ref="K3:K9" si="4">J3/J$2</f>
        <v>1</v>
      </c>
      <c r="L3" s="157">
        <v>159521.20000000001</v>
      </c>
      <c r="M3" s="185">
        <f t="shared" ref="M3:M9" si="5">L3/L$2</f>
        <v>0.99844776089509113</v>
      </c>
      <c r="N3" s="157">
        <v>207971.54</v>
      </c>
      <c r="O3" s="185">
        <f t="shared" ref="O3:O9" si="6">N3/N$2</f>
        <v>0.9979064129347136</v>
      </c>
      <c r="P3" s="157">
        <v>186444.88</v>
      </c>
      <c r="Q3" s="185">
        <f t="shared" ref="Q3:Q9" si="7">P3/P$2</f>
        <v>0.99481911509516852</v>
      </c>
      <c r="R3" s="157">
        <v>180450.37</v>
      </c>
      <c r="S3" s="185">
        <f t="shared" ref="S3:S9" si="8">R3/R$2</f>
        <v>1</v>
      </c>
      <c r="T3" s="157">
        <v>154265.16</v>
      </c>
      <c r="U3" s="185">
        <f t="shared" ref="U3:U9" si="9">T3/T$2</f>
        <v>1</v>
      </c>
      <c r="V3" s="157">
        <v>287303.59000000003</v>
      </c>
      <c r="W3" s="185">
        <f t="shared" ref="W3:W9" si="10">V3/V$2</f>
        <v>1</v>
      </c>
      <c r="X3" s="157">
        <v>148152.45000000001</v>
      </c>
      <c r="Y3" s="185">
        <f t="shared" ref="Y3:Y9" si="11">X3/X$2</f>
        <v>1</v>
      </c>
      <c r="Z3" s="191">
        <f t="shared" ref="Z3:Z6" si="12">(B3+D3+F3+H3+J3+L3+N3+P3+R3+T3+V3+X3)/AE$2</f>
        <v>169596.30416666667</v>
      </c>
      <c r="AA3" s="185">
        <f t="shared" ref="AA3:AA12" si="13">Z3/Z$2</f>
        <v>0.99918730798260857</v>
      </c>
      <c r="AB3" s="172">
        <f>L3+N3+P3+R3+T3+V3+X3+J3+H3+F3+D3+B3</f>
        <v>2035155.65</v>
      </c>
      <c r="AC3" s="173">
        <f>AB3/AB$2</f>
        <v>0.9991873079826088</v>
      </c>
      <c r="AE3" s="159"/>
      <c r="AG3" s="257"/>
      <c r="AL3" s="371"/>
    </row>
    <row r="4" spans="1:232" x14ac:dyDescent="0.3">
      <c r="A4" s="157" t="s">
        <v>53</v>
      </c>
      <c r="B4" s="157"/>
      <c r="C4" s="185">
        <f t="shared" si="0"/>
        <v>0</v>
      </c>
      <c r="D4" s="157"/>
      <c r="E4" s="185">
        <f t="shared" si="1"/>
        <v>0</v>
      </c>
      <c r="F4" s="157"/>
      <c r="G4" s="185">
        <f t="shared" si="2"/>
        <v>0</v>
      </c>
      <c r="H4" s="157"/>
      <c r="I4" s="185">
        <f t="shared" si="3"/>
        <v>0</v>
      </c>
      <c r="J4" s="157"/>
      <c r="K4" s="185">
        <f t="shared" si="4"/>
        <v>0</v>
      </c>
      <c r="L4" s="157">
        <v>248</v>
      </c>
      <c r="M4" s="185">
        <f t="shared" si="5"/>
        <v>1.5522391049088309E-3</v>
      </c>
      <c r="N4" s="157">
        <f>436.32</f>
        <v>436.32</v>
      </c>
      <c r="O4" s="185">
        <f t="shared" si="6"/>
        <v>2.093587065286309E-3</v>
      </c>
      <c r="P4" s="157"/>
      <c r="Q4" s="185">
        <f t="shared" si="7"/>
        <v>0</v>
      </c>
      <c r="R4" s="157"/>
      <c r="S4" s="185">
        <f t="shared" si="8"/>
        <v>0</v>
      </c>
      <c r="T4" s="157"/>
      <c r="U4" s="185">
        <f t="shared" si="9"/>
        <v>0</v>
      </c>
      <c r="V4" s="157"/>
      <c r="W4" s="185">
        <f t="shared" si="10"/>
        <v>0</v>
      </c>
      <c r="X4" s="157"/>
      <c r="Y4" s="185">
        <f t="shared" si="11"/>
        <v>0</v>
      </c>
      <c r="Z4" s="191">
        <f t="shared" si="12"/>
        <v>57.026666666666664</v>
      </c>
      <c r="AA4" s="185">
        <f t="shared" si="13"/>
        <v>3.3597619847831227E-4</v>
      </c>
      <c r="AB4" s="172">
        <f>L4+N4+P4+R4+T4+V4+X4+J4+H4+F4+D4+B4</f>
        <v>684.31999999999994</v>
      </c>
      <c r="AC4" s="173">
        <f>AB4/AB$2</f>
        <v>3.3597619847831238E-4</v>
      </c>
      <c r="AE4" s="159"/>
      <c r="AG4" s="257"/>
      <c r="AL4" s="372"/>
    </row>
    <row r="5" spans="1:232" x14ac:dyDescent="0.3">
      <c r="A5" s="157" t="s">
        <v>195</v>
      </c>
      <c r="B5" s="157"/>
      <c r="C5" s="185">
        <f t="shared" si="0"/>
        <v>0</v>
      </c>
      <c r="D5" s="157"/>
      <c r="E5" s="185">
        <f t="shared" si="1"/>
        <v>0</v>
      </c>
      <c r="F5" s="157"/>
      <c r="G5" s="185">
        <f t="shared" si="2"/>
        <v>0</v>
      </c>
      <c r="H5" s="157"/>
      <c r="I5" s="185">
        <f t="shared" si="3"/>
        <v>0</v>
      </c>
      <c r="J5" s="157"/>
      <c r="K5" s="185">
        <f t="shared" si="4"/>
        <v>0</v>
      </c>
      <c r="L5" s="157"/>
      <c r="M5" s="185">
        <f t="shared" si="5"/>
        <v>0</v>
      </c>
      <c r="N5" s="157"/>
      <c r="O5" s="185">
        <f t="shared" si="6"/>
        <v>0</v>
      </c>
      <c r="P5" s="157">
        <v>970.98</v>
      </c>
      <c r="Q5" s="185">
        <f t="shared" si="7"/>
        <v>5.1808849048314261E-3</v>
      </c>
      <c r="R5" s="157"/>
      <c r="S5" s="185">
        <f t="shared" si="8"/>
        <v>0</v>
      </c>
      <c r="T5" s="157"/>
      <c r="U5" s="185">
        <f t="shared" si="9"/>
        <v>0</v>
      </c>
      <c r="V5" s="157"/>
      <c r="W5" s="185">
        <f t="shared" si="10"/>
        <v>0</v>
      </c>
      <c r="X5" s="157"/>
      <c r="Y5" s="185">
        <f t="shared" si="11"/>
        <v>0</v>
      </c>
      <c r="Z5" s="191">
        <f t="shared" si="12"/>
        <v>80.915000000000006</v>
      </c>
      <c r="AA5" s="185">
        <f t="shared" si="13"/>
        <v>4.767158189128941E-4</v>
      </c>
      <c r="AB5" s="172">
        <f>L5+N5+P5+R5+T5+V5+X5+J5+H5+F5+D5+B5</f>
        <v>970.98</v>
      </c>
      <c r="AC5" s="173">
        <f>AB5/AB$2</f>
        <v>4.7671581891289421E-4</v>
      </c>
      <c r="AE5" s="159"/>
      <c r="AG5" s="257"/>
      <c r="AL5" s="372"/>
    </row>
    <row r="6" spans="1:232" s="240" customFormat="1" x14ac:dyDescent="0.3">
      <c r="A6" s="267" t="s">
        <v>105</v>
      </c>
      <c r="B6" s="268">
        <f>SUBTOTAL(9,B7:B13)</f>
        <v>14337.35</v>
      </c>
      <c r="C6" s="186">
        <f t="shared" si="0"/>
        <v>0.11950854073022879</v>
      </c>
      <c r="D6" s="268">
        <f>SUBTOTAL(9,D7:D13)</f>
        <v>13738.91</v>
      </c>
      <c r="E6" s="186">
        <f t="shared" si="1"/>
        <v>0.12792524178299103</v>
      </c>
      <c r="F6" s="268">
        <f>SUBTOTAL(9,F7:F13)</f>
        <v>13253.99</v>
      </c>
      <c r="G6" s="186">
        <f t="shared" si="2"/>
        <v>9.6736967796652223E-2</v>
      </c>
      <c r="H6" s="268">
        <f>SUBTOTAL(9,H7:H13)</f>
        <v>15863.86</v>
      </c>
      <c r="I6" s="186">
        <f t="shared" si="3"/>
        <v>0.10855935523495226</v>
      </c>
      <c r="J6" s="268">
        <f>SUBTOTAL(9,J7:J13)</f>
        <v>18461.37</v>
      </c>
      <c r="K6" s="186">
        <f t="shared" si="4"/>
        <v>9.2059256629295511E-2</v>
      </c>
      <c r="L6" s="268">
        <f>SUBTOTAL(9,L7:L13)</f>
        <v>26830.420000000002</v>
      </c>
      <c r="M6" s="186">
        <f t="shared" si="5"/>
        <v>0.16793236744003226</v>
      </c>
      <c r="N6" s="268">
        <f>SUBTOTAL(9,N7:N13)</f>
        <v>22651.040000000001</v>
      </c>
      <c r="O6" s="186">
        <f t="shared" si="6"/>
        <v>0.10868611193454987</v>
      </c>
      <c r="P6" s="268">
        <f>SUBTOTAL(9,P7:P13)</f>
        <v>26317.47</v>
      </c>
      <c r="Q6" s="186">
        <f t="shared" si="7"/>
        <v>0.14042285428778545</v>
      </c>
      <c r="R6" s="268">
        <f>SUBTOTAL(9,R7:R13)</f>
        <v>25552.75</v>
      </c>
      <c r="S6" s="186">
        <f t="shared" si="8"/>
        <v>0.14160541760041834</v>
      </c>
      <c r="T6" s="268">
        <f>SUBTOTAL(9,T7:T13)</f>
        <v>24205.95</v>
      </c>
      <c r="U6" s="186">
        <f t="shared" si="9"/>
        <v>0.15691132074150768</v>
      </c>
      <c r="V6" s="268">
        <f>SUBTOTAL(9,V7:V13)</f>
        <v>22272.66</v>
      </c>
      <c r="W6" s="186">
        <f t="shared" si="10"/>
        <v>7.7523082812853111E-2</v>
      </c>
      <c r="X6" s="268">
        <f>SUBTOTAL(9,X7:X13)</f>
        <v>38446.43</v>
      </c>
      <c r="Y6" s="186">
        <f t="shared" si="11"/>
        <v>0.25950586709838414</v>
      </c>
      <c r="Z6" s="270">
        <f t="shared" si="12"/>
        <v>21827.683333333334</v>
      </c>
      <c r="AA6" s="186">
        <f t="shared" si="13"/>
        <v>0.12859917117000963</v>
      </c>
      <c r="AB6" s="268">
        <f>SUBTOTAL(9,AB7:AB13)</f>
        <v>261932.2</v>
      </c>
      <c r="AC6" s="271">
        <f>AB6/AB$2</f>
        <v>0.12859917117000969</v>
      </c>
      <c r="AD6" s="165"/>
      <c r="AE6" s="175"/>
      <c r="AF6" s="165"/>
      <c r="AG6" s="257"/>
      <c r="AH6" s="165"/>
      <c r="AI6" s="165"/>
      <c r="AJ6" s="165"/>
      <c r="AK6" s="165"/>
      <c r="AL6" s="372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65"/>
      <c r="AZ6" s="165"/>
      <c r="BA6" s="165"/>
      <c r="BB6" s="165"/>
      <c r="BC6" s="165"/>
      <c r="BD6" s="165"/>
      <c r="BE6" s="165"/>
      <c r="BF6" s="165"/>
      <c r="BG6" s="165"/>
      <c r="BH6" s="165"/>
      <c r="BI6" s="165"/>
      <c r="BJ6" s="165"/>
      <c r="BK6" s="165"/>
      <c r="BL6" s="165"/>
      <c r="BM6" s="165"/>
      <c r="BN6" s="165"/>
      <c r="BO6" s="165"/>
      <c r="BP6" s="165"/>
      <c r="BQ6" s="165"/>
      <c r="BR6" s="165"/>
      <c r="BS6" s="165"/>
      <c r="BT6" s="165"/>
      <c r="BU6" s="165"/>
      <c r="BV6" s="165"/>
      <c r="BW6" s="165"/>
      <c r="BX6" s="165"/>
      <c r="BY6" s="165"/>
      <c r="BZ6" s="165"/>
      <c r="CA6" s="165"/>
      <c r="CB6" s="165"/>
      <c r="CC6" s="165"/>
      <c r="CD6" s="165"/>
      <c r="CE6" s="165"/>
      <c r="CF6" s="165"/>
      <c r="CG6" s="165"/>
      <c r="CH6" s="165"/>
      <c r="CI6" s="165"/>
      <c r="CJ6" s="165"/>
      <c r="CK6" s="165"/>
      <c r="CL6" s="165"/>
      <c r="CM6" s="165"/>
      <c r="CN6" s="165"/>
      <c r="CO6" s="165"/>
      <c r="CP6" s="165"/>
      <c r="CQ6" s="165"/>
      <c r="CR6" s="165"/>
      <c r="CS6" s="165"/>
      <c r="CT6" s="165"/>
      <c r="CU6" s="165"/>
      <c r="CV6" s="165"/>
      <c r="CW6" s="165"/>
      <c r="CX6" s="165"/>
      <c r="CY6" s="165"/>
      <c r="CZ6" s="165"/>
      <c r="DA6" s="165"/>
      <c r="DB6" s="165"/>
      <c r="DC6" s="165"/>
      <c r="DD6" s="165"/>
      <c r="DE6" s="165"/>
      <c r="DF6" s="165"/>
      <c r="DG6" s="165"/>
      <c r="DH6" s="165"/>
      <c r="DI6" s="165"/>
      <c r="DJ6" s="165"/>
      <c r="DK6" s="165"/>
      <c r="DL6" s="165"/>
      <c r="DM6" s="165"/>
      <c r="DN6" s="165"/>
      <c r="DO6" s="165"/>
      <c r="DP6" s="165"/>
      <c r="DQ6" s="165"/>
      <c r="DR6" s="165"/>
      <c r="DS6" s="165"/>
      <c r="DT6" s="165"/>
      <c r="DU6" s="165"/>
      <c r="DV6" s="165"/>
      <c r="DW6" s="165"/>
      <c r="DX6" s="165"/>
      <c r="DY6" s="165"/>
      <c r="DZ6" s="165"/>
      <c r="EA6" s="165"/>
      <c r="EB6" s="165"/>
      <c r="EC6" s="165"/>
      <c r="ED6" s="165"/>
      <c r="EE6" s="165"/>
      <c r="EF6" s="165"/>
      <c r="EG6" s="165"/>
      <c r="EH6" s="165"/>
      <c r="EI6" s="165"/>
      <c r="EJ6" s="165"/>
      <c r="EK6" s="165"/>
      <c r="EL6" s="165"/>
      <c r="EM6" s="165"/>
      <c r="EN6" s="165"/>
      <c r="EO6" s="165"/>
      <c r="EP6" s="165"/>
      <c r="EQ6" s="165"/>
      <c r="ER6" s="165"/>
      <c r="ES6" s="165"/>
      <c r="ET6" s="165"/>
      <c r="EU6" s="165"/>
      <c r="EV6" s="165"/>
      <c r="EW6" s="165"/>
      <c r="EX6" s="165"/>
      <c r="EY6" s="165"/>
      <c r="EZ6" s="165"/>
      <c r="FA6" s="165"/>
      <c r="FB6" s="165"/>
      <c r="FC6" s="165"/>
      <c r="FD6" s="165"/>
      <c r="FE6" s="165"/>
      <c r="FF6" s="165"/>
      <c r="FG6" s="165"/>
      <c r="FH6" s="165"/>
      <c r="FI6" s="165"/>
      <c r="FJ6" s="165"/>
      <c r="FK6" s="165"/>
      <c r="FL6" s="165"/>
      <c r="FM6" s="165"/>
      <c r="FN6" s="165"/>
      <c r="FO6" s="165"/>
      <c r="FP6" s="165"/>
      <c r="FQ6" s="165"/>
      <c r="FR6" s="165"/>
      <c r="FS6" s="165"/>
      <c r="FT6" s="165"/>
      <c r="FU6" s="165"/>
      <c r="FV6" s="165"/>
      <c r="FW6" s="165"/>
      <c r="FX6" s="165"/>
      <c r="FY6" s="165"/>
      <c r="FZ6" s="165"/>
      <c r="GA6" s="165"/>
      <c r="GB6" s="165"/>
      <c r="GC6" s="165"/>
      <c r="GD6" s="165"/>
      <c r="GE6" s="165"/>
      <c r="GF6" s="165"/>
      <c r="GG6" s="165"/>
      <c r="GH6" s="165"/>
      <c r="GI6" s="165"/>
      <c r="GJ6" s="165"/>
      <c r="GK6" s="165"/>
      <c r="GL6" s="165"/>
      <c r="GM6" s="165"/>
      <c r="GN6" s="165"/>
      <c r="GO6" s="165"/>
      <c r="GP6" s="165"/>
      <c r="GQ6" s="165"/>
      <c r="GR6" s="165"/>
      <c r="GS6" s="165"/>
      <c r="GT6" s="165"/>
      <c r="GU6" s="165"/>
      <c r="GV6" s="165"/>
      <c r="GW6" s="165"/>
      <c r="GX6" s="165"/>
      <c r="GY6" s="165"/>
      <c r="GZ6" s="165"/>
      <c r="HA6" s="165"/>
      <c r="HB6" s="165"/>
      <c r="HC6" s="165"/>
      <c r="HD6" s="165"/>
      <c r="HE6" s="165"/>
      <c r="HF6" s="165"/>
      <c r="HG6" s="165"/>
      <c r="HH6" s="165"/>
      <c r="HI6" s="165"/>
      <c r="HJ6" s="165"/>
      <c r="HK6" s="165"/>
      <c r="HL6" s="165"/>
      <c r="HM6" s="165"/>
      <c r="HN6" s="165"/>
      <c r="HO6" s="165"/>
      <c r="HP6" s="165"/>
      <c r="HQ6" s="165"/>
      <c r="HR6" s="165"/>
      <c r="HS6" s="165"/>
      <c r="HT6" s="165"/>
      <c r="HU6" s="165"/>
      <c r="HV6" s="165"/>
      <c r="HW6" s="165"/>
      <c r="HX6" s="165"/>
    </row>
    <row r="7" spans="1:232" x14ac:dyDescent="0.3">
      <c r="A7" s="176" t="s">
        <v>162</v>
      </c>
      <c r="B7" s="176">
        <v>13950.98</v>
      </c>
      <c r="C7" s="185">
        <f t="shared" si="0"/>
        <v>0.11628796545781522</v>
      </c>
      <c r="D7" s="176">
        <v>13738.91</v>
      </c>
      <c r="E7" s="185">
        <f t="shared" si="1"/>
        <v>0.12792524178299103</v>
      </c>
      <c r="F7" s="176">
        <v>12416.9</v>
      </c>
      <c r="G7" s="185">
        <f t="shared" si="2"/>
        <v>9.0627294530496172E-2</v>
      </c>
      <c r="H7" s="176">
        <v>14875.62</v>
      </c>
      <c r="I7" s="185">
        <f t="shared" si="3"/>
        <v>0.10179664444341797</v>
      </c>
      <c r="J7" s="176">
        <v>17472.849999999999</v>
      </c>
      <c r="K7" s="185">
        <f t="shared" si="4"/>
        <v>8.7129914096038694E-2</v>
      </c>
      <c r="L7" s="176">
        <v>23368.66</v>
      </c>
      <c r="M7" s="185">
        <f t="shared" si="5"/>
        <v>0.14626511242467258</v>
      </c>
      <c r="N7" s="176">
        <v>19701.13</v>
      </c>
      <c r="O7" s="185">
        <f t="shared" si="6"/>
        <v>9.4531607397149026E-2</v>
      </c>
      <c r="P7" s="176">
        <v>24616.1</v>
      </c>
      <c r="Q7" s="185">
        <f t="shared" si="7"/>
        <v>0.1313448072110866</v>
      </c>
      <c r="R7" s="176">
        <v>23874.63</v>
      </c>
      <c r="S7" s="185">
        <f t="shared" si="8"/>
        <v>0.13230579687921948</v>
      </c>
      <c r="T7" s="176">
        <v>22751.17</v>
      </c>
      <c r="U7" s="185">
        <f t="shared" si="9"/>
        <v>0.14748093477490315</v>
      </c>
      <c r="V7" s="176">
        <v>19672.95</v>
      </c>
      <c r="W7" s="185">
        <f t="shared" si="10"/>
        <v>6.8474431523810747E-2</v>
      </c>
      <c r="X7" s="176">
        <v>34538.33</v>
      </c>
      <c r="Y7" s="185">
        <f t="shared" si="11"/>
        <v>0.23312695807595488</v>
      </c>
      <c r="Z7" s="191">
        <f>(B7+D7+F7+H7+J7+L7+N7+P7+R7+T7+V7+X7)/AE$2</f>
        <v>20081.519166666669</v>
      </c>
      <c r="AA7" s="185">
        <f t="shared" si="13"/>
        <v>0.1183115350003396</v>
      </c>
      <c r="AB7" s="172">
        <f>L7+N7+P7+R7+T7+V7+X7+J7+H7+F7+D7+B7</f>
        <v>240978.23000000004</v>
      </c>
      <c r="AC7" s="173">
        <f>AB7/AB$2</f>
        <v>0.11831153500033964</v>
      </c>
      <c r="AF7" s="257"/>
      <c r="AG7" s="257"/>
      <c r="AL7" s="372"/>
    </row>
    <row r="8" spans="1:232" x14ac:dyDescent="0.3">
      <c r="A8" s="176" t="s">
        <v>26</v>
      </c>
      <c r="B8" s="176">
        <f>SUBTOTAL(9,B9:B13)</f>
        <v>386.37</v>
      </c>
      <c r="C8" s="185">
        <f t="shared" si="0"/>
        <v>3.2205752724135559E-3</v>
      </c>
      <c r="D8" s="176">
        <f>SUBTOTAL(9,D9:D13)</f>
        <v>0</v>
      </c>
      <c r="E8" s="185">
        <f t="shared" si="1"/>
        <v>0</v>
      </c>
      <c r="F8" s="176">
        <f>SUBTOTAL(9,F9:F13)</f>
        <v>837.08999999999992</v>
      </c>
      <c r="G8" s="185">
        <f t="shared" si="2"/>
        <v>6.1096732661560481E-3</v>
      </c>
      <c r="H8" s="176">
        <f>SUBTOTAL(9,H9:H13)</f>
        <v>988.24</v>
      </c>
      <c r="I8" s="185">
        <f t="shared" si="3"/>
        <v>6.7627107915342937E-3</v>
      </c>
      <c r="J8" s="176">
        <f>SUBTOTAL(9,J9:J13)</f>
        <v>988.52</v>
      </c>
      <c r="K8" s="185">
        <f t="shared" si="4"/>
        <v>4.9293425332568057E-3</v>
      </c>
      <c r="L8" s="176">
        <f>SUBTOTAL(9,L9:L13)</f>
        <v>3461.7599999999998</v>
      </c>
      <c r="M8" s="185">
        <f t="shared" si="5"/>
        <v>2.1667255015359654E-2</v>
      </c>
      <c r="N8" s="176">
        <f>SUBTOTAL(9,N9:N13)</f>
        <v>2949.91</v>
      </c>
      <c r="O8" s="185">
        <f t="shared" si="6"/>
        <v>1.4154504537400843E-2</v>
      </c>
      <c r="P8" s="176">
        <f>SUBTOTAL(9,P9:P13)</f>
        <v>1701.3700000000001</v>
      </c>
      <c r="Q8" s="185">
        <f t="shared" si="7"/>
        <v>9.0780470766988457E-3</v>
      </c>
      <c r="R8" s="176">
        <f>SUBTOTAL(9,R9:R13)</f>
        <v>1678.1200000000001</v>
      </c>
      <c r="S8" s="185">
        <f t="shared" si="8"/>
        <v>9.2996207211988539E-3</v>
      </c>
      <c r="T8" s="176">
        <f>SUBTOTAL(9,T9:T13)</f>
        <v>1454.78</v>
      </c>
      <c r="U8" s="185">
        <f t="shared" si="9"/>
        <v>9.4303859666045129E-3</v>
      </c>
      <c r="V8" s="176">
        <f>SUBTOTAL(9,V9:V13)</f>
        <v>2599.71</v>
      </c>
      <c r="W8" s="185">
        <f t="shared" si="10"/>
        <v>9.0486512890423677E-3</v>
      </c>
      <c r="X8" s="176">
        <f>SUBTOTAL(9,X9:X13)</f>
        <v>3908.1</v>
      </c>
      <c r="Y8" s="185">
        <f t="shared" si="11"/>
        <v>2.6378909022429259E-2</v>
      </c>
      <c r="Z8" s="191">
        <f t="shared" ref="Z8:Z13" si="14">(B8+D8+F8+H8+J8+L8+N8+P8+R8+T8+V8+X8)/AE$2</f>
        <v>1746.1641666666667</v>
      </c>
      <c r="AA8" s="185">
        <f t="shared" si="13"/>
        <v>1.0287636169670039E-2</v>
      </c>
      <c r="AB8" s="172">
        <f>SUBTOTAL(9,AB9:AB13)</f>
        <v>20953.97</v>
      </c>
      <c r="AC8" s="173">
        <f t="shared" ref="AC8:AC13" si="15">AB8/AB$2</f>
        <v>1.0287636169670043E-2</v>
      </c>
      <c r="AF8" s="257"/>
      <c r="AG8" s="257"/>
      <c r="AL8" s="372"/>
    </row>
    <row r="9" spans="1:232" x14ac:dyDescent="0.3">
      <c r="A9" s="176" t="s">
        <v>142</v>
      </c>
      <c r="B9" s="176">
        <f>269.53+42.56</f>
        <v>312.08999999999997</v>
      </c>
      <c r="C9" s="185">
        <f t="shared" si="0"/>
        <v>2.6014166130070827E-3</v>
      </c>
      <c r="D9" s="176"/>
      <c r="E9" s="185">
        <f t="shared" si="1"/>
        <v>0</v>
      </c>
      <c r="F9" s="176">
        <v>412.65</v>
      </c>
      <c r="G9" s="185">
        <f t="shared" si="2"/>
        <v>3.0118107650065028E-3</v>
      </c>
      <c r="H9" s="176">
        <v>620.97</v>
      </c>
      <c r="I9" s="185">
        <f t="shared" si="3"/>
        <v>4.2494136244424947E-3</v>
      </c>
      <c r="J9" s="176">
        <v>227.04</v>
      </c>
      <c r="K9" s="185">
        <f t="shared" si="4"/>
        <v>1.1321550689420803E-3</v>
      </c>
      <c r="L9" s="176">
        <v>2502.9699999999998</v>
      </c>
      <c r="M9" s="185">
        <f t="shared" si="5"/>
        <v>1.5666160937151841E-2</v>
      </c>
      <c r="N9" s="176">
        <v>1025.1400000000001</v>
      </c>
      <c r="O9" s="185">
        <f t="shared" si="6"/>
        <v>4.918912367316665E-3</v>
      </c>
      <c r="P9" s="176"/>
      <c r="Q9" s="185">
        <f t="shared" si="7"/>
        <v>0</v>
      </c>
      <c r="R9" s="176"/>
      <c r="S9" s="185">
        <f t="shared" si="8"/>
        <v>0</v>
      </c>
      <c r="T9" s="176"/>
      <c r="U9" s="185">
        <f t="shared" si="9"/>
        <v>0</v>
      </c>
      <c r="V9" s="176"/>
      <c r="W9" s="185">
        <f t="shared" si="10"/>
        <v>0</v>
      </c>
      <c r="X9" s="176"/>
      <c r="Y9" s="185">
        <f t="shared" si="11"/>
        <v>0</v>
      </c>
      <c r="Z9" s="191">
        <f t="shared" si="14"/>
        <v>425.07166666666666</v>
      </c>
      <c r="AA9" s="185">
        <f t="shared" si="13"/>
        <v>2.5043364972090307E-3</v>
      </c>
      <c r="AB9" s="172">
        <f>L9+N9+P9+R9+T9+V9+X9+J9+H9+F9+D9+B9</f>
        <v>5100.8599999999997</v>
      </c>
      <c r="AC9" s="173">
        <f t="shared" si="15"/>
        <v>2.5043364972090316E-3</v>
      </c>
      <c r="AF9" s="257"/>
      <c r="AG9" s="257"/>
      <c r="AL9" s="372"/>
    </row>
    <row r="10" spans="1:232" x14ac:dyDescent="0.3">
      <c r="A10" s="176" t="s">
        <v>204</v>
      </c>
      <c r="B10" s="176"/>
      <c r="C10" s="185"/>
      <c r="D10" s="176"/>
      <c r="E10" s="185"/>
      <c r="F10" s="176"/>
      <c r="G10" s="185"/>
      <c r="H10" s="176"/>
      <c r="I10" s="185"/>
      <c r="J10" s="176"/>
      <c r="K10" s="185"/>
      <c r="L10" s="176"/>
      <c r="M10" s="185"/>
      <c r="N10" s="176">
        <v>88.25</v>
      </c>
      <c r="O10" s="185"/>
      <c r="P10" s="176">
        <v>619.64</v>
      </c>
      <c r="Q10" s="185"/>
      <c r="R10" s="176">
        <v>668.33</v>
      </c>
      <c r="S10" s="185"/>
      <c r="T10" s="176">
        <v>670</v>
      </c>
      <c r="U10" s="185"/>
      <c r="V10" s="176">
        <v>293.91000000000003</v>
      </c>
      <c r="W10" s="185"/>
      <c r="X10" s="176">
        <v>521.52</v>
      </c>
      <c r="Y10" s="185"/>
      <c r="Z10" s="191">
        <f t="shared" si="14"/>
        <v>238.47083333333333</v>
      </c>
      <c r="AA10" s="185">
        <f t="shared" si="13"/>
        <v>1.404965934614599E-3</v>
      </c>
      <c r="AB10" s="172">
        <f t="shared" ref="AB10:AB13" si="16">L10+N10+P10+R10+T10+V10+X10+J10+H10+F10+D10+B10</f>
        <v>2861.65</v>
      </c>
      <c r="AC10" s="173">
        <f t="shared" si="15"/>
        <v>1.4049659346145995E-3</v>
      </c>
      <c r="AF10" s="257"/>
      <c r="AG10" s="257"/>
      <c r="AL10" s="372"/>
    </row>
    <row r="11" spans="1:232" x14ac:dyDescent="0.3">
      <c r="A11" s="176" t="s">
        <v>209</v>
      </c>
      <c r="B11" s="176"/>
      <c r="C11" s="185"/>
      <c r="D11" s="176"/>
      <c r="E11" s="185"/>
      <c r="F11" s="176"/>
      <c r="G11" s="185"/>
      <c r="H11" s="176"/>
      <c r="I11" s="185"/>
      <c r="J11" s="176"/>
      <c r="K11" s="185"/>
      <c r="L11" s="176"/>
      <c r="M11" s="185"/>
      <c r="N11" s="176"/>
      <c r="O11" s="185"/>
      <c r="P11" s="176"/>
      <c r="Q11" s="185"/>
      <c r="R11" s="176"/>
      <c r="S11" s="185"/>
      <c r="T11" s="176"/>
      <c r="U11" s="185"/>
      <c r="V11" s="176">
        <v>91.78</v>
      </c>
      <c r="W11" s="185"/>
      <c r="X11" s="176">
        <v>500</v>
      </c>
      <c r="Y11" s="185"/>
      <c r="Z11" s="191">
        <f t="shared" si="14"/>
        <v>49.314999999999998</v>
      </c>
      <c r="AA11" s="185">
        <f t="shared" si="13"/>
        <v>2.9054242859407242E-4</v>
      </c>
      <c r="AB11" s="172">
        <f t="shared" si="16"/>
        <v>591.78</v>
      </c>
      <c r="AC11" s="173">
        <f t="shared" si="15"/>
        <v>2.9054242859407253E-4</v>
      </c>
      <c r="AF11" s="257"/>
      <c r="AG11" s="257"/>
      <c r="AL11" s="372"/>
    </row>
    <row r="12" spans="1:232" x14ac:dyDescent="0.3">
      <c r="A12" s="176" t="s">
        <v>205</v>
      </c>
      <c r="B12" s="176"/>
      <c r="C12" s="185"/>
      <c r="D12" s="176"/>
      <c r="E12" s="185"/>
      <c r="F12" s="176"/>
      <c r="G12" s="185"/>
      <c r="H12" s="176"/>
      <c r="I12" s="185"/>
      <c r="J12" s="176"/>
      <c r="K12" s="185"/>
      <c r="L12" s="176"/>
      <c r="M12" s="185"/>
      <c r="N12" s="176"/>
      <c r="O12" s="185"/>
      <c r="P12" s="176">
        <v>12.58</v>
      </c>
      <c r="Q12" s="185"/>
      <c r="R12" s="176">
        <v>26.35</v>
      </c>
      <c r="S12" s="185"/>
      <c r="T12" s="176">
        <v>33.56</v>
      </c>
      <c r="U12" s="185"/>
      <c r="V12" s="176">
        <v>73.66</v>
      </c>
      <c r="W12" s="185"/>
      <c r="X12" s="176">
        <v>600</v>
      </c>
      <c r="Y12" s="185"/>
      <c r="Z12" s="191">
        <f t="shared" si="14"/>
        <v>62.179166666666667</v>
      </c>
      <c r="AA12" s="185">
        <f t="shared" si="13"/>
        <v>3.6633247675735433E-4</v>
      </c>
      <c r="AB12" s="172">
        <f t="shared" si="16"/>
        <v>746.15</v>
      </c>
      <c r="AC12" s="173">
        <f t="shared" si="15"/>
        <v>3.6633247675735444E-4</v>
      </c>
      <c r="AF12" s="257"/>
      <c r="AG12" s="257"/>
      <c r="AL12" s="372"/>
    </row>
    <row r="13" spans="1:232" x14ac:dyDescent="0.3">
      <c r="A13" s="176" t="s">
        <v>187</v>
      </c>
      <c r="B13" s="176">
        <v>74.28</v>
      </c>
      <c r="C13" s="185">
        <f t="shared" ref="C13:C20" si="17">B13/B$2</f>
        <v>6.1915865940647297E-4</v>
      </c>
      <c r="D13" s="176"/>
      <c r="E13" s="185">
        <f t="shared" ref="E13:E20" si="18">D13/D$2</f>
        <v>0</v>
      </c>
      <c r="F13" s="176">
        <v>424.44</v>
      </c>
      <c r="G13" s="185">
        <f t="shared" ref="G13:G38" si="19">F13/F$2</f>
        <v>3.0978625011495457E-3</v>
      </c>
      <c r="H13" s="176">
        <v>367.27</v>
      </c>
      <c r="I13" s="185">
        <f t="shared" ref="I13:I20" si="20">H13/H$2</f>
        <v>2.5132971670917994E-3</v>
      </c>
      <c r="J13" s="176">
        <v>761.48</v>
      </c>
      <c r="K13" s="185">
        <f t="shared" ref="K13:K20" si="21">J13/J$2</f>
        <v>3.7971874643147256E-3</v>
      </c>
      <c r="L13" s="176">
        <v>958.79</v>
      </c>
      <c r="M13" s="185">
        <f t="shared" ref="M13:M20" si="22">L13/L$2</f>
        <v>6.0010940782078137E-3</v>
      </c>
      <c r="N13" s="176">
        <v>1836.52</v>
      </c>
      <c r="O13" s="185">
        <f t="shared" ref="O13:O20" si="23">N13/N$2</f>
        <v>8.8121436494765591E-3</v>
      </c>
      <c r="P13" s="176">
        <v>1069.1500000000001</v>
      </c>
      <c r="Q13" s="185">
        <f t="shared" ref="Q13:Q20" si="24">P13/P$2</f>
        <v>5.7046932954340152E-3</v>
      </c>
      <c r="R13" s="176">
        <f>983.44</f>
        <v>983.44</v>
      </c>
      <c r="S13" s="185">
        <f t="shared" ref="S13:S20" si="25">R13/R$2</f>
        <v>5.449919554057994E-3</v>
      </c>
      <c r="T13" s="176">
        <v>751.22</v>
      </c>
      <c r="U13" s="185">
        <f t="shared" ref="U13:U20" si="26">T13/T$2</f>
        <v>4.8696672664132329E-3</v>
      </c>
      <c r="V13" s="176">
        <v>2140.36</v>
      </c>
      <c r="W13" s="185">
        <f t="shared" ref="W13:W20" si="27">V13/V$2</f>
        <v>7.449819892609069E-3</v>
      </c>
      <c r="X13" s="176">
        <v>2286.58</v>
      </c>
      <c r="Y13" s="185">
        <f t="shared" ref="Y13:Y20" si="28">X13/X$2</f>
        <v>1.5433966836187992E-2</v>
      </c>
      <c r="Z13" s="191">
        <f t="shared" si="14"/>
        <v>971.12750000000005</v>
      </c>
      <c r="AA13" s="185">
        <f t="shared" ref="AA13:AA21" si="29">Z13/Z$2</f>
        <v>5.7214588324949831E-3</v>
      </c>
      <c r="AB13" s="172">
        <f t="shared" si="16"/>
        <v>11653.53</v>
      </c>
      <c r="AC13" s="173">
        <f t="shared" si="15"/>
        <v>5.7214588324949849E-3</v>
      </c>
      <c r="AF13" s="257"/>
      <c r="AG13" s="257"/>
      <c r="AL13" s="372"/>
    </row>
    <row r="14" spans="1:232" s="240" customFormat="1" x14ac:dyDescent="0.3">
      <c r="A14" s="267" t="s">
        <v>8</v>
      </c>
      <c r="B14" s="268">
        <f>B2-B6</f>
        <v>105631.9</v>
      </c>
      <c r="C14" s="186">
        <f t="shared" si="17"/>
        <v>0.88049145926977113</v>
      </c>
      <c r="D14" s="268">
        <f>D2-D6</f>
        <v>93659.05</v>
      </c>
      <c r="E14" s="186">
        <f>D14/D$2</f>
        <v>0.87207475821700897</v>
      </c>
      <c r="F14" s="268">
        <f>F2-F6</f>
        <v>123756.61</v>
      </c>
      <c r="G14" s="186">
        <f t="shared" si="19"/>
        <v>0.90326303220334769</v>
      </c>
      <c r="H14" s="268">
        <f>H2-H6</f>
        <v>130266.89</v>
      </c>
      <c r="I14" s="186">
        <f t="shared" si="20"/>
        <v>0.8914406447650477</v>
      </c>
      <c r="J14" s="268">
        <f>J2-J6</f>
        <v>182076.53</v>
      </c>
      <c r="K14" s="186">
        <f t="shared" si="21"/>
        <v>0.90794074337070452</v>
      </c>
      <c r="L14" s="268">
        <f>L2-L6</f>
        <v>132938.78</v>
      </c>
      <c r="M14" s="186">
        <f>L14/L$2</f>
        <v>0.83206763255996774</v>
      </c>
      <c r="N14" s="268">
        <f>N2-N6</f>
        <v>185756.82</v>
      </c>
      <c r="O14" s="186">
        <f t="shared" si="23"/>
        <v>0.89131388806545009</v>
      </c>
      <c r="P14" s="268">
        <f>P2-P6</f>
        <v>161098.39000000001</v>
      </c>
      <c r="Q14" s="186">
        <f t="shared" si="24"/>
        <v>0.85957714571221455</v>
      </c>
      <c r="R14" s="268">
        <f>R2-R6</f>
        <v>154897.62</v>
      </c>
      <c r="S14" s="186">
        <f t="shared" si="25"/>
        <v>0.85839458239958166</v>
      </c>
      <c r="T14" s="268">
        <f>T2-T6</f>
        <v>130059.21</v>
      </c>
      <c r="U14" s="186">
        <f t="shared" si="26"/>
        <v>0.8430886792584924</v>
      </c>
      <c r="V14" s="268">
        <f>V2-V6</f>
        <v>265030.93000000005</v>
      </c>
      <c r="W14" s="186">
        <f t="shared" si="27"/>
        <v>0.92247691718714697</v>
      </c>
      <c r="X14" s="268">
        <f>X2-X6</f>
        <v>109706.02000000002</v>
      </c>
      <c r="Y14" s="186">
        <f t="shared" si="28"/>
        <v>0.74049413290161592</v>
      </c>
      <c r="Z14" s="273">
        <f t="shared" ref="Z14:Z18" si="30">(B14+D14+F14+H14+J14+L14+N14+P14+R14+T14+V14+X14)/AE$2</f>
        <v>147906.56250000003</v>
      </c>
      <c r="AA14" s="186">
        <f t="shared" si="29"/>
        <v>0.87140082882999026</v>
      </c>
      <c r="AB14" s="268">
        <f>SUM(AB2-AB6)</f>
        <v>1774878.75</v>
      </c>
      <c r="AC14" s="271">
        <f>AB14/AB$2</f>
        <v>0.87140082882999037</v>
      </c>
      <c r="AD14" s="165"/>
      <c r="AE14" s="165"/>
      <c r="AF14" s="257"/>
      <c r="AG14" s="257"/>
      <c r="AH14" s="165"/>
      <c r="AI14" s="165"/>
      <c r="AJ14" s="165"/>
      <c r="AK14" s="165"/>
      <c r="AL14" s="372"/>
      <c r="AM14" s="165"/>
      <c r="AN14" s="165"/>
      <c r="AO14" s="165"/>
      <c r="AP14" s="165"/>
      <c r="AQ14" s="165"/>
      <c r="AR14" s="165"/>
      <c r="AS14" s="165"/>
      <c r="AT14" s="165"/>
      <c r="AU14" s="165"/>
      <c r="AV14" s="165"/>
      <c r="AW14" s="165"/>
      <c r="AX14" s="165"/>
      <c r="AY14" s="165"/>
      <c r="AZ14" s="165"/>
      <c r="BA14" s="165"/>
      <c r="BB14" s="165"/>
      <c r="BC14" s="165"/>
      <c r="BD14" s="165"/>
      <c r="BE14" s="165"/>
      <c r="BF14" s="165"/>
      <c r="BG14" s="165"/>
      <c r="BH14" s="165"/>
      <c r="BI14" s="165"/>
      <c r="BJ14" s="165"/>
      <c r="BK14" s="165"/>
      <c r="BL14" s="165"/>
      <c r="BM14" s="165"/>
      <c r="BN14" s="165"/>
      <c r="BO14" s="165"/>
      <c r="BP14" s="165"/>
      <c r="BQ14" s="165"/>
      <c r="BR14" s="165"/>
      <c r="BS14" s="165"/>
      <c r="BT14" s="165"/>
      <c r="BU14" s="165"/>
      <c r="BV14" s="165"/>
      <c r="BW14" s="165"/>
      <c r="BX14" s="165"/>
      <c r="BY14" s="165"/>
      <c r="BZ14" s="165"/>
      <c r="CA14" s="165"/>
      <c r="CB14" s="165"/>
      <c r="CC14" s="165"/>
      <c r="CD14" s="165"/>
      <c r="CE14" s="165"/>
      <c r="CF14" s="165"/>
      <c r="CG14" s="165"/>
      <c r="CH14" s="165"/>
      <c r="CI14" s="165"/>
      <c r="CJ14" s="165"/>
      <c r="CK14" s="165"/>
      <c r="CL14" s="165"/>
      <c r="CM14" s="165"/>
      <c r="CN14" s="165"/>
      <c r="CO14" s="165"/>
      <c r="CP14" s="165"/>
      <c r="CQ14" s="165"/>
      <c r="CR14" s="165"/>
      <c r="CS14" s="165"/>
      <c r="CT14" s="165"/>
      <c r="CU14" s="165"/>
      <c r="CV14" s="165"/>
      <c r="CW14" s="165"/>
      <c r="CX14" s="165"/>
      <c r="CY14" s="165"/>
      <c r="CZ14" s="165"/>
      <c r="DA14" s="165"/>
      <c r="DB14" s="165"/>
      <c r="DC14" s="165"/>
      <c r="DD14" s="165"/>
      <c r="DE14" s="165"/>
      <c r="DF14" s="165"/>
      <c r="DG14" s="165"/>
      <c r="DH14" s="165"/>
      <c r="DI14" s="165"/>
      <c r="DJ14" s="165"/>
      <c r="DK14" s="165"/>
      <c r="DL14" s="165"/>
      <c r="DM14" s="165"/>
      <c r="DN14" s="165"/>
      <c r="DO14" s="165"/>
      <c r="DP14" s="165"/>
      <c r="DQ14" s="165"/>
      <c r="DR14" s="165"/>
      <c r="DS14" s="165"/>
      <c r="DT14" s="165"/>
      <c r="DU14" s="165"/>
      <c r="DV14" s="165"/>
      <c r="DW14" s="165"/>
      <c r="DX14" s="165"/>
      <c r="DY14" s="165"/>
      <c r="DZ14" s="165"/>
      <c r="EA14" s="165"/>
      <c r="EB14" s="165"/>
      <c r="EC14" s="165"/>
      <c r="ED14" s="165"/>
      <c r="EE14" s="165"/>
      <c r="EF14" s="165"/>
      <c r="EG14" s="165"/>
      <c r="EH14" s="165"/>
      <c r="EI14" s="165"/>
      <c r="EJ14" s="165"/>
      <c r="EK14" s="165"/>
      <c r="EL14" s="165"/>
      <c r="EM14" s="165"/>
      <c r="EN14" s="165"/>
      <c r="EO14" s="165"/>
      <c r="EP14" s="165"/>
      <c r="EQ14" s="165"/>
      <c r="ER14" s="165"/>
      <c r="ES14" s="165"/>
      <c r="ET14" s="165"/>
      <c r="EU14" s="165"/>
      <c r="EV14" s="165"/>
      <c r="EW14" s="165"/>
      <c r="EX14" s="165"/>
      <c r="EY14" s="165"/>
      <c r="EZ14" s="165"/>
      <c r="FA14" s="165"/>
      <c r="FB14" s="165"/>
      <c r="FC14" s="165"/>
      <c r="FD14" s="165"/>
      <c r="FE14" s="165"/>
      <c r="FF14" s="165"/>
      <c r="FG14" s="165"/>
      <c r="FH14" s="165"/>
      <c r="FI14" s="165"/>
      <c r="FJ14" s="165"/>
      <c r="FK14" s="165"/>
      <c r="FL14" s="165"/>
      <c r="FM14" s="165"/>
      <c r="FN14" s="165"/>
      <c r="FO14" s="165"/>
      <c r="FP14" s="165"/>
      <c r="FQ14" s="165"/>
      <c r="FR14" s="165"/>
      <c r="FS14" s="165"/>
      <c r="FT14" s="165"/>
      <c r="FU14" s="165"/>
      <c r="FV14" s="165"/>
      <c r="FW14" s="165"/>
      <c r="FX14" s="165"/>
      <c r="FY14" s="165"/>
      <c r="FZ14" s="165"/>
      <c r="GA14" s="165"/>
      <c r="GB14" s="165"/>
      <c r="GC14" s="165"/>
      <c r="GD14" s="165"/>
      <c r="GE14" s="165"/>
      <c r="GF14" s="165"/>
      <c r="GG14" s="165"/>
      <c r="GH14" s="165"/>
      <c r="GI14" s="165"/>
      <c r="GJ14" s="165"/>
      <c r="GK14" s="165"/>
      <c r="GL14" s="165"/>
      <c r="GM14" s="165"/>
      <c r="GN14" s="165"/>
      <c r="GO14" s="165"/>
      <c r="GP14" s="165"/>
      <c r="GQ14" s="165"/>
      <c r="GR14" s="165"/>
      <c r="GS14" s="165"/>
      <c r="GT14" s="165"/>
      <c r="GU14" s="165"/>
      <c r="GV14" s="165"/>
      <c r="GW14" s="165"/>
      <c r="GX14" s="165"/>
      <c r="GY14" s="165"/>
      <c r="GZ14" s="165"/>
      <c r="HA14" s="165"/>
      <c r="HB14" s="165"/>
      <c r="HC14" s="165"/>
      <c r="HD14" s="165"/>
      <c r="HE14" s="165"/>
      <c r="HF14" s="165"/>
      <c r="HG14" s="165"/>
      <c r="HH14" s="165"/>
      <c r="HI14" s="165"/>
      <c r="HJ14" s="165"/>
      <c r="HK14" s="165"/>
      <c r="HL14" s="165"/>
      <c r="HM14" s="165"/>
      <c r="HN14" s="165"/>
      <c r="HO14" s="165"/>
      <c r="HP14" s="165"/>
      <c r="HQ14" s="165"/>
      <c r="HR14" s="165"/>
      <c r="HS14" s="165"/>
      <c r="HT14" s="165"/>
      <c r="HU14" s="165"/>
      <c r="HV14" s="165"/>
      <c r="HW14" s="165"/>
      <c r="HX14" s="165"/>
    </row>
    <row r="15" spans="1:232" s="240" customFormat="1" x14ac:dyDescent="0.3">
      <c r="A15" s="267" t="s">
        <v>106</v>
      </c>
      <c r="B15" s="268">
        <f>SUBTOTAL(9,B16:B55)</f>
        <v>52927.12</v>
      </c>
      <c r="C15" s="186">
        <f t="shared" si="17"/>
        <v>0.441172383756671</v>
      </c>
      <c r="D15" s="268">
        <f>SUBTOTAL(9,D16:D55)</f>
        <v>51494.780000000006</v>
      </c>
      <c r="E15" s="186">
        <f t="shared" si="18"/>
        <v>0.47947633269756712</v>
      </c>
      <c r="F15" s="268">
        <f>SUBTOTAL(9,F16:F55)</f>
        <v>65580.49000000002</v>
      </c>
      <c r="G15" s="186">
        <f t="shared" si="19"/>
        <v>0.47865267358875896</v>
      </c>
      <c r="H15" s="268">
        <f>SUBTOTAL(9,H16:H55)</f>
        <v>47764.67</v>
      </c>
      <c r="I15" s="186">
        <f t="shared" si="20"/>
        <v>0.32686255288500193</v>
      </c>
      <c r="J15" s="268">
        <f>SUBTOTAL(9,J16:J55)</f>
        <v>69468.180000000008</v>
      </c>
      <c r="K15" s="186">
        <f t="shared" si="21"/>
        <v>0.34640923236954219</v>
      </c>
      <c r="L15" s="268">
        <f>SUBTOTAL(9,L16:L55)</f>
        <v>76712.97</v>
      </c>
      <c r="M15" s="186">
        <f t="shared" si="22"/>
        <v>0.48014867696652419</v>
      </c>
      <c r="N15" s="268">
        <f>SUBTOTAL(9,N16:N55)</f>
        <v>71845.349999999991</v>
      </c>
      <c r="O15" s="186">
        <f t="shared" si="23"/>
        <v>0.34473435886727105</v>
      </c>
      <c r="P15" s="268">
        <f>SUBTOTAL(9,P16:P55)</f>
        <v>76024.960000000006</v>
      </c>
      <c r="Q15" s="186">
        <f t="shared" si="24"/>
        <v>0.40564848673959608</v>
      </c>
      <c r="R15" s="268">
        <f>SUBTOTAL(9,R16:R55)</f>
        <v>88239.6</v>
      </c>
      <c r="S15" s="186">
        <f t="shared" si="25"/>
        <v>0.48899650358156654</v>
      </c>
      <c r="T15" s="268">
        <f>SUBTOTAL(9,T16:T55)</f>
        <v>72547.140000000014</v>
      </c>
      <c r="U15" s="186">
        <f t="shared" si="26"/>
        <v>0.47027559560434784</v>
      </c>
      <c r="V15" s="268">
        <f>SUBTOTAL(9,V16:V55)</f>
        <v>89576.680000000008</v>
      </c>
      <c r="W15" s="186">
        <f t="shared" si="27"/>
        <v>0.31178406089530591</v>
      </c>
      <c r="X15" s="268">
        <f>SUBTOTAL(9,X16:X55)</f>
        <v>115806.89</v>
      </c>
      <c r="Y15" s="186">
        <f t="shared" si="28"/>
        <v>0.78167380964675237</v>
      </c>
      <c r="Z15" s="273">
        <f t="shared" si="30"/>
        <v>73165.73583333334</v>
      </c>
      <c r="AA15" s="186">
        <f t="shared" si="29"/>
        <v>0.43106054098933427</v>
      </c>
      <c r="AB15" s="274">
        <f>SUBTOTAL(9,AB16:AB55)</f>
        <v>877988.83</v>
      </c>
      <c r="AC15" s="275">
        <f>AB15/AB$2</f>
        <v>0.43106054098933433</v>
      </c>
      <c r="AD15" s="165"/>
      <c r="AE15" s="165"/>
      <c r="AF15" s="257"/>
      <c r="AG15" s="257"/>
      <c r="AH15" s="165"/>
      <c r="AI15" s="165"/>
      <c r="AJ15" s="165"/>
      <c r="AK15" s="165"/>
      <c r="AL15" s="372"/>
      <c r="AM15" s="165"/>
      <c r="AN15" s="165"/>
      <c r="AO15" s="165"/>
      <c r="AP15" s="165"/>
      <c r="AQ15" s="165"/>
      <c r="AR15" s="165"/>
      <c r="AS15" s="165"/>
      <c r="AT15" s="165"/>
      <c r="AU15" s="165"/>
      <c r="AV15" s="165"/>
      <c r="AW15" s="165"/>
      <c r="AX15" s="165"/>
      <c r="AY15" s="165"/>
      <c r="AZ15" s="165"/>
      <c r="BA15" s="165"/>
      <c r="BB15" s="165"/>
      <c r="BC15" s="165"/>
      <c r="BD15" s="165"/>
      <c r="BE15" s="165"/>
      <c r="BF15" s="165"/>
      <c r="BG15" s="165"/>
      <c r="BH15" s="165"/>
      <c r="BI15" s="165"/>
      <c r="BJ15" s="165"/>
      <c r="BK15" s="165"/>
      <c r="BL15" s="165"/>
      <c r="BM15" s="165"/>
      <c r="BN15" s="165"/>
      <c r="BO15" s="165"/>
      <c r="BP15" s="165"/>
      <c r="BQ15" s="165"/>
      <c r="BR15" s="165"/>
      <c r="BS15" s="165"/>
      <c r="BT15" s="165"/>
      <c r="BU15" s="165"/>
      <c r="BV15" s="165"/>
      <c r="BW15" s="165"/>
      <c r="BX15" s="165"/>
      <c r="BY15" s="165"/>
      <c r="BZ15" s="165"/>
      <c r="CA15" s="165"/>
      <c r="CB15" s="165"/>
      <c r="CC15" s="165"/>
      <c r="CD15" s="165"/>
      <c r="CE15" s="165"/>
      <c r="CF15" s="165"/>
      <c r="CG15" s="165"/>
      <c r="CH15" s="165"/>
      <c r="CI15" s="165"/>
      <c r="CJ15" s="165"/>
      <c r="CK15" s="165"/>
      <c r="CL15" s="165"/>
      <c r="CM15" s="165"/>
      <c r="CN15" s="165"/>
      <c r="CO15" s="165"/>
      <c r="CP15" s="165"/>
      <c r="CQ15" s="165"/>
      <c r="CR15" s="165"/>
      <c r="CS15" s="165"/>
      <c r="CT15" s="165"/>
      <c r="CU15" s="165"/>
      <c r="CV15" s="165"/>
      <c r="CW15" s="165"/>
      <c r="CX15" s="165"/>
      <c r="CY15" s="165"/>
      <c r="CZ15" s="165"/>
      <c r="DA15" s="165"/>
      <c r="DB15" s="165"/>
      <c r="DC15" s="165"/>
      <c r="DD15" s="165"/>
      <c r="DE15" s="165"/>
      <c r="DF15" s="165"/>
      <c r="DG15" s="165"/>
      <c r="DH15" s="165"/>
      <c r="DI15" s="165"/>
      <c r="DJ15" s="165"/>
      <c r="DK15" s="165"/>
      <c r="DL15" s="165"/>
      <c r="DM15" s="165"/>
      <c r="DN15" s="165"/>
      <c r="DO15" s="165"/>
      <c r="DP15" s="165"/>
      <c r="DQ15" s="165"/>
      <c r="DR15" s="165"/>
      <c r="DS15" s="165"/>
      <c r="DT15" s="165"/>
      <c r="DU15" s="165"/>
      <c r="DV15" s="165"/>
      <c r="DW15" s="165"/>
      <c r="DX15" s="165"/>
      <c r="DY15" s="165"/>
      <c r="DZ15" s="165"/>
      <c r="EA15" s="165"/>
      <c r="EB15" s="165"/>
      <c r="EC15" s="165"/>
      <c r="ED15" s="165"/>
      <c r="EE15" s="165"/>
      <c r="EF15" s="165"/>
      <c r="EG15" s="165"/>
      <c r="EH15" s="165"/>
      <c r="EI15" s="165"/>
      <c r="EJ15" s="165"/>
      <c r="EK15" s="165"/>
      <c r="EL15" s="165"/>
      <c r="EM15" s="165"/>
      <c r="EN15" s="165"/>
      <c r="EO15" s="165"/>
      <c r="EP15" s="165"/>
      <c r="EQ15" s="165"/>
      <c r="ER15" s="165"/>
      <c r="ES15" s="165"/>
      <c r="ET15" s="165"/>
      <c r="EU15" s="165"/>
      <c r="EV15" s="165"/>
      <c r="EW15" s="165"/>
      <c r="EX15" s="165"/>
      <c r="EY15" s="165"/>
      <c r="EZ15" s="165"/>
      <c r="FA15" s="165"/>
      <c r="FB15" s="165"/>
      <c r="FC15" s="165"/>
      <c r="FD15" s="165"/>
      <c r="FE15" s="165"/>
      <c r="FF15" s="165"/>
      <c r="FG15" s="165"/>
      <c r="FH15" s="165"/>
      <c r="FI15" s="165"/>
      <c r="FJ15" s="165"/>
      <c r="FK15" s="165"/>
      <c r="FL15" s="165"/>
      <c r="FM15" s="165"/>
      <c r="FN15" s="165"/>
      <c r="FO15" s="165"/>
      <c r="FP15" s="165"/>
      <c r="FQ15" s="165"/>
      <c r="FR15" s="165"/>
      <c r="FS15" s="165"/>
      <c r="FT15" s="165"/>
      <c r="FU15" s="165"/>
      <c r="FV15" s="165"/>
      <c r="FW15" s="165"/>
      <c r="FX15" s="165"/>
      <c r="FY15" s="165"/>
      <c r="FZ15" s="165"/>
      <c r="GA15" s="165"/>
      <c r="GB15" s="165"/>
      <c r="GC15" s="165"/>
      <c r="GD15" s="165"/>
      <c r="GE15" s="165"/>
      <c r="GF15" s="165"/>
      <c r="GG15" s="165"/>
      <c r="GH15" s="165"/>
      <c r="GI15" s="165"/>
      <c r="GJ15" s="165"/>
      <c r="GK15" s="165"/>
      <c r="GL15" s="165"/>
      <c r="GM15" s="165"/>
      <c r="GN15" s="165"/>
      <c r="GO15" s="165"/>
      <c r="GP15" s="165"/>
      <c r="GQ15" s="165"/>
      <c r="GR15" s="165"/>
      <c r="GS15" s="165"/>
      <c r="GT15" s="165"/>
      <c r="GU15" s="165"/>
      <c r="GV15" s="165"/>
      <c r="GW15" s="165"/>
      <c r="GX15" s="165"/>
      <c r="GY15" s="165"/>
      <c r="GZ15" s="165"/>
      <c r="HA15" s="165"/>
      <c r="HB15" s="165"/>
      <c r="HC15" s="165"/>
      <c r="HD15" s="165"/>
      <c r="HE15" s="165"/>
      <c r="HF15" s="165"/>
      <c r="HG15" s="165"/>
      <c r="HH15" s="165"/>
      <c r="HI15" s="165"/>
      <c r="HJ15" s="165"/>
      <c r="HK15" s="165"/>
      <c r="HL15" s="165"/>
      <c r="HM15" s="165"/>
      <c r="HN15" s="165"/>
      <c r="HO15" s="165"/>
      <c r="HP15" s="165"/>
      <c r="HQ15" s="165"/>
      <c r="HR15" s="165"/>
      <c r="HS15" s="165"/>
      <c r="HT15" s="165"/>
      <c r="HU15" s="165"/>
      <c r="HV15" s="165"/>
      <c r="HW15" s="165"/>
      <c r="HX15" s="165"/>
    </row>
    <row r="16" spans="1:232" x14ac:dyDescent="0.3">
      <c r="A16" s="157" t="s">
        <v>19</v>
      </c>
      <c r="B16" s="157">
        <v>414.13</v>
      </c>
      <c r="C16" s="185">
        <f t="shared" si="17"/>
        <v>3.451967900107736E-3</v>
      </c>
      <c r="D16" s="157">
        <v>396.77</v>
      </c>
      <c r="E16" s="185">
        <f t="shared" si="18"/>
        <v>3.6943904707314734E-3</v>
      </c>
      <c r="F16" s="157">
        <v>431.49</v>
      </c>
      <c r="G16" s="185">
        <f t="shared" si="19"/>
        <v>3.1493183739068364E-3</v>
      </c>
      <c r="H16" s="157">
        <v>388.09</v>
      </c>
      <c r="I16" s="185">
        <f t="shared" si="20"/>
        <v>2.6557723134932243E-3</v>
      </c>
      <c r="J16" s="157">
        <v>414.13</v>
      </c>
      <c r="K16" s="185">
        <f t="shared" si="21"/>
        <v>2.0650959245110275E-3</v>
      </c>
      <c r="L16" s="157">
        <v>804.37</v>
      </c>
      <c r="M16" s="185">
        <f t="shared" si="22"/>
        <v>5.0345748742561137E-3</v>
      </c>
      <c r="N16" s="157">
        <v>830.41</v>
      </c>
      <c r="O16" s="185">
        <f t="shared" si="23"/>
        <v>3.9845426175385132E-3</v>
      </c>
      <c r="P16" s="157">
        <v>821.73</v>
      </c>
      <c r="Q16" s="185">
        <f t="shared" si="24"/>
        <v>4.3845275421194345E-3</v>
      </c>
      <c r="R16" s="157">
        <v>821.73</v>
      </c>
      <c r="S16" s="185">
        <f t="shared" si="25"/>
        <v>4.5537728739486654E-3</v>
      </c>
      <c r="T16" s="157">
        <v>804.29</v>
      </c>
      <c r="U16" s="185">
        <f t="shared" si="26"/>
        <v>5.2136853194849698E-3</v>
      </c>
      <c r="V16" s="157">
        <v>853.81</v>
      </c>
      <c r="W16" s="185">
        <f t="shared" si="27"/>
        <v>2.9718041462691081E-3</v>
      </c>
      <c r="X16" s="157">
        <v>906.2</v>
      </c>
      <c r="Y16" s="185">
        <f t="shared" si="28"/>
        <v>6.1166723871255583E-3</v>
      </c>
      <c r="Z16" s="191">
        <f t="shared" si="30"/>
        <v>657.26249999999993</v>
      </c>
      <c r="AA16" s="185">
        <f t="shared" si="29"/>
        <v>3.872303416279256E-3</v>
      </c>
      <c r="AB16" s="172">
        <f>L16+N16+P16+R16+T16+V16+X16+J16+H16+F16+D16+B16</f>
        <v>7887.1500000000005</v>
      </c>
      <c r="AC16" s="173">
        <f>AB16/AB$2</f>
        <v>3.8723034162792577E-3</v>
      </c>
      <c r="AF16" s="257"/>
      <c r="AL16" s="372"/>
    </row>
    <row r="17" spans="1:38" x14ac:dyDescent="0.3">
      <c r="A17" s="157" t="s">
        <v>160</v>
      </c>
      <c r="B17" s="176">
        <v>551.84</v>
      </c>
      <c r="C17" s="185">
        <f t="shared" si="17"/>
        <v>4.5998453770445345E-3</v>
      </c>
      <c r="D17" s="176">
        <f>581.92</f>
        <v>581.91999999999996</v>
      </c>
      <c r="E17" s="185">
        <f t="shared" si="18"/>
        <v>5.4183524528771303E-3</v>
      </c>
      <c r="F17" s="176">
        <v>581.91999999999996</v>
      </c>
      <c r="G17" s="185">
        <f t="shared" si="19"/>
        <v>4.2472626205563649E-3</v>
      </c>
      <c r="H17" s="176">
        <v>581.91999999999996</v>
      </c>
      <c r="I17" s="185">
        <f t="shared" si="20"/>
        <v>3.9821871851064882E-3</v>
      </c>
      <c r="J17" s="176">
        <v>581.91999999999996</v>
      </c>
      <c r="K17" s="185">
        <f t="shared" si="21"/>
        <v>2.9017956206781859E-3</v>
      </c>
      <c r="L17" s="176">
        <v>581.91999999999996</v>
      </c>
      <c r="M17" s="185">
        <f t="shared" si="22"/>
        <v>3.6422539513247857E-3</v>
      </c>
      <c r="N17" s="176">
        <v>581.91999999999996</v>
      </c>
      <c r="O17" s="185">
        <f t="shared" si="23"/>
        <v>2.7922171457448867E-3</v>
      </c>
      <c r="P17" s="176">
        <v>581.91999999999996</v>
      </c>
      <c r="Q17" s="185">
        <f t="shared" si="24"/>
        <v>3.1049666767796486E-3</v>
      </c>
      <c r="R17" s="176">
        <v>581.91999999999996</v>
      </c>
      <c r="S17" s="185">
        <f t="shared" si="25"/>
        <v>3.2248202095678715E-3</v>
      </c>
      <c r="T17" s="176">
        <v>581.91999999999996</v>
      </c>
      <c r="U17" s="185">
        <f t="shared" si="26"/>
        <v>3.7722062454023965E-3</v>
      </c>
      <c r="V17" s="176">
        <v>581.91999999999996</v>
      </c>
      <c r="W17" s="185">
        <f t="shared" si="27"/>
        <v>2.0254532844507789E-3</v>
      </c>
      <c r="X17" s="176">
        <v>1162.92</v>
      </c>
      <c r="Y17" s="185">
        <f t="shared" si="28"/>
        <v>7.8494820706643733E-3</v>
      </c>
      <c r="Z17" s="191">
        <f t="shared" si="30"/>
        <v>627.83000000000004</v>
      </c>
      <c r="AA17" s="185">
        <f t="shared" si="29"/>
        <v>3.6988999887299302E-3</v>
      </c>
      <c r="AB17" s="172">
        <f>L17+N17+P17+R17+T17+V17+X17+J17+H17+F17+D17+B17</f>
        <v>7533.9600000000009</v>
      </c>
      <c r="AC17" s="173">
        <f t="shared" ref="AC17:AC55" si="31">AB17/AB$2</f>
        <v>3.6988999887299315E-3</v>
      </c>
      <c r="AF17" s="257"/>
      <c r="AL17" s="372"/>
    </row>
    <row r="18" spans="1:38" x14ac:dyDescent="0.3">
      <c r="A18" s="176" t="s">
        <v>14</v>
      </c>
      <c r="B18" s="157">
        <v>231.32</v>
      </c>
      <c r="C18" s="185">
        <f t="shared" si="17"/>
        <v>1.9281607578608684E-3</v>
      </c>
      <c r="D18" s="157">
        <v>226.65</v>
      </c>
      <c r="E18" s="185">
        <f t="shared" si="18"/>
        <v>2.1103752808712566E-3</v>
      </c>
      <c r="F18" s="157">
        <v>260.18</v>
      </c>
      <c r="G18" s="185">
        <f t="shared" si="19"/>
        <v>1.89897715943146E-3</v>
      </c>
      <c r="H18" s="157">
        <v>253.91</v>
      </c>
      <c r="I18" s="185">
        <f t="shared" si="20"/>
        <v>1.7375535265507088E-3</v>
      </c>
      <c r="J18" s="157">
        <f>257.1</f>
        <v>257.10000000000002</v>
      </c>
      <c r="K18" s="185">
        <f t="shared" si="21"/>
        <v>1.2820519213575091E-3</v>
      </c>
      <c r="L18" s="157">
        <v>276.91000000000003</v>
      </c>
      <c r="M18" s="185">
        <f t="shared" si="22"/>
        <v>1.7331876231463886E-3</v>
      </c>
      <c r="N18" s="157">
        <v>160.97</v>
      </c>
      <c r="O18" s="185">
        <f t="shared" si="23"/>
        <v>7.7237969815533824E-4</v>
      </c>
      <c r="P18" s="157">
        <v>183.99</v>
      </c>
      <c r="Q18" s="185">
        <f t="shared" si="24"/>
        <v>9.8172054382163806E-4</v>
      </c>
      <c r="R18" s="157">
        <v>225.63</v>
      </c>
      <c r="S18" s="185">
        <f t="shared" si="25"/>
        <v>1.2503715010393163E-3</v>
      </c>
      <c r="T18" s="157">
        <v>222.76</v>
      </c>
      <c r="U18" s="185">
        <f t="shared" si="26"/>
        <v>1.4440071886613931E-3</v>
      </c>
      <c r="V18" s="157">
        <v>239.59</v>
      </c>
      <c r="W18" s="185">
        <f t="shared" si="27"/>
        <v>8.3392623113411144E-4</v>
      </c>
      <c r="X18" s="157">
        <v>263.69</v>
      </c>
      <c r="Y18" s="185">
        <f t="shared" si="28"/>
        <v>1.7798558174367011E-3</v>
      </c>
      <c r="Z18" s="191">
        <f t="shared" si="30"/>
        <v>233.55833333333337</v>
      </c>
      <c r="AA18" s="185">
        <f t="shared" si="29"/>
        <v>1.3760236314519026E-3</v>
      </c>
      <c r="AB18" s="172">
        <f>L18+N18+P18+R18+T18+V18+X18+J18+H18+F18+D18+B18</f>
        <v>2802.7</v>
      </c>
      <c r="AC18" s="173">
        <f t="shared" si="31"/>
        <v>1.3760236314519028E-3</v>
      </c>
      <c r="AL18" s="372"/>
    </row>
    <row r="19" spans="1:38" x14ac:dyDescent="0.3">
      <c r="A19" s="157" t="s">
        <v>123</v>
      </c>
      <c r="B19" s="157">
        <f>SUBTOTAL(9,B20:B31)</f>
        <v>22061.010000000002</v>
      </c>
      <c r="C19" s="185">
        <f t="shared" si="17"/>
        <v>0.18388887152332786</v>
      </c>
      <c r="D19" s="157">
        <f>SUBTOTAL(9,D20:D31)</f>
        <v>22079.900000000005</v>
      </c>
      <c r="E19" s="185">
        <f t="shared" si="18"/>
        <v>0.20558956613328599</v>
      </c>
      <c r="F19" s="157">
        <f>SUBTOTAL(9,F20:F31)</f>
        <v>33639.020000000004</v>
      </c>
      <c r="G19" s="185">
        <f t="shared" si="19"/>
        <v>0.24552129543261619</v>
      </c>
      <c r="H19" s="157">
        <f>SUBTOTAL(9,H20:H31)</f>
        <v>23877.590000000004</v>
      </c>
      <c r="I19" s="185">
        <f t="shared" si="20"/>
        <v>0.16339880552176736</v>
      </c>
      <c r="J19" s="157">
        <f>SUBTOTAL(9,J20:J31)</f>
        <v>38459.99</v>
      </c>
      <c r="K19" s="185">
        <f t="shared" si="21"/>
        <v>0.19178414653788636</v>
      </c>
      <c r="L19" s="157">
        <f>SUBTOTAL(9,L20:L31)</f>
        <v>45109.05</v>
      </c>
      <c r="M19" s="185">
        <f t="shared" si="22"/>
        <v>0.28233883627132139</v>
      </c>
      <c r="N19" s="157">
        <f>SUBTOTAL(9,N20:N31)</f>
        <v>41122.07</v>
      </c>
      <c r="O19" s="185">
        <f t="shared" si="23"/>
        <v>0.19731535077419823</v>
      </c>
      <c r="P19" s="157">
        <f>SUBTOTAL(9,P20:P31)</f>
        <v>40010.389999999992</v>
      </c>
      <c r="Q19" s="185">
        <f t="shared" si="24"/>
        <v>0.21348454714558304</v>
      </c>
      <c r="R19" s="157">
        <f>SUBTOTAL(9,R20:R31)</f>
        <v>55930.790000000008</v>
      </c>
      <c r="S19" s="185">
        <f t="shared" si="25"/>
        <v>0.30995109624879136</v>
      </c>
      <c r="T19" s="157">
        <f>SUBTOTAL(9,T20:T31)</f>
        <v>41439.570000000007</v>
      </c>
      <c r="U19" s="185">
        <f t="shared" si="26"/>
        <v>0.26862559245392809</v>
      </c>
      <c r="V19" s="157">
        <f>SUBTOTAL(9,V20:V31)</f>
        <v>56978.38</v>
      </c>
      <c r="W19" s="185">
        <f t="shared" si="27"/>
        <v>0.19832115568065123</v>
      </c>
      <c r="X19" s="157">
        <f>SUBTOTAL(9,X20:X31)</f>
        <v>77868.33</v>
      </c>
      <c r="Y19" s="185">
        <f t="shared" si="28"/>
        <v>0.5255959655071516</v>
      </c>
      <c r="Z19" s="191">
        <f>(B19+D19+F19+H19+J19+L19+N19+P19+R19+T19+V19+X19)/AE$2</f>
        <v>41548.007500000007</v>
      </c>
      <c r="AA19" s="185">
        <f t="shared" si="29"/>
        <v>0.24478270307806424</v>
      </c>
      <c r="AB19" s="172">
        <f>SUBTOTAL(9,AB20:AB31)</f>
        <v>498576.08999999991</v>
      </c>
      <c r="AC19" s="173">
        <f t="shared" si="31"/>
        <v>0.24478270307806424</v>
      </c>
      <c r="AL19" s="372"/>
    </row>
    <row r="20" spans="1:38" x14ac:dyDescent="0.3">
      <c r="A20" s="157" t="s">
        <v>145</v>
      </c>
      <c r="B20" s="157">
        <f>2225.81+1028.55+1434.61+2107.17+1448.47+1025.85+800</f>
        <v>10070.459999999999</v>
      </c>
      <c r="C20" s="185">
        <f t="shared" si="17"/>
        <v>8.3942010140098389E-2</v>
      </c>
      <c r="D20" s="157">
        <f>2768.26+1152.98+1130.82+2193.39+1725.11+1398.99+1441.17</f>
        <v>11810.720000000001</v>
      </c>
      <c r="E20" s="185">
        <f t="shared" si="18"/>
        <v>0.1099715488078172</v>
      </c>
      <c r="F20" s="157">
        <f>1560.84+2412.92+3137.68+2131.11+2236.54+1598.99+1791.51+5739.1</f>
        <v>20608.690000000002</v>
      </c>
      <c r="G20" s="185">
        <f t="shared" si="19"/>
        <v>0.15041675607580729</v>
      </c>
      <c r="H20" s="157">
        <f>3137.68+993+2031.51+2412.92+2236.54+2131.11</f>
        <v>12942.760000000002</v>
      </c>
      <c r="I20" s="185">
        <f t="shared" si="20"/>
        <v>8.8569722662752384E-2</v>
      </c>
      <c r="J20" s="157">
        <f>2738.28+1685.84+2031.51+2295.32+2236.54+2220.65+4228.75+1798.59+1909.3</f>
        <v>21144.78</v>
      </c>
      <c r="K20" s="185">
        <f t="shared" si="21"/>
        <v>0.10544031826402889</v>
      </c>
      <c r="L20" s="157">
        <f>2253.21+2132.11+2645.88+1410.84+2295.32+2335.61+4574+1751.51+2176.54</f>
        <v>21575.02</v>
      </c>
      <c r="M20" s="185">
        <f t="shared" si="22"/>
        <v>0.13503866827899244</v>
      </c>
      <c r="N20" s="157">
        <f>2253.21+721.5+1736.19+2042.56+4559.21+2097.19+2084.5+2335.61+2284.76+300+1950.48</f>
        <v>22365.209999999995</v>
      </c>
      <c r="O20" s="185">
        <f t="shared" si="23"/>
        <v>0.10731461855613313</v>
      </c>
      <c r="P20" s="157">
        <f>3016.66+2028.89+1816.31+2068.6+1359.1+2253.21+4559.2+2042.56+2335.61</f>
        <v>21480.140000000003</v>
      </c>
      <c r="Q20" s="185">
        <f t="shared" si="24"/>
        <v>0.11461217849972784</v>
      </c>
      <c r="R20" s="157">
        <f>1758.71+72.09+2338.87+2035.77+2277.97+2925.65+2335.61+4544.67+2253.21+10624.59</f>
        <v>31167.14</v>
      </c>
      <c r="S20" s="185">
        <f t="shared" si="25"/>
        <v>0.17271862617959718</v>
      </c>
      <c r="T20" s="157">
        <f>2335.61+1789.97+4544.67+2086.32+3082.7+1753.89+2035.77+2253.21+2247.97</f>
        <v>22130.11</v>
      </c>
      <c r="U20" s="185">
        <f t="shared" si="26"/>
        <v>0.14345500954330842</v>
      </c>
      <c r="V20" s="157">
        <f>1969.63+2242.97+2253.21+749.16+3006.68+4544.67+2086.32+2333.87+2335.61+2157.87</f>
        <v>23679.989999999998</v>
      </c>
      <c r="W20" s="185">
        <f t="shared" si="27"/>
        <v>8.242149010390018E-2</v>
      </c>
      <c r="X20" s="157">
        <f>3.17+1967.87+2335.61+2338.87+2086.32+4544.67+2908.16+1811.04+2253.21+2212.97+103.07</f>
        <v>22564.959999999999</v>
      </c>
      <c r="Y20" s="185">
        <f t="shared" si="28"/>
        <v>0.1523090573257479</v>
      </c>
      <c r="Z20" s="191">
        <f t="shared" ref="Z20:Z31" si="32">(B20+D20+F20+H20+J20+L20+N20+P20+R20+T20+V20+X20)/AE$2</f>
        <v>20128.331666666661</v>
      </c>
      <c r="AA20" s="185">
        <f t="shared" si="29"/>
        <v>0.11858733379256424</v>
      </c>
      <c r="AB20" s="172">
        <f>L20+N20+P20+R20+T20+V20+X20+J20+H20+F20+D20+B20</f>
        <v>241539.97999999998</v>
      </c>
      <c r="AC20" s="173">
        <f t="shared" si="31"/>
        <v>0.1185873337925643</v>
      </c>
    </row>
    <row r="21" spans="1:38" x14ac:dyDescent="0.3">
      <c r="A21" s="157" t="s">
        <v>199</v>
      </c>
      <c r="B21" s="157">
        <v>2600</v>
      </c>
      <c r="C21" s="185"/>
      <c r="D21" s="157"/>
      <c r="E21" s="185"/>
      <c r="F21" s="157">
        <f>150+950+1000.91+300+100</f>
        <v>2500.91</v>
      </c>
      <c r="G21" s="185">
        <f t="shared" si="19"/>
        <v>1.8253405210983675E-2</v>
      </c>
      <c r="H21" s="157">
        <f>150+200+150+450+61.76</f>
        <v>1011.76</v>
      </c>
      <c r="I21" s="185"/>
      <c r="J21" s="157">
        <f>150+730+350+480+3808-71.52</f>
        <v>5446.48</v>
      </c>
      <c r="K21" s="185"/>
      <c r="L21" s="157">
        <f>150+4640+730+350+600</f>
        <v>6470</v>
      </c>
      <c r="M21" s="185"/>
      <c r="N21" s="157">
        <f>150+730+4610+350+600</f>
        <v>6440</v>
      </c>
      <c r="O21" s="185"/>
      <c r="P21" s="157">
        <f>600+750+1100+4640+200</f>
        <v>7290</v>
      </c>
      <c r="Q21" s="185"/>
      <c r="R21" s="157">
        <f>850+500+250+1250+1600+4890+500</f>
        <v>9840</v>
      </c>
      <c r="S21" s="185"/>
      <c r="T21" s="157">
        <f>600+500+752+1101.22+4640</f>
        <v>7593.22</v>
      </c>
      <c r="U21" s="185"/>
      <c r="V21" s="157">
        <f>527.07+408.22+1000+1100+4670</f>
        <v>7705.29</v>
      </c>
      <c r="W21" s="185"/>
      <c r="X21" s="157">
        <v>16491.900000000001</v>
      </c>
      <c r="Y21" s="185"/>
      <c r="Z21" s="191">
        <f t="shared" si="32"/>
        <v>6115.7966666666662</v>
      </c>
      <c r="AA21" s="185">
        <f t="shared" si="29"/>
        <v>3.603160126373043E-2</v>
      </c>
      <c r="AB21" s="172">
        <f t="shared" ref="AB21:AB31" si="33">L21+N21+P21+R21+T21+V21+X21+J21+H21+F21+D21+B21</f>
        <v>73389.56</v>
      </c>
      <c r="AC21" s="173">
        <f t="shared" si="31"/>
        <v>3.6031601263730444E-2</v>
      </c>
    </row>
    <row r="22" spans="1:38" x14ac:dyDescent="0.3">
      <c r="A22" s="157" t="s">
        <v>183</v>
      </c>
      <c r="B22" s="157"/>
      <c r="C22" s="185">
        <f t="shared" ref="C22:C38" si="34">B22/B$2</f>
        <v>0</v>
      </c>
      <c r="D22" s="157">
        <v>1195.6500000000001</v>
      </c>
      <c r="E22" s="185">
        <f t="shared" ref="E22:E30" si="35">D22/D$2</f>
        <v>1.1132893027018391E-2</v>
      </c>
      <c r="F22" s="157"/>
      <c r="G22" s="185">
        <f t="shared" si="19"/>
        <v>0</v>
      </c>
      <c r="H22" s="157"/>
      <c r="I22" s="185">
        <f t="shared" ref="I22:I38" si="36">H22/H$2</f>
        <v>0</v>
      </c>
      <c r="J22" s="157">
        <v>561.16999999999996</v>
      </c>
      <c r="K22" s="185">
        <f>J22/J$2</f>
        <v>2.7983239078498375E-3</v>
      </c>
      <c r="L22" s="157">
        <f>2365.67+1240.65</f>
        <v>3606.32</v>
      </c>
      <c r="M22" s="185">
        <f t="shared" ref="M22:M31" si="37">L22/L$2</f>
        <v>2.2572060196833933E-2</v>
      </c>
      <c r="N22" s="157"/>
      <c r="O22" s="185">
        <f t="shared" ref="O22:O30" si="38">N22/N$2</f>
        <v>0</v>
      </c>
      <c r="P22" s="157"/>
      <c r="Q22" s="185">
        <f t="shared" ref="Q22:Q38" si="39">P22/P$2</f>
        <v>0</v>
      </c>
      <c r="R22" s="157">
        <v>785.64</v>
      </c>
      <c r="S22" s="185">
        <f t="shared" ref="S22:S38" si="40">R22/R$2</f>
        <v>4.353773284033721E-3</v>
      </c>
      <c r="T22" s="157"/>
      <c r="U22" s="185">
        <f t="shared" ref="U22:U31" si="41">T22/T$2</f>
        <v>0</v>
      </c>
      <c r="V22" s="157">
        <v>3092.49</v>
      </c>
      <c r="W22" s="185">
        <f t="shared" ref="W22:W30" si="42">V22/V$2</f>
        <v>1.0763840437914471E-2</v>
      </c>
      <c r="X22" s="157">
        <v>9906.51</v>
      </c>
      <c r="Y22" s="185">
        <f t="shared" ref="Y22:Y31" si="43">X22/X$2</f>
        <v>6.6867000849462829E-2</v>
      </c>
      <c r="Z22" s="191">
        <f t="shared" si="32"/>
        <v>1595.6483333333333</v>
      </c>
      <c r="AA22" s="185">
        <f t="shared" ref="AA22:AA31" si="44">Z22/Z$2</f>
        <v>9.4008626573811351E-3</v>
      </c>
      <c r="AB22" s="172">
        <f t="shared" si="33"/>
        <v>19147.78</v>
      </c>
      <c r="AC22" s="173">
        <f t="shared" si="31"/>
        <v>9.4008626573811368E-3</v>
      </c>
    </row>
    <row r="23" spans="1:38" x14ac:dyDescent="0.3">
      <c r="A23" s="157" t="s">
        <v>186</v>
      </c>
      <c r="B23" s="157"/>
      <c r="C23" s="185">
        <f t="shared" si="34"/>
        <v>0</v>
      </c>
      <c r="D23" s="157"/>
      <c r="E23" s="185">
        <f t="shared" si="35"/>
        <v>0</v>
      </c>
      <c r="F23" s="157"/>
      <c r="G23" s="185">
        <f t="shared" si="19"/>
        <v>0</v>
      </c>
      <c r="H23" s="157"/>
      <c r="I23" s="185">
        <f t="shared" si="36"/>
        <v>0</v>
      </c>
      <c r="J23" s="157"/>
      <c r="K23" s="185">
        <f>J23/J$2</f>
        <v>0</v>
      </c>
      <c r="L23" s="157"/>
      <c r="M23" s="185">
        <f t="shared" si="37"/>
        <v>0</v>
      </c>
      <c r="N23" s="157"/>
      <c r="O23" s="185">
        <f t="shared" si="38"/>
        <v>0</v>
      </c>
      <c r="P23" s="157"/>
      <c r="Q23" s="185">
        <f t="shared" si="39"/>
        <v>0</v>
      </c>
      <c r="R23" s="157"/>
      <c r="S23" s="185">
        <f t="shared" si="40"/>
        <v>0</v>
      </c>
      <c r="T23" s="157"/>
      <c r="U23" s="185">
        <f t="shared" si="41"/>
        <v>0</v>
      </c>
      <c r="V23" s="157">
        <f>1995.74+833.33+866.67+1250+1365+312.5+91.67+1934.5+1358.33</f>
        <v>10007.74</v>
      </c>
      <c r="W23" s="185">
        <f t="shared" si="42"/>
        <v>3.4833327352435793E-2</v>
      </c>
      <c r="X23" s="157">
        <v>11294.3</v>
      </c>
      <c r="Y23" s="185">
        <f t="shared" si="43"/>
        <v>7.6234311346184275E-2</v>
      </c>
      <c r="Z23" s="191">
        <f t="shared" si="32"/>
        <v>1775.17</v>
      </c>
      <c r="AA23" s="185">
        <f t="shared" si="44"/>
        <v>1.0458525863679197E-2</v>
      </c>
      <c r="AB23" s="172">
        <f t="shared" si="33"/>
        <v>21302.04</v>
      </c>
      <c r="AC23" s="173">
        <f t="shared" si="31"/>
        <v>1.0458525863679199E-2</v>
      </c>
    </row>
    <row r="24" spans="1:38" x14ac:dyDescent="0.3">
      <c r="A24" s="157" t="s">
        <v>146</v>
      </c>
      <c r="B24" s="157">
        <v>4455</v>
      </c>
      <c r="C24" s="185">
        <f t="shared" si="34"/>
        <v>3.7134515719653163E-2</v>
      </c>
      <c r="D24" s="157">
        <v>4830</v>
      </c>
      <c r="E24" s="185">
        <f t="shared" si="35"/>
        <v>4.4972921273364969E-2</v>
      </c>
      <c r="F24" s="157">
        <v>5245</v>
      </c>
      <c r="G24" s="185">
        <f t="shared" si="19"/>
        <v>3.8281709590352861E-2</v>
      </c>
      <c r="H24" s="157">
        <v>5670</v>
      </c>
      <c r="I24" s="185">
        <f t="shared" si="36"/>
        <v>3.880086840038801E-2</v>
      </c>
      <c r="J24" s="157">
        <v>5670</v>
      </c>
      <c r="K24" s="185">
        <f>J24/J$2</f>
        <v>2.8273957192131761E-2</v>
      </c>
      <c r="L24" s="157">
        <v>6150</v>
      </c>
      <c r="M24" s="185">
        <f t="shared" si="37"/>
        <v>3.8493026190279472E-2</v>
      </c>
      <c r="N24" s="157">
        <v>4917.5600000000004</v>
      </c>
      <c r="O24" s="185">
        <f t="shared" si="38"/>
        <v>2.3595847104806892E-2</v>
      </c>
      <c r="P24" s="157">
        <v>5115</v>
      </c>
      <c r="Q24" s="185">
        <f t="shared" si="39"/>
        <v>2.7292247305003962E-2</v>
      </c>
      <c r="R24" s="157">
        <v>4800</v>
      </c>
      <c r="S24" s="185">
        <f t="shared" si="40"/>
        <v>2.6600111709385799E-2</v>
      </c>
      <c r="T24" s="157">
        <v>5715</v>
      </c>
      <c r="U24" s="185">
        <f t="shared" si="41"/>
        <v>3.7046602097323855E-2</v>
      </c>
      <c r="V24" s="157">
        <v>6810</v>
      </c>
      <c r="W24" s="185">
        <f t="shared" si="42"/>
        <v>2.3703149689149376E-2</v>
      </c>
      <c r="X24" s="157">
        <v>6615</v>
      </c>
      <c r="Y24" s="185">
        <f t="shared" si="43"/>
        <v>4.4649953476975909E-2</v>
      </c>
      <c r="Z24" s="191">
        <f t="shared" si="32"/>
        <v>5499.38</v>
      </c>
      <c r="AA24" s="185">
        <f t="shared" si="44"/>
        <v>3.2399943647200044E-2</v>
      </c>
      <c r="AB24" s="172">
        <f t="shared" si="33"/>
        <v>65992.56</v>
      </c>
      <c r="AC24" s="173">
        <f t="shared" si="31"/>
        <v>3.2399943647200051E-2</v>
      </c>
    </row>
    <row r="25" spans="1:38" x14ac:dyDescent="0.3">
      <c r="A25" s="157" t="s">
        <v>147</v>
      </c>
      <c r="B25" s="157"/>
      <c r="C25" s="185">
        <f t="shared" si="34"/>
        <v>0</v>
      </c>
      <c r="D25" s="157"/>
      <c r="E25" s="185">
        <f t="shared" si="35"/>
        <v>0</v>
      </c>
      <c r="F25" s="157">
        <v>33.44</v>
      </c>
      <c r="G25" s="185">
        <f t="shared" si="19"/>
        <v>2.4406870709273585E-4</v>
      </c>
      <c r="H25" s="157">
        <v>33.44</v>
      </c>
      <c r="I25" s="185">
        <f t="shared" si="36"/>
        <v>2.2883616213562169E-4</v>
      </c>
      <c r="J25" s="157">
        <v>33.44</v>
      </c>
      <c r="K25" s="185">
        <f>J25/J$2</f>
        <v>1.6675152178216685E-4</v>
      </c>
      <c r="L25" s="157">
        <v>25.08</v>
      </c>
      <c r="M25" s="185">
        <f t="shared" si="37"/>
        <v>1.5697643851255433E-4</v>
      </c>
      <c r="N25" s="157">
        <v>41.8</v>
      </c>
      <c r="O25" s="185">
        <f t="shared" si="38"/>
        <v>2.0056825112066309E-4</v>
      </c>
      <c r="P25" s="157">
        <v>204.2</v>
      </c>
      <c r="Q25" s="185">
        <f t="shared" si="39"/>
        <v>1.0895556011108129E-3</v>
      </c>
      <c r="R25" s="157">
        <v>177.9</v>
      </c>
      <c r="S25" s="185">
        <f t="shared" si="40"/>
        <v>9.8586664022911122E-4</v>
      </c>
      <c r="T25" s="157">
        <v>738.8</v>
      </c>
      <c r="U25" s="185">
        <f t="shared" si="41"/>
        <v>4.7891565405954262E-3</v>
      </c>
      <c r="V25" s="157">
        <v>558</v>
      </c>
      <c r="W25" s="185">
        <f t="shared" si="42"/>
        <v>1.9421964062474818E-3</v>
      </c>
      <c r="X25" s="157">
        <v>186.7</v>
      </c>
      <c r="Y25" s="185">
        <f t="shared" si="43"/>
        <v>1.2601884072791234E-3</v>
      </c>
      <c r="Z25" s="191">
        <f t="shared" si="32"/>
        <v>169.4</v>
      </c>
      <c r="AA25" s="185">
        <f t="shared" si="44"/>
        <v>9.9803076962051858E-4</v>
      </c>
      <c r="AB25" s="172">
        <f t="shared" si="33"/>
        <v>2032.8000000000002</v>
      </c>
      <c r="AC25" s="173">
        <f t="shared" si="31"/>
        <v>9.980307696205188E-4</v>
      </c>
    </row>
    <row r="26" spans="1:38" x14ac:dyDescent="0.3">
      <c r="A26" s="157" t="s">
        <v>143</v>
      </c>
      <c r="B26" s="157">
        <v>265.91000000000003</v>
      </c>
      <c r="C26" s="185">
        <f t="shared" si="34"/>
        <v>2.2164846408558861E-3</v>
      </c>
      <c r="D26" s="157"/>
      <c r="E26" s="185">
        <f t="shared" si="35"/>
        <v>0</v>
      </c>
      <c r="F26" s="157">
        <v>55.54</v>
      </c>
      <c r="G26" s="185">
        <f t="shared" si="19"/>
        <v>4.0537009545246863E-4</v>
      </c>
      <c r="H26" s="157">
        <v>274.20999999999998</v>
      </c>
      <c r="I26" s="185">
        <f t="shared" si="36"/>
        <v>1.8764702158854312E-3</v>
      </c>
      <c r="J26" s="165">
        <v>200.86</v>
      </c>
      <c r="K26" s="185">
        <f>L26/J$2</f>
        <v>3.0668018364608386E-3</v>
      </c>
      <c r="L26" s="157">
        <v>615.01</v>
      </c>
      <c r="M26" s="185">
        <f t="shared" si="37"/>
        <v>3.8493652093144356E-3</v>
      </c>
      <c r="N26" s="157">
        <v>859.53</v>
      </c>
      <c r="O26" s="185">
        <f t="shared" si="38"/>
        <v>4.1242686336302285E-3</v>
      </c>
      <c r="P26" s="157">
        <v>778.84</v>
      </c>
      <c r="Q26" s="185">
        <f t="shared" si="39"/>
        <v>4.1556781800643761E-3</v>
      </c>
      <c r="R26" s="157">
        <v>844.19</v>
      </c>
      <c r="S26" s="185">
        <f t="shared" si="40"/>
        <v>4.6782392299888334E-3</v>
      </c>
      <c r="T26" s="157">
        <v>909.37</v>
      </c>
      <c r="U26" s="185">
        <f t="shared" si="41"/>
        <v>5.8948501398501125E-3</v>
      </c>
      <c r="V26" s="157">
        <v>63.37</v>
      </c>
      <c r="W26" s="185">
        <f t="shared" si="42"/>
        <v>2.205680757417615E-4</v>
      </c>
      <c r="X26" s="157">
        <v>1034.4000000000001</v>
      </c>
      <c r="Y26" s="185">
        <f t="shared" si="43"/>
        <v>6.9819972602545551E-3</v>
      </c>
      <c r="Z26" s="191">
        <f t="shared" si="32"/>
        <v>491.76916666666676</v>
      </c>
      <c r="AA26" s="185">
        <f t="shared" si="44"/>
        <v>2.8972890193859177E-3</v>
      </c>
      <c r="AB26" s="172">
        <f t="shared" si="33"/>
        <v>5901.23</v>
      </c>
      <c r="AC26" s="173">
        <f t="shared" si="31"/>
        <v>2.8972890193859177E-3</v>
      </c>
    </row>
    <row r="27" spans="1:38" x14ac:dyDescent="0.3">
      <c r="A27" s="157" t="s">
        <v>144</v>
      </c>
      <c r="B27" s="157">
        <v>1478.54</v>
      </c>
      <c r="C27" s="185">
        <f t="shared" si="34"/>
        <v>1.2324324774890231E-2</v>
      </c>
      <c r="D27" s="157">
        <v>1613.05</v>
      </c>
      <c r="E27" s="185">
        <f t="shared" si="35"/>
        <v>1.5019372807453697E-2</v>
      </c>
      <c r="F27" s="157">
        <v>1583.89</v>
      </c>
      <c r="G27" s="185">
        <f t="shared" si="19"/>
        <v>1.1560346425751001E-2</v>
      </c>
      <c r="H27" s="157">
        <v>1628.54</v>
      </c>
      <c r="I27" s="185">
        <f t="shared" si="36"/>
        <v>1.1144403214244777E-2</v>
      </c>
      <c r="J27" s="157">
        <v>2336.73</v>
      </c>
      <c r="K27" s="185">
        <f>J27/J$2</f>
        <v>1.1652311109271615E-2</v>
      </c>
      <c r="L27" s="157">
        <v>2552.2399999999998</v>
      </c>
      <c r="M27" s="185">
        <f t="shared" si="37"/>
        <v>1.5974543278679493E-2</v>
      </c>
      <c r="N27" s="157">
        <v>2660.89</v>
      </c>
      <c r="O27" s="185">
        <f t="shared" si="38"/>
        <v>1.2767704634556488E-2</v>
      </c>
      <c r="P27" s="157">
        <v>663.53</v>
      </c>
      <c r="Q27" s="185">
        <f t="shared" si="39"/>
        <v>3.5404154162833388E-3</v>
      </c>
      <c r="R27" s="157">
        <v>206.9</v>
      </c>
      <c r="S27" s="185">
        <f t="shared" si="40"/>
        <v>1.1465756484733171E-3</v>
      </c>
      <c r="T27" s="157">
        <v>103.01</v>
      </c>
      <c r="U27" s="185">
        <f t="shared" si="41"/>
        <v>6.6774636606217502E-4</v>
      </c>
      <c r="V27" s="157">
        <v>890.19</v>
      </c>
      <c r="W27" s="185">
        <f t="shared" si="42"/>
        <v>3.0984297829344909E-3</v>
      </c>
      <c r="X27" s="157">
        <v>4018.84</v>
      </c>
      <c r="Y27" s="185">
        <f t="shared" si="43"/>
        <v>2.7126382317673451E-2</v>
      </c>
      <c r="Z27" s="191">
        <f t="shared" si="32"/>
        <v>1644.6958333333332</v>
      </c>
      <c r="AA27" s="185">
        <f t="shared" si="44"/>
        <v>9.6898290928767797E-3</v>
      </c>
      <c r="AB27" s="172">
        <f t="shared" si="33"/>
        <v>19736.349999999999</v>
      </c>
      <c r="AC27" s="173">
        <f t="shared" si="31"/>
        <v>9.6898290928767832E-3</v>
      </c>
    </row>
    <row r="28" spans="1:38" x14ac:dyDescent="0.3">
      <c r="A28" s="157" t="s">
        <v>148</v>
      </c>
      <c r="B28" s="157">
        <v>1897.59</v>
      </c>
      <c r="C28" s="185">
        <f t="shared" si="34"/>
        <v>1.5817303183940885E-2</v>
      </c>
      <c r="D28" s="157">
        <v>1441.97</v>
      </c>
      <c r="E28" s="185">
        <f t="shared" si="35"/>
        <v>1.3426418900321755E-2</v>
      </c>
      <c r="F28" s="157">
        <v>2310.44</v>
      </c>
      <c r="G28" s="185">
        <f t="shared" si="19"/>
        <v>1.686322080189416E-2</v>
      </c>
      <c r="H28" s="157">
        <v>1310.77</v>
      </c>
      <c r="I28" s="185">
        <f t="shared" si="36"/>
        <v>8.9698437871563643E-3</v>
      </c>
      <c r="J28" s="157">
        <v>2014.88</v>
      </c>
      <c r="K28" s="185">
        <f>J28/J$2</f>
        <v>1.0047377578003959E-2</v>
      </c>
      <c r="L28" s="157">
        <v>2155.23</v>
      </c>
      <c r="M28" s="185">
        <f t="shared" si="37"/>
        <v>1.3489646314809112E-2</v>
      </c>
      <c r="N28" s="157">
        <v>2248.02</v>
      </c>
      <c r="O28" s="185">
        <f t="shared" si="38"/>
        <v>1.0786637317805575E-2</v>
      </c>
      <c r="P28" s="157">
        <v>2306.42</v>
      </c>
      <c r="Q28" s="185">
        <f t="shared" si="39"/>
        <v>1.2306429135719889E-2</v>
      </c>
      <c r="R28" s="157">
        <f>5832.65</f>
        <v>5832.65</v>
      </c>
      <c r="S28" s="185">
        <f t="shared" si="40"/>
        <v>3.2322737825364392E-2</v>
      </c>
      <c r="T28" s="157">
        <v>2256.64</v>
      </c>
      <c r="U28" s="185">
        <f t="shared" si="41"/>
        <v>1.4628319187559913E-2</v>
      </c>
      <c r="V28" s="157">
        <v>2327.92</v>
      </c>
      <c r="W28" s="185">
        <f t="shared" si="42"/>
        <v>8.1026484910961261E-3</v>
      </c>
      <c r="X28" s="157">
        <v>3394.49</v>
      </c>
      <c r="Y28" s="185">
        <f t="shared" si="43"/>
        <v>2.2912142188671193E-2</v>
      </c>
      <c r="Z28" s="191">
        <f t="shared" si="32"/>
        <v>2458.0849999999996</v>
      </c>
      <c r="AA28" s="185">
        <f t="shared" si="44"/>
        <v>1.4481962599425335E-2</v>
      </c>
      <c r="AB28" s="172">
        <f t="shared" si="33"/>
        <v>29497.019999999997</v>
      </c>
      <c r="AC28" s="173">
        <f t="shared" si="31"/>
        <v>1.448196259942534E-2</v>
      </c>
    </row>
    <row r="29" spans="1:38" x14ac:dyDescent="0.3">
      <c r="A29" s="157" t="s">
        <v>184</v>
      </c>
      <c r="B29" s="157">
        <v>955.9</v>
      </c>
      <c r="C29" s="185">
        <f t="shared" si="34"/>
        <v>7.9678751013280476E-3</v>
      </c>
      <c r="D29" s="157">
        <v>885.9</v>
      </c>
      <c r="E29" s="185">
        <f t="shared" si="35"/>
        <v>8.2487600323134617E-3</v>
      </c>
      <c r="F29" s="157">
        <v>963.5</v>
      </c>
      <c r="G29" s="185">
        <f t="shared" si="19"/>
        <v>7.0323026101630094E-3</v>
      </c>
      <c r="H29" s="157">
        <v>598.5</v>
      </c>
      <c r="I29" s="185">
        <f t="shared" si="36"/>
        <v>4.0956472200409568E-3</v>
      </c>
      <c r="J29" s="157">
        <v>808.5</v>
      </c>
      <c r="K29" s="185">
        <f>J29/J$2</f>
        <v>4.0316568588780475E-3</v>
      </c>
      <c r="L29" s="157">
        <v>1645.05</v>
      </c>
      <c r="M29" s="185">
        <f t="shared" si="37"/>
        <v>1.0296415078751097E-2</v>
      </c>
      <c r="N29" s="157">
        <v>1247.4000000000001</v>
      </c>
      <c r="O29" s="185">
        <f t="shared" si="38"/>
        <v>5.9853788623903149E-3</v>
      </c>
      <c r="P29" s="157">
        <v>1724.8</v>
      </c>
      <c r="Q29" s="185">
        <f t="shared" si="39"/>
        <v>9.2030631772572497E-3</v>
      </c>
      <c r="R29" s="157">
        <v>1866.65</v>
      </c>
      <c r="S29" s="185">
        <f t="shared" si="40"/>
        <v>1.0344395525484376E-2</v>
      </c>
      <c r="T29" s="157">
        <v>1588.67</v>
      </c>
      <c r="U29" s="185">
        <f t="shared" si="41"/>
        <v>1.0298307148548642E-2</v>
      </c>
      <c r="V29" s="157">
        <v>1473.67</v>
      </c>
      <c r="W29" s="185">
        <f t="shared" si="42"/>
        <v>5.1293128637898327E-3</v>
      </c>
      <c r="X29" s="157">
        <v>1878.96</v>
      </c>
      <c r="Y29" s="185">
        <f t="shared" si="43"/>
        <v>1.2682611728661928E-2</v>
      </c>
      <c r="Z29" s="191">
        <f t="shared" si="32"/>
        <v>1303.125</v>
      </c>
      <c r="AA29" s="185">
        <f t="shared" si="44"/>
        <v>7.6774430145321029E-3</v>
      </c>
      <c r="AB29" s="172">
        <f t="shared" si="33"/>
        <v>15637.5</v>
      </c>
      <c r="AC29" s="173">
        <f t="shared" si="31"/>
        <v>7.6774430145321046E-3</v>
      </c>
    </row>
    <row r="30" spans="1:38" x14ac:dyDescent="0.3">
      <c r="A30" s="157" t="s">
        <v>185</v>
      </c>
      <c r="B30" s="157">
        <v>302.61</v>
      </c>
      <c r="C30" s="185">
        <f t="shared" si="34"/>
        <v>2.5223963640682925E-3</v>
      </c>
      <c r="D30" s="157">
        <v>302.61</v>
      </c>
      <c r="E30" s="185">
        <f t="shared" si="35"/>
        <v>2.8176512849964748E-3</v>
      </c>
      <c r="F30" s="157">
        <v>302.61</v>
      </c>
      <c r="G30" s="185">
        <f t="shared" si="19"/>
        <v>2.2086612276714357E-3</v>
      </c>
      <c r="H30" s="157">
        <v>302.61</v>
      </c>
      <c r="I30" s="185">
        <f t="shared" si="36"/>
        <v>2.0708167172207082E-3</v>
      </c>
      <c r="J30" s="157">
        <v>243.15</v>
      </c>
      <c r="K30" s="185">
        <f>J30/J$2</f>
        <v>1.2124890108054388E-3</v>
      </c>
      <c r="L30" s="157">
        <v>275.10000000000002</v>
      </c>
      <c r="M30" s="185">
        <f t="shared" si="37"/>
        <v>1.7218587812920137E-3</v>
      </c>
      <c r="N30" s="157">
        <v>341.66</v>
      </c>
      <c r="O30" s="185">
        <f t="shared" si="38"/>
        <v>1.6393815473178411E-3</v>
      </c>
      <c r="P30" s="157">
        <v>407.46</v>
      </c>
      <c r="Q30" s="185">
        <f t="shared" si="39"/>
        <v>2.1740956181616642E-3</v>
      </c>
      <c r="R30" s="157">
        <v>369.72</v>
      </c>
      <c r="S30" s="185">
        <f t="shared" si="40"/>
        <v>2.0488736044154414E-3</v>
      </c>
      <c r="T30" s="157">
        <v>364.75</v>
      </c>
      <c r="U30" s="185">
        <f t="shared" si="41"/>
        <v>2.3644353657040901E-3</v>
      </c>
      <c r="V30" s="157">
        <v>369.72</v>
      </c>
      <c r="W30" s="185">
        <f t="shared" si="42"/>
        <v>1.2868617478813962E-3</v>
      </c>
      <c r="X30" s="157">
        <v>442.27</v>
      </c>
      <c r="Y30" s="185">
        <f t="shared" si="43"/>
        <v>2.9852358162149864E-3</v>
      </c>
      <c r="Z30" s="191">
        <f t="shared" si="32"/>
        <v>335.35583333333335</v>
      </c>
      <c r="AA30" s="185">
        <f t="shared" si="44"/>
        <v>1.9757700143943156E-3</v>
      </c>
      <c r="AB30" s="172">
        <f t="shared" si="33"/>
        <v>4024.2700000000004</v>
      </c>
      <c r="AC30" s="173">
        <f t="shared" si="31"/>
        <v>1.975770014394316E-3</v>
      </c>
    </row>
    <row r="31" spans="1:38" x14ac:dyDescent="0.3">
      <c r="A31" s="157" t="s">
        <v>203</v>
      </c>
      <c r="B31" s="157">
        <v>35</v>
      </c>
      <c r="C31" s="185">
        <f t="shared" si="34"/>
        <v>2.9174142540692717E-4</v>
      </c>
      <c r="D31" s="157"/>
      <c r="E31" s="185"/>
      <c r="F31" s="157">
        <v>35</v>
      </c>
      <c r="G31" s="185">
        <f t="shared" si="19"/>
        <v>2.5545468744754053E-4</v>
      </c>
      <c r="H31" s="157">
        <v>105</v>
      </c>
      <c r="I31" s="185">
        <f t="shared" si="36"/>
        <v>7.1853460000718538E-4</v>
      </c>
      <c r="J31" s="157"/>
      <c r="K31" s="185"/>
      <c r="L31" s="157">
        <v>40</v>
      </c>
      <c r="M31" s="185">
        <f t="shared" si="37"/>
        <v>2.5036114595303725E-4</v>
      </c>
      <c r="N31" s="157"/>
      <c r="O31" s="185"/>
      <c r="P31" s="157">
        <v>40</v>
      </c>
      <c r="Q31" s="185">
        <f t="shared" si="39"/>
        <v>2.1342910893453731E-4</v>
      </c>
      <c r="R31" s="157">
        <v>40</v>
      </c>
      <c r="S31" s="185">
        <f t="shared" si="40"/>
        <v>2.2166759757821501E-4</v>
      </c>
      <c r="T31" s="157">
        <v>40</v>
      </c>
      <c r="U31" s="185">
        <f t="shared" si="41"/>
        <v>2.5929380295589748E-4</v>
      </c>
      <c r="V31" s="157"/>
      <c r="W31" s="185"/>
      <c r="X31" s="157">
        <v>40</v>
      </c>
      <c r="Y31" s="185">
        <f t="shared" si="43"/>
        <v>2.6999216010265101E-4</v>
      </c>
      <c r="Z31" s="191">
        <f t="shared" si="32"/>
        <v>31.25</v>
      </c>
      <c r="AA31" s="185">
        <f t="shared" si="44"/>
        <v>1.8411134327415114E-4</v>
      </c>
      <c r="AB31" s="172">
        <f t="shared" si="33"/>
        <v>375</v>
      </c>
      <c r="AC31" s="173">
        <f t="shared" si="31"/>
        <v>1.841113432741512E-4</v>
      </c>
    </row>
    <row r="32" spans="1:38" x14ac:dyDescent="0.3">
      <c r="A32" s="157" t="s">
        <v>125</v>
      </c>
      <c r="B32" s="157">
        <f>SUBTOTAL(9,B33:B36)</f>
        <v>7507.86</v>
      </c>
      <c r="C32" s="185">
        <f t="shared" si="34"/>
        <v>6.2581536518732925E-2</v>
      </c>
      <c r="D32" s="157">
        <f>SUBTOTAL(9,D33:D36)</f>
        <v>7641.2099999999991</v>
      </c>
      <c r="E32" s="185">
        <f t="shared" ref="E32:E38" si="45">D32/D$2</f>
        <v>7.1148558129037073E-2</v>
      </c>
      <c r="F32" s="157">
        <f>SUBTOTAL(9,F33:F36)</f>
        <v>7722.44</v>
      </c>
      <c r="G32" s="185">
        <f t="shared" si="19"/>
        <v>5.636381418663957E-2</v>
      </c>
      <c r="H32" s="157">
        <f>SUBTOTAL(9,H33:H36)</f>
        <v>7722.44</v>
      </c>
      <c r="I32" s="185">
        <f t="shared" si="36"/>
        <v>5.284609844266179E-2</v>
      </c>
      <c r="J32" s="157">
        <f>SUBTOTAL(9,J33:J36)</f>
        <v>7722.44</v>
      </c>
      <c r="K32" s="185">
        <f t="shared" ref="K32:K38" si="46">J32/J$2</f>
        <v>3.8508631036826453E-2</v>
      </c>
      <c r="L32" s="157">
        <f>SUBTOTAL(9,L33:L36)</f>
        <v>7722.44</v>
      </c>
      <c r="M32" s="185">
        <f t="shared" ref="M32:M38" si="47">L32/L$2</f>
        <v>4.8334973198839316E-2</v>
      </c>
      <c r="N32" s="157">
        <f>SUBTOTAL(9,N33:N36)</f>
        <v>7722.44</v>
      </c>
      <c r="O32" s="185">
        <f t="shared" ref="O32:O38" si="48">N32/N$2</f>
        <v>3.7054456583355343E-2</v>
      </c>
      <c r="P32" s="157">
        <f>SUBTOTAL(9,P33:P36)</f>
        <v>7722.44</v>
      </c>
      <c r="Q32" s="185">
        <f t="shared" si="39"/>
        <v>4.120483720001071E-2</v>
      </c>
      <c r="R32" s="157">
        <f>SUBTOTAL(9,R33:R36)</f>
        <v>7722.44</v>
      </c>
      <c r="S32" s="185">
        <f t="shared" si="40"/>
        <v>4.2795368056047764E-2</v>
      </c>
      <c r="T32" s="157">
        <f>SUBTOTAL(9,T33:T36)</f>
        <v>7722.44</v>
      </c>
      <c r="U32" s="185">
        <f t="shared" ref="U32:U38" si="49">T32/T$2</f>
        <v>5.0059520892468526E-2</v>
      </c>
      <c r="V32" s="157">
        <f>SUBTOTAL(9,V33:V36)</f>
        <v>7722.44</v>
      </c>
      <c r="W32" s="185">
        <f t="shared" ref="W32:W38" si="50">V32/V$2</f>
        <v>2.6879023683623302E-2</v>
      </c>
      <c r="X32" s="157">
        <f>SUBTOTAL(9,X33:X36)</f>
        <v>7837.2</v>
      </c>
      <c r="Y32" s="185">
        <f t="shared" ref="Y32:Y38" si="51">X32/X$2</f>
        <v>5.2899563928912409E-2</v>
      </c>
      <c r="Z32" s="191">
        <f t="shared" ref="Z32:Z38" si="52">(B32+D32+F32+H32+J32+L32+N32+P32+R32+T32+V32+X32)/AE$2</f>
        <v>7707.3525000000009</v>
      </c>
      <c r="AA32" s="185">
        <f t="shared" ref="AA32:AA38" si="53">Z32/Z$2</f>
        <v>4.5408352699596387E-2</v>
      </c>
      <c r="AB32" s="172">
        <f>SUBTOTAL(9,AB33:AB36)</f>
        <v>92488.23000000001</v>
      </c>
      <c r="AC32" s="173">
        <f t="shared" si="31"/>
        <v>4.5408352699596401E-2</v>
      </c>
    </row>
    <row r="33" spans="1:33" x14ac:dyDescent="0.3">
      <c r="A33" s="175" t="s">
        <v>145</v>
      </c>
      <c r="B33" s="157">
        <v>4806.07</v>
      </c>
      <c r="C33" s="185">
        <f t="shared" si="34"/>
        <v>4.0060848925870585E-2</v>
      </c>
      <c r="D33" s="157">
        <v>5020.62</v>
      </c>
      <c r="E33" s="185">
        <f t="shared" si="45"/>
        <v>4.6747815321631803E-2</v>
      </c>
      <c r="F33" s="157">
        <v>5020.62</v>
      </c>
      <c r="G33" s="185">
        <f t="shared" si="19"/>
        <v>3.6644026082653457E-2</v>
      </c>
      <c r="H33" s="157">
        <v>5020.62</v>
      </c>
      <c r="I33" s="185">
        <f t="shared" si="36"/>
        <v>3.4357039842743568E-2</v>
      </c>
      <c r="J33" s="157">
        <v>5020.62</v>
      </c>
      <c r="K33" s="185">
        <f t="shared" si="46"/>
        <v>2.5035766306518617E-2</v>
      </c>
      <c r="L33" s="157">
        <v>5020.62</v>
      </c>
      <c r="M33" s="185">
        <f t="shared" si="47"/>
        <v>3.1424204414868442E-2</v>
      </c>
      <c r="N33" s="157">
        <v>5020.62</v>
      </c>
      <c r="O33" s="185">
        <f t="shared" si="48"/>
        <v>2.4090358204340277E-2</v>
      </c>
      <c r="P33" s="157">
        <v>5020.62</v>
      </c>
      <c r="Q33" s="185">
        <f t="shared" si="39"/>
        <v>2.6788661322472918E-2</v>
      </c>
      <c r="R33" s="157">
        <v>5020.62</v>
      </c>
      <c r="S33" s="185">
        <f t="shared" si="40"/>
        <v>2.7822719343828444E-2</v>
      </c>
      <c r="T33" s="157">
        <v>5020.62</v>
      </c>
      <c r="U33" s="185">
        <f t="shared" si="49"/>
        <v>3.2545391324910952E-2</v>
      </c>
      <c r="V33" s="157">
        <v>5020.62</v>
      </c>
      <c r="W33" s="185">
        <f t="shared" si="50"/>
        <v>1.7474964374792529E-2</v>
      </c>
      <c r="X33" s="302">
        <v>5020.62</v>
      </c>
      <c r="Y33" s="185">
        <f t="shared" si="51"/>
        <v>3.3888200971364288E-2</v>
      </c>
      <c r="Z33" s="191">
        <f t="shared" si="52"/>
        <v>5002.7408333333342</v>
      </c>
      <c r="AA33" s="185">
        <f t="shared" si="53"/>
        <v>2.9473962716078286E-2</v>
      </c>
      <c r="AB33" s="172">
        <f>L33+N33+P33+R33+T33+V33+X33+J33+H33+F33+D33+B33</f>
        <v>60032.890000000007</v>
      </c>
      <c r="AC33" s="173">
        <f t="shared" si="31"/>
        <v>2.9473962716078293E-2</v>
      </c>
    </row>
    <row r="34" spans="1:33" x14ac:dyDescent="0.3">
      <c r="A34" s="165" t="s">
        <v>158</v>
      </c>
      <c r="B34" s="157">
        <v>707.69</v>
      </c>
      <c r="C34" s="185">
        <f t="shared" si="34"/>
        <v>5.8989282670350949E-3</v>
      </c>
      <c r="D34" s="157">
        <v>707.69</v>
      </c>
      <c r="E34" s="185">
        <f t="shared" si="45"/>
        <v>6.5894175271113157E-3</v>
      </c>
      <c r="F34" s="157">
        <v>707.69</v>
      </c>
      <c r="G34" s="185">
        <f t="shared" si="19"/>
        <v>5.1652207931357141E-3</v>
      </c>
      <c r="H34" s="157">
        <v>707.69</v>
      </c>
      <c r="I34" s="185">
        <f t="shared" si="36"/>
        <v>4.8428547721817618E-3</v>
      </c>
      <c r="J34" s="157">
        <v>707.69</v>
      </c>
      <c r="K34" s="185">
        <f t="shared" si="46"/>
        <v>3.5289588651322271E-3</v>
      </c>
      <c r="L34" s="157">
        <v>707.69</v>
      </c>
      <c r="M34" s="185">
        <f t="shared" si="47"/>
        <v>4.4294519844876234E-3</v>
      </c>
      <c r="N34" s="157">
        <v>707.69</v>
      </c>
      <c r="O34" s="185">
        <f t="shared" si="48"/>
        <v>3.3956972640091405E-3</v>
      </c>
      <c r="P34" s="157">
        <v>707.69</v>
      </c>
      <c r="Q34" s="185">
        <f t="shared" si="39"/>
        <v>3.7760411525470682E-3</v>
      </c>
      <c r="R34" s="157">
        <v>707.69</v>
      </c>
      <c r="S34" s="185">
        <f t="shared" si="40"/>
        <v>3.9217985532531748E-3</v>
      </c>
      <c r="T34" s="157">
        <v>707.69</v>
      </c>
      <c r="U34" s="185">
        <f t="shared" si="49"/>
        <v>4.5874907853464776E-3</v>
      </c>
      <c r="V34" s="157">
        <v>707.69</v>
      </c>
      <c r="W34" s="185">
        <f t="shared" si="50"/>
        <v>2.4632132163750547E-3</v>
      </c>
      <c r="X34" s="157">
        <v>707.69</v>
      </c>
      <c r="Y34" s="185">
        <f t="shared" si="51"/>
        <v>4.7767687945761278E-3</v>
      </c>
      <c r="Z34" s="191">
        <f t="shared" si="52"/>
        <v>707.69000000000017</v>
      </c>
      <c r="AA34" s="185">
        <f t="shared" si="53"/>
        <v>4.1694002086938896E-3</v>
      </c>
      <c r="AB34" s="172">
        <f t="shared" ref="AB34:AB36" si="54">L34+N34+P34+R34+T34+V34+X34+J34+H34+F34+D34+B34</f>
        <v>8492.2800000000025</v>
      </c>
      <c r="AC34" s="173">
        <f t="shared" si="31"/>
        <v>4.1694002086938914E-3</v>
      </c>
    </row>
    <row r="35" spans="1:33" x14ac:dyDescent="0.3">
      <c r="A35" s="165" t="s">
        <v>159</v>
      </c>
      <c r="B35" s="157">
        <v>705.23</v>
      </c>
      <c r="C35" s="185">
        <f t="shared" si="34"/>
        <v>5.8784230125636366E-3</v>
      </c>
      <c r="D35" s="157">
        <v>624.03</v>
      </c>
      <c r="E35" s="185">
        <f t="shared" si="45"/>
        <v>5.8104455615358049E-3</v>
      </c>
      <c r="F35" s="157">
        <v>705.26</v>
      </c>
      <c r="G35" s="185">
        <f t="shared" si="19"/>
        <v>5.1474849391214984E-3</v>
      </c>
      <c r="H35" s="157">
        <v>705.26</v>
      </c>
      <c r="I35" s="185">
        <f t="shared" si="36"/>
        <v>4.8262258285815957E-3</v>
      </c>
      <c r="J35" s="157">
        <v>705.26</v>
      </c>
      <c r="K35" s="185">
        <f t="shared" si="46"/>
        <v>3.5168414549070276E-3</v>
      </c>
      <c r="L35" s="157">
        <v>705.26</v>
      </c>
      <c r="M35" s="185">
        <f t="shared" si="47"/>
        <v>4.4142425448709761E-3</v>
      </c>
      <c r="N35" s="157">
        <v>705.26</v>
      </c>
      <c r="O35" s="185">
        <f t="shared" si="48"/>
        <v>3.3840374350564317E-3</v>
      </c>
      <c r="P35" s="157">
        <v>705.26</v>
      </c>
      <c r="Q35" s="185">
        <f t="shared" si="39"/>
        <v>3.7630753341792948E-3</v>
      </c>
      <c r="R35" s="157">
        <v>705.26</v>
      </c>
      <c r="S35" s="185">
        <f t="shared" si="40"/>
        <v>3.9083322467002978E-3</v>
      </c>
      <c r="T35" s="157">
        <v>705.26</v>
      </c>
      <c r="U35" s="185">
        <f t="shared" si="49"/>
        <v>4.5717386868169068E-3</v>
      </c>
      <c r="V35" s="157">
        <v>705.26</v>
      </c>
      <c r="W35" s="185">
        <f t="shared" si="50"/>
        <v>2.4547552642833316E-3</v>
      </c>
      <c r="X35" s="157">
        <v>705.26</v>
      </c>
      <c r="Y35" s="185">
        <f t="shared" si="51"/>
        <v>4.7603667708498911E-3</v>
      </c>
      <c r="Z35" s="191">
        <f t="shared" si="52"/>
        <v>698.48833333333334</v>
      </c>
      <c r="AA35" s="185">
        <f t="shared" si="53"/>
        <v>4.115188009962337E-3</v>
      </c>
      <c r="AB35" s="172">
        <f t="shared" si="54"/>
        <v>8381.86</v>
      </c>
      <c r="AC35" s="173">
        <f t="shared" si="31"/>
        <v>4.1151880099623388E-3</v>
      </c>
    </row>
    <row r="36" spans="1:33" x14ac:dyDescent="0.3">
      <c r="A36" s="157" t="s">
        <v>182</v>
      </c>
      <c r="B36" s="176">
        <v>1288.8699999999999</v>
      </c>
      <c r="C36" s="185">
        <f t="shared" si="34"/>
        <v>1.0743336313263607E-2</v>
      </c>
      <c r="D36" s="176">
        <v>1288.8699999999999</v>
      </c>
      <c r="E36" s="185">
        <f t="shared" si="45"/>
        <v>1.2000879718758158E-2</v>
      </c>
      <c r="F36" s="176">
        <v>1288.8699999999999</v>
      </c>
      <c r="G36" s="185">
        <f t="shared" si="19"/>
        <v>9.4070823717289018E-3</v>
      </c>
      <c r="H36" s="176">
        <v>1288.8699999999999</v>
      </c>
      <c r="I36" s="185">
        <f t="shared" si="36"/>
        <v>8.8199779991548662E-3</v>
      </c>
      <c r="J36" s="176">
        <v>1288.8699999999999</v>
      </c>
      <c r="K36" s="185">
        <f t="shared" si="46"/>
        <v>6.4270644102685827E-3</v>
      </c>
      <c r="L36" s="176">
        <v>1288.8699999999999</v>
      </c>
      <c r="M36" s="185">
        <f t="shared" si="47"/>
        <v>8.0670742546122762E-3</v>
      </c>
      <c r="N36" s="176">
        <v>1288.8699999999999</v>
      </c>
      <c r="O36" s="185">
        <f t="shared" si="48"/>
        <v>6.1843636799494978E-3</v>
      </c>
      <c r="P36" s="176">
        <v>1288.8699999999999</v>
      </c>
      <c r="Q36" s="185">
        <f t="shared" si="39"/>
        <v>6.8770593908114271E-3</v>
      </c>
      <c r="R36" s="176">
        <v>1288.8699999999999</v>
      </c>
      <c r="S36" s="185">
        <f t="shared" si="40"/>
        <v>7.1425179122658489E-3</v>
      </c>
      <c r="T36" s="176">
        <v>1288.8699999999999</v>
      </c>
      <c r="U36" s="185">
        <f t="shared" si="49"/>
        <v>8.3549000953941892E-3</v>
      </c>
      <c r="V36" s="176">
        <v>1288.8699999999999</v>
      </c>
      <c r="W36" s="185">
        <f t="shared" si="50"/>
        <v>4.4860908281723864E-3</v>
      </c>
      <c r="X36" s="176">
        <v>1403.63</v>
      </c>
      <c r="Y36" s="185">
        <f t="shared" si="51"/>
        <v>9.4742273921221004E-3</v>
      </c>
      <c r="Z36" s="191">
        <f t="shared" si="52"/>
        <v>1298.4333333333332</v>
      </c>
      <c r="AA36" s="185">
        <f t="shared" si="53"/>
        <v>7.6498017648618756E-3</v>
      </c>
      <c r="AB36" s="172">
        <f t="shared" si="54"/>
        <v>15581.199999999993</v>
      </c>
      <c r="AC36" s="173">
        <f t="shared" si="31"/>
        <v>7.6498017648618756E-3</v>
      </c>
      <c r="AF36" s="257"/>
    </row>
    <row r="37" spans="1:33" x14ac:dyDescent="0.3">
      <c r="A37" s="157" t="s">
        <v>137</v>
      </c>
      <c r="B37" s="157"/>
      <c r="C37" s="185">
        <f t="shared" si="34"/>
        <v>0</v>
      </c>
      <c r="D37" s="157"/>
      <c r="E37" s="185">
        <f t="shared" si="45"/>
        <v>0</v>
      </c>
      <c r="F37" s="157"/>
      <c r="G37" s="185">
        <f t="shared" si="19"/>
        <v>0</v>
      </c>
      <c r="H37" s="157"/>
      <c r="I37" s="185">
        <f t="shared" si="36"/>
        <v>0</v>
      </c>
      <c r="J37" s="226"/>
      <c r="K37" s="185">
        <f t="shared" si="46"/>
        <v>0</v>
      </c>
      <c r="L37" s="157"/>
      <c r="M37" s="185">
        <f t="shared" si="47"/>
        <v>0</v>
      </c>
      <c r="N37" s="157"/>
      <c r="O37" s="185">
        <f t="shared" si="48"/>
        <v>0</v>
      </c>
      <c r="P37" s="157"/>
      <c r="Q37" s="185">
        <f t="shared" si="39"/>
        <v>0</v>
      </c>
      <c r="R37" s="157"/>
      <c r="S37" s="185">
        <f t="shared" si="40"/>
        <v>0</v>
      </c>
      <c r="T37" s="157"/>
      <c r="U37" s="185">
        <f t="shared" si="49"/>
        <v>0</v>
      </c>
      <c r="V37" s="157"/>
      <c r="W37" s="185">
        <f t="shared" si="50"/>
        <v>0</v>
      </c>
      <c r="X37" s="157"/>
      <c r="Y37" s="185">
        <f t="shared" si="51"/>
        <v>0</v>
      </c>
      <c r="Z37" s="191">
        <f t="shared" si="52"/>
        <v>0</v>
      </c>
      <c r="AA37" s="185">
        <f t="shared" si="53"/>
        <v>0</v>
      </c>
      <c r="AB37" s="172">
        <f t="shared" ref="AB37" si="55">L37+N37+P37+R37+T37+V37+X37+J37+H37+F37+D37+B37</f>
        <v>0</v>
      </c>
      <c r="AC37" s="173">
        <f t="shared" si="31"/>
        <v>0</v>
      </c>
    </row>
    <row r="38" spans="1:33" x14ac:dyDescent="0.3">
      <c r="A38" s="157" t="s">
        <v>135</v>
      </c>
      <c r="B38" s="157">
        <v>15000</v>
      </c>
      <c r="C38" s="185">
        <f t="shared" si="34"/>
        <v>0.12503203946011165</v>
      </c>
      <c r="D38" s="157">
        <v>15000</v>
      </c>
      <c r="E38" s="185">
        <f t="shared" si="45"/>
        <v>0.13966745737069866</v>
      </c>
      <c r="F38" s="157">
        <v>15000</v>
      </c>
      <c r="G38" s="185">
        <f t="shared" si="19"/>
        <v>0.10948058033466024</v>
      </c>
      <c r="H38" s="157">
        <v>10000</v>
      </c>
      <c r="I38" s="185">
        <f t="shared" si="36"/>
        <v>6.8431866667350988E-2</v>
      </c>
      <c r="J38" s="157">
        <v>15000</v>
      </c>
      <c r="K38" s="185">
        <f t="shared" si="46"/>
        <v>7.4798828550613122E-2</v>
      </c>
      <c r="L38" s="157">
        <v>15000</v>
      </c>
      <c r="M38" s="185">
        <f t="shared" si="47"/>
        <v>9.3885429732388961E-2</v>
      </c>
      <c r="N38" s="157">
        <v>15000</v>
      </c>
      <c r="O38" s="185">
        <f t="shared" si="48"/>
        <v>7.1974252794496318E-2</v>
      </c>
      <c r="P38" s="157">
        <v>15000</v>
      </c>
      <c r="Q38" s="185">
        <f t="shared" si="39"/>
        <v>8.00359158504515E-2</v>
      </c>
      <c r="R38" s="157">
        <v>15000</v>
      </c>
      <c r="S38" s="185">
        <f t="shared" si="40"/>
        <v>8.3125349091830628E-2</v>
      </c>
      <c r="T38" s="157">
        <v>15000</v>
      </c>
      <c r="U38" s="185">
        <f t="shared" si="49"/>
        <v>9.7235176108461552E-2</v>
      </c>
      <c r="V38" s="157">
        <v>15000</v>
      </c>
      <c r="W38" s="185">
        <f t="shared" si="50"/>
        <v>5.2209580813104346E-2</v>
      </c>
      <c r="X38" s="157">
        <v>15000</v>
      </c>
      <c r="Y38" s="185">
        <f t="shared" si="51"/>
        <v>0.10124706003849412</v>
      </c>
      <c r="Z38" s="191">
        <f t="shared" si="52"/>
        <v>14583.333333333334</v>
      </c>
      <c r="AA38" s="185">
        <f t="shared" si="53"/>
        <v>8.5918626861270539E-2</v>
      </c>
      <c r="AB38" s="172">
        <f>L38+N38+P38+R38+T38+V38+X38+J38+H38+F38+D38+B38</f>
        <v>175000</v>
      </c>
      <c r="AC38" s="173">
        <f t="shared" si="31"/>
        <v>8.5918626861270553E-2</v>
      </c>
    </row>
    <row r="39" spans="1:33" x14ac:dyDescent="0.3">
      <c r="A39" s="157" t="s">
        <v>21</v>
      </c>
      <c r="B39" s="157">
        <f>311.88+63.01</f>
        <v>374.89</v>
      </c>
      <c r="C39" s="185">
        <f t="shared" ref="C39:C60" si="56">B39/B$2</f>
        <v>3.1248840848800839E-3</v>
      </c>
      <c r="D39" s="157">
        <f>311.88+72.31</f>
        <v>384.19</v>
      </c>
      <c r="E39" s="185">
        <f t="shared" ref="E39:E60" si="57">D39/D$2</f>
        <v>3.5772560298165811E-3</v>
      </c>
      <c r="F39" s="157">
        <f>67.66+311.88</f>
        <v>379.53999999999996</v>
      </c>
      <c r="G39" s="185">
        <f t="shared" ref="G39:G60" si="58">F39/F$2</f>
        <v>2.7701506306811296E-3</v>
      </c>
      <c r="H39" s="157">
        <f>311.88+67.66</f>
        <v>379.53999999999996</v>
      </c>
      <c r="I39" s="185">
        <f t="shared" ref="I39:I64" si="59">H39/H$2</f>
        <v>2.5972630674926389E-3</v>
      </c>
      <c r="J39" s="157">
        <f>311.95+90.9</f>
        <v>402.85</v>
      </c>
      <c r="K39" s="185">
        <f t="shared" ref="K39:K60" si="60">J39/J$2</f>
        <v>2.0088472054409666E-3</v>
      </c>
      <c r="L39" s="157">
        <f>76.95+311.95</f>
        <v>388.9</v>
      </c>
      <c r="M39" s="185">
        <f t="shared" ref="M39:M60" si="61">L39/L$2</f>
        <v>2.4341362415284044E-3</v>
      </c>
      <c r="N39" s="157">
        <f>311.95+76.95</f>
        <v>388.9</v>
      </c>
      <c r="O39" s="185">
        <f t="shared" ref="O39:O60" si="62">N39/N$2</f>
        <v>1.8660524607853079E-3</v>
      </c>
      <c r="P39" s="157">
        <f>5314.23+76.95</f>
        <v>5391.1799999999994</v>
      </c>
      <c r="Q39" s="185">
        <f t="shared" ref="Q39:Q60" si="63">P39/P$2</f>
        <v>2.8765868587642469E-2</v>
      </c>
      <c r="R39" s="157">
        <v>76.95</v>
      </c>
      <c r="S39" s="185">
        <f t="shared" ref="S39:S61" si="64">R39/R$2</f>
        <v>4.2643304084109113E-4</v>
      </c>
      <c r="T39" s="157">
        <v>89.08</v>
      </c>
      <c r="U39" s="185">
        <f t="shared" ref="U39:U60" si="65">T39/T$2</f>
        <v>5.7744729918278372E-4</v>
      </c>
      <c r="V39" s="157">
        <v>89.08</v>
      </c>
      <c r="W39" s="185">
        <f t="shared" ref="W39:W60" si="66">V39/V$2</f>
        <v>3.1005529725542237E-4</v>
      </c>
      <c r="X39" s="157">
        <v>268.81</v>
      </c>
      <c r="Y39" s="185">
        <f t="shared" ref="Y39:Y60" si="67">X39/X$2</f>
        <v>1.8144148139298403E-3</v>
      </c>
      <c r="Z39" s="191">
        <f t="shared" ref="Z39:Z61" si="68">(B39+D39+F39+H39+J39+L39+N39+P39+R39+T39+V39+X39)/AE$2</f>
        <v>717.82583333333332</v>
      </c>
      <c r="AA39" s="185">
        <f t="shared" ref="AA39:AA61" si="69">Z39/Z$2</f>
        <v>4.2291161091803824E-3</v>
      </c>
      <c r="AB39" s="172">
        <f t="shared" ref="AB39:AB55" si="70">L39+N39+P39+R39+T39+V39+X39+J39+H39+F39+D39+B39</f>
        <v>8613.91</v>
      </c>
      <c r="AC39" s="173">
        <f t="shared" si="31"/>
        <v>4.2291161091803833E-3</v>
      </c>
    </row>
    <row r="40" spans="1:33" x14ac:dyDescent="0.3">
      <c r="A40" s="157" t="s">
        <v>140</v>
      </c>
      <c r="B40" s="157">
        <v>300</v>
      </c>
      <c r="C40" s="185">
        <f t="shared" si="56"/>
        <v>2.5006407892022332E-3</v>
      </c>
      <c r="D40" s="157">
        <f>300+507</f>
        <v>807</v>
      </c>
      <c r="E40" s="185">
        <f t="shared" si="57"/>
        <v>7.5141092065435875E-3</v>
      </c>
      <c r="F40" s="157">
        <f>300+507</f>
        <v>807</v>
      </c>
      <c r="G40" s="185">
        <f t="shared" si="58"/>
        <v>5.890055222004721E-3</v>
      </c>
      <c r="H40" s="157">
        <v>300</v>
      </c>
      <c r="I40" s="185">
        <f t="shared" si="59"/>
        <v>2.0529560000205295E-3</v>
      </c>
      <c r="J40" s="157">
        <v>300</v>
      </c>
      <c r="K40" s="185">
        <f t="shared" si="60"/>
        <v>1.4959765710122626E-3</v>
      </c>
      <c r="L40" s="157">
        <f>300+197</f>
        <v>497</v>
      </c>
      <c r="M40" s="185">
        <f t="shared" si="61"/>
        <v>3.1107372384664876E-3</v>
      </c>
      <c r="N40" s="157">
        <f>300</f>
        <v>300</v>
      </c>
      <c r="O40" s="185">
        <f t="shared" si="62"/>
        <v>1.4394850558899265E-3</v>
      </c>
      <c r="P40" s="157">
        <v>300</v>
      </c>
      <c r="Q40" s="185">
        <f t="shared" si="63"/>
        <v>1.60071831700903E-3</v>
      </c>
      <c r="R40" s="157">
        <f>300</f>
        <v>300</v>
      </c>
      <c r="S40" s="185">
        <f t="shared" si="64"/>
        <v>1.6625069818366125E-3</v>
      </c>
      <c r="T40" s="157">
        <f>300</f>
        <v>300</v>
      </c>
      <c r="U40" s="185">
        <f t="shared" si="65"/>
        <v>1.9447035221692311E-3</v>
      </c>
      <c r="V40" s="157">
        <f>300</f>
        <v>300</v>
      </c>
      <c r="W40" s="185">
        <f t="shared" si="66"/>
        <v>1.044191616262087E-3</v>
      </c>
      <c r="X40" s="157">
        <v>300</v>
      </c>
      <c r="Y40" s="185">
        <f t="shared" si="67"/>
        <v>2.0249412007698826E-3</v>
      </c>
      <c r="Z40" s="191">
        <f t="shared" si="68"/>
        <v>400.91666666666669</v>
      </c>
      <c r="AA40" s="185">
        <f t="shared" si="69"/>
        <v>2.3620257933118431E-3</v>
      </c>
      <c r="AB40" s="172">
        <f t="shared" si="70"/>
        <v>4811</v>
      </c>
      <c r="AC40" s="173">
        <f t="shared" si="31"/>
        <v>2.3620257933118435E-3</v>
      </c>
    </row>
    <row r="41" spans="1:33" x14ac:dyDescent="0.3">
      <c r="A41" s="157" t="s">
        <v>22</v>
      </c>
      <c r="B41" s="157">
        <f>224.11+218.7+59+408.52</f>
        <v>910.32999999999993</v>
      </c>
      <c r="C41" s="185">
        <f t="shared" si="56"/>
        <v>7.5880277654482289E-3</v>
      </c>
      <c r="D41" s="157">
        <f>219.65+59+218.7+408.52+148</f>
        <v>1053.8699999999999</v>
      </c>
      <c r="E41" s="185">
        <f t="shared" si="57"/>
        <v>9.8127562199505445E-3</v>
      </c>
      <c r="F41" s="157">
        <f>408.52+219.65+239.09+59</f>
        <v>926.26</v>
      </c>
      <c r="G41" s="185">
        <f t="shared" si="58"/>
        <v>6.7604988227188256E-3</v>
      </c>
      <c r="H41" s="157">
        <f>408.52+219.65+59+243</f>
        <v>930.17</v>
      </c>
      <c r="I41" s="185">
        <f t="shared" si="59"/>
        <v>6.365326941796986E-3</v>
      </c>
      <c r="J41" s="157">
        <f>59+219.65+266.52+408.52</f>
        <v>953.68999999999994</v>
      </c>
      <c r="K41" s="185">
        <f t="shared" si="60"/>
        <v>4.7556596533622816E-3</v>
      </c>
      <c r="L41" s="157">
        <f>99+321.84+448.55+219.65</f>
        <v>1089.04</v>
      </c>
      <c r="M41" s="185">
        <f t="shared" si="61"/>
        <v>6.8163325597173918E-3</v>
      </c>
      <c r="N41" s="157">
        <f>219.65+99+448.55+324+99</f>
        <v>1190.2</v>
      </c>
      <c r="O41" s="185">
        <f t="shared" si="62"/>
        <v>5.7109170450673017E-3</v>
      </c>
      <c r="P41" s="157">
        <f>219.65+335.7+448.55</f>
        <v>1003.9000000000001</v>
      </c>
      <c r="Q41" s="185">
        <f t="shared" si="63"/>
        <v>5.3565370614845507E-3</v>
      </c>
      <c r="R41" s="157">
        <f>449+351+448.55+219.65</f>
        <v>1468.2</v>
      </c>
      <c r="S41" s="185">
        <f t="shared" si="64"/>
        <v>8.1363091691083814E-3</v>
      </c>
      <c r="T41" s="157">
        <f>449+351+448.55+219.65</f>
        <v>1468.2</v>
      </c>
      <c r="U41" s="185">
        <f t="shared" si="65"/>
        <v>9.5173790374962174E-3</v>
      </c>
      <c r="V41" s="157">
        <v>1019.2</v>
      </c>
      <c r="W41" s="185">
        <f t="shared" si="66"/>
        <v>3.5474669843143969E-3</v>
      </c>
      <c r="X41" s="157">
        <v>1047.75</v>
      </c>
      <c r="Y41" s="185">
        <f t="shared" si="67"/>
        <v>7.0721071436888145E-3</v>
      </c>
      <c r="Z41" s="191">
        <f t="shared" si="68"/>
        <v>1088.4008333333334</v>
      </c>
      <c r="AA41" s="185">
        <f t="shared" si="69"/>
        <v>6.4123820622625765E-3</v>
      </c>
      <c r="AB41" s="172">
        <f>L41+N41+P41+R41+T41+V41+X41+J41+H41+F41+D41+B41</f>
        <v>13060.81</v>
      </c>
      <c r="AC41" s="173">
        <f t="shared" si="31"/>
        <v>6.4123820622625774E-3</v>
      </c>
    </row>
    <row r="42" spans="1:33" x14ac:dyDescent="0.3">
      <c r="A42" s="157" t="s">
        <v>23</v>
      </c>
      <c r="B42" s="157">
        <f>275.54</f>
        <v>275.54000000000002</v>
      </c>
      <c r="C42" s="185">
        <f t="shared" si="56"/>
        <v>2.296755210189278E-3</v>
      </c>
      <c r="D42" s="157">
        <f>290.29</f>
        <v>290.29000000000002</v>
      </c>
      <c r="E42" s="185">
        <f t="shared" si="57"/>
        <v>2.7029377466760078E-3</v>
      </c>
      <c r="F42" s="157">
        <f>288.85+99.8</f>
        <v>388.65000000000003</v>
      </c>
      <c r="G42" s="185">
        <f t="shared" si="58"/>
        <v>2.8366418364710469E-3</v>
      </c>
      <c r="H42" s="157">
        <v>379.47</v>
      </c>
      <c r="I42" s="185">
        <f t="shared" si="59"/>
        <v>2.5967840444259681E-3</v>
      </c>
      <c r="J42" s="157">
        <f>180.63+265.47</f>
        <v>446.1</v>
      </c>
      <c r="K42" s="185">
        <f t="shared" si="60"/>
        <v>2.2245171610952344E-3</v>
      </c>
      <c r="L42" s="157">
        <v>445.25</v>
      </c>
      <c r="M42" s="185">
        <f t="shared" si="61"/>
        <v>2.7868325058897458E-3</v>
      </c>
      <c r="N42" s="157">
        <f>184.92+265.47</f>
        <v>450.39</v>
      </c>
      <c r="O42" s="185">
        <f t="shared" si="62"/>
        <v>2.1610989144075464E-3</v>
      </c>
      <c r="P42" s="157">
        <v>485.24</v>
      </c>
      <c r="Q42" s="185">
        <f t="shared" si="63"/>
        <v>2.5891085204848723E-3</v>
      </c>
      <c r="R42" s="157">
        <f>296.97+219.77</f>
        <v>516.74</v>
      </c>
      <c r="S42" s="185">
        <f t="shared" si="64"/>
        <v>2.8636128593141704E-3</v>
      </c>
      <c r="T42" s="157">
        <f>222.62+280.52</f>
        <v>503.14</v>
      </c>
      <c r="U42" s="185">
        <f t="shared" si="65"/>
        <v>3.2615271004807563E-3</v>
      </c>
      <c r="V42" s="157">
        <v>513.07000000000005</v>
      </c>
      <c r="W42" s="185">
        <f t="shared" si="66"/>
        <v>1.7858113085186301E-3</v>
      </c>
      <c r="X42" s="157">
        <v>519.57000000000005</v>
      </c>
      <c r="Y42" s="185">
        <f t="shared" si="67"/>
        <v>3.5069956656133597E-3</v>
      </c>
      <c r="Z42" s="191">
        <f t="shared" si="68"/>
        <v>434.45416666666665</v>
      </c>
      <c r="AA42" s="185">
        <f t="shared" si="69"/>
        <v>2.559614086913662E-3</v>
      </c>
      <c r="AB42" s="172">
        <f t="shared" si="70"/>
        <v>5213.45</v>
      </c>
      <c r="AC42" s="173">
        <f t="shared" si="31"/>
        <v>2.5596140869136629E-3</v>
      </c>
    </row>
    <row r="43" spans="1:33" x14ac:dyDescent="0.3">
      <c r="A43" s="157" t="s">
        <v>127</v>
      </c>
      <c r="B43" s="157">
        <f>171.98+122.1</f>
        <v>294.08</v>
      </c>
      <c r="C43" s="185">
        <f t="shared" si="56"/>
        <v>2.4512948109619757E-3</v>
      </c>
      <c r="D43" s="157">
        <f>176.59+133.98</f>
        <v>310.57</v>
      </c>
      <c r="E43" s="185">
        <f t="shared" si="57"/>
        <v>2.891768149041192E-3</v>
      </c>
      <c r="F43" s="157">
        <f>179.51+129.12</f>
        <v>308.63</v>
      </c>
      <c r="G43" s="185">
        <f t="shared" si="58"/>
        <v>2.2525994339124126E-3</v>
      </c>
      <c r="H43" s="157">
        <f>178.89+129.12</f>
        <v>308.01</v>
      </c>
      <c r="I43" s="185">
        <f t="shared" si="59"/>
        <v>2.1077699252210775E-3</v>
      </c>
      <c r="J43" s="157">
        <f>174.79+129.12</f>
        <v>303.90999999999997</v>
      </c>
      <c r="K43" s="185">
        <f t="shared" si="60"/>
        <v>1.5154741323211223E-3</v>
      </c>
      <c r="L43" s="157">
        <f>147.95+183.47</f>
        <v>331.41999999999996</v>
      </c>
      <c r="M43" s="185">
        <f t="shared" si="61"/>
        <v>2.0743672747938896E-3</v>
      </c>
      <c r="N43" s="157">
        <f>219.68+129.12</f>
        <v>348.8</v>
      </c>
      <c r="O43" s="185">
        <f t="shared" si="62"/>
        <v>1.6736412916480213E-3</v>
      </c>
      <c r="P43" s="157">
        <f>568.75+183.74</f>
        <v>752.49</v>
      </c>
      <c r="Q43" s="185">
        <f t="shared" si="63"/>
        <v>4.0150817545537495E-3</v>
      </c>
      <c r="R43" s="157">
        <f>123.9+87.57</f>
        <v>211.47</v>
      </c>
      <c r="S43" s="185">
        <f t="shared" si="64"/>
        <v>1.1719011714966282E-3</v>
      </c>
      <c r="T43" s="157">
        <f>111.98+338.29</f>
        <v>450.27000000000004</v>
      </c>
      <c r="U43" s="185">
        <f t="shared" si="65"/>
        <v>2.9188055164237991E-3</v>
      </c>
      <c r="V43" s="157">
        <f>100+338.29</f>
        <v>438.29</v>
      </c>
      <c r="W43" s="185">
        <f t="shared" si="66"/>
        <v>1.5255291449717005E-3</v>
      </c>
      <c r="X43" s="157">
        <f>100+338.29</f>
        <v>438.29</v>
      </c>
      <c r="Y43" s="185">
        <f t="shared" si="67"/>
        <v>2.9583715962847729E-3</v>
      </c>
      <c r="Z43" s="191">
        <f t="shared" si="68"/>
        <v>374.68583333333328</v>
      </c>
      <c r="AA43" s="185">
        <f t="shared" si="69"/>
        <v>2.2074851865854306E-3</v>
      </c>
      <c r="AB43" s="172">
        <f t="shared" si="70"/>
        <v>4496.2299999999996</v>
      </c>
      <c r="AC43" s="173">
        <f t="shared" si="31"/>
        <v>2.2074851865854315E-3</v>
      </c>
    </row>
    <row r="44" spans="1:33" x14ac:dyDescent="0.3">
      <c r="A44" s="157" t="s">
        <v>156</v>
      </c>
      <c r="B44" s="157">
        <v>1322.2</v>
      </c>
      <c r="C44" s="185">
        <f t="shared" si="56"/>
        <v>1.1021157504943976E-2</v>
      </c>
      <c r="D44" s="157">
        <f>134.6</f>
        <v>134.6</v>
      </c>
      <c r="E44" s="185">
        <f t="shared" si="57"/>
        <v>1.2532826508064026E-3</v>
      </c>
      <c r="F44" s="157">
        <f>157.05</f>
        <v>157.05000000000001</v>
      </c>
      <c r="G44" s="185">
        <f t="shared" si="58"/>
        <v>1.1462616761038927E-3</v>
      </c>
      <c r="H44" s="157"/>
      <c r="I44" s="185">
        <f t="shared" si="59"/>
        <v>0</v>
      </c>
      <c r="J44" s="157">
        <v>1114.6500000000001</v>
      </c>
      <c r="K44" s="185">
        <f t="shared" si="60"/>
        <v>5.5583009495960619E-3</v>
      </c>
      <c r="L44" s="157">
        <v>319.76</v>
      </c>
      <c r="M44" s="185">
        <f t="shared" si="61"/>
        <v>2.0013870007485795E-3</v>
      </c>
      <c r="N44" s="157">
        <v>293.81</v>
      </c>
      <c r="O44" s="185">
        <f t="shared" si="62"/>
        <v>1.4097836809033976E-3</v>
      </c>
      <c r="P44" s="157"/>
      <c r="Q44" s="185">
        <f t="shared" si="63"/>
        <v>0</v>
      </c>
      <c r="R44" s="157">
        <v>1411.68</v>
      </c>
      <c r="S44" s="185">
        <f t="shared" si="64"/>
        <v>7.8230928537303644E-3</v>
      </c>
      <c r="T44" s="157">
        <f>178.86+25.99+8.46+5+4.99</f>
        <v>223.30000000000004</v>
      </c>
      <c r="U44" s="185">
        <f t="shared" si="65"/>
        <v>1.447507655001298E-3</v>
      </c>
      <c r="V44" s="157">
        <v>244.53</v>
      </c>
      <c r="W44" s="185">
        <f t="shared" si="66"/>
        <v>8.5112058641522706E-4</v>
      </c>
      <c r="X44" s="157"/>
      <c r="Y44" s="185">
        <f t="shared" si="67"/>
        <v>0</v>
      </c>
      <c r="Z44" s="191">
        <f t="shared" si="68"/>
        <v>435.13166666666666</v>
      </c>
      <c r="AA44" s="185">
        <f t="shared" si="69"/>
        <v>2.5636056208358455E-3</v>
      </c>
      <c r="AB44" s="172">
        <f t="shared" si="70"/>
        <v>5221.5800000000008</v>
      </c>
      <c r="AC44" s="173">
        <f t="shared" si="31"/>
        <v>2.5636056208358468E-3</v>
      </c>
    </row>
    <row r="45" spans="1:33" x14ac:dyDescent="0.3">
      <c r="A45" s="157" t="s">
        <v>157</v>
      </c>
      <c r="B45" s="157">
        <v>300</v>
      </c>
      <c r="C45" s="185">
        <f t="shared" si="56"/>
        <v>2.5006407892022332E-3</v>
      </c>
      <c r="D45" s="157">
        <v>300</v>
      </c>
      <c r="E45" s="185">
        <f t="shared" si="57"/>
        <v>2.793349147413973E-3</v>
      </c>
      <c r="F45" s="157">
        <v>150</v>
      </c>
      <c r="G45" s="185">
        <f t="shared" si="58"/>
        <v>1.0948058033466023E-3</v>
      </c>
      <c r="H45" s="157">
        <v>375</v>
      </c>
      <c r="I45" s="185">
        <f t="shared" si="59"/>
        <v>2.566195000025662E-3</v>
      </c>
      <c r="J45" s="157">
        <v>300</v>
      </c>
      <c r="K45" s="185">
        <f t="shared" si="60"/>
        <v>1.4959765710122626E-3</v>
      </c>
      <c r="L45" s="157">
        <v>600</v>
      </c>
      <c r="M45" s="185">
        <f t="shared" si="61"/>
        <v>3.7554171892955584E-3</v>
      </c>
      <c r="N45" s="157">
        <v>750</v>
      </c>
      <c r="O45" s="185">
        <f t="shared" si="62"/>
        <v>3.5987126397248161E-3</v>
      </c>
      <c r="P45" s="157">
        <v>670</v>
      </c>
      <c r="Q45" s="185">
        <f t="shared" si="63"/>
        <v>3.5749375746535004E-3</v>
      </c>
      <c r="R45" s="157">
        <v>410</v>
      </c>
      <c r="S45" s="185">
        <f t="shared" si="64"/>
        <v>2.272092875176704E-3</v>
      </c>
      <c r="T45" s="157">
        <v>600</v>
      </c>
      <c r="U45" s="185">
        <f t="shared" si="65"/>
        <v>3.8894070443384623E-3</v>
      </c>
      <c r="V45" s="157">
        <v>750</v>
      </c>
      <c r="W45" s="185">
        <f t="shared" si="66"/>
        <v>2.6104790406552177E-3</v>
      </c>
      <c r="X45" s="157">
        <v>450</v>
      </c>
      <c r="Y45" s="185">
        <f t="shared" si="67"/>
        <v>3.0374118011548237E-3</v>
      </c>
      <c r="Z45" s="191">
        <f t="shared" si="68"/>
        <v>471.25</v>
      </c>
      <c r="AA45" s="185">
        <f t="shared" si="69"/>
        <v>2.7763990565741995E-3</v>
      </c>
      <c r="AB45" s="172">
        <f t="shared" si="70"/>
        <v>5655</v>
      </c>
      <c r="AC45" s="173">
        <f t="shared" si="31"/>
        <v>2.7763990565741999E-3</v>
      </c>
    </row>
    <row r="46" spans="1:33" x14ac:dyDescent="0.3">
      <c r="A46" s="157" t="s">
        <v>163</v>
      </c>
      <c r="B46" s="157">
        <v>162.72</v>
      </c>
      <c r="C46" s="185">
        <f t="shared" si="56"/>
        <v>1.3563475640632912E-3</v>
      </c>
      <c r="D46" s="157">
        <v>22</v>
      </c>
      <c r="E46" s="185">
        <f t="shared" si="57"/>
        <v>2.0484560414369137E-4</v>
      </c>
      <c r="F46" s="157">
        <f>1.5+95.93+163.72</f>
        <v>261.14999999999998</v>
      </c>
      <c r="G46" s="185">
        <f t="shared" si="58"/>
        <v>1.9060569036264345E-3</v>
      </c>
      <c r="H46" s="157">
        <v>21.5</v>
      </c>
      <c r="I46" s="185">
        <f t="shared" si="59"/>
        <v>1.4712851333480463E-4</v>
      </c>
      <c r="J46" s="157"/>
      <c r="K46" s="185">
        <f t="shared" si="60"/>
        <v>0</v>
      </c>
      <c r="L46" s="157"/>
      <c r="M46" s="185">
        <f t="shared" si="61"/>
        <v>0</v>
      </c>
      <c r="N46" s="157"/>
      <c r="O46" s="185">
        <f t="shared" si="62"/>
        <v>0</v>
      </c>
      <c r="P46" s="157"/>
      <c r="Q46" s="185">
        <f t="shared" si="63"/>
        <v>0</v>
      </c>
      <c r="R46" s="157">
        <v>314.5</v>
      </c>
      <c r="S46" s="185">
        <f t="shared" si="64"/>
        <v>1.7428614859587154E-3</v>
      </c>
      <c r="T46" s="157">
        <f>491.44+25</f>
        <v>516.44000000000005</v>
      </c>
      <c r="U46" s="185">
        <f t="shared" si="65"/>
        <v>3.347742289963593E-3</v>
      </c>
      <c r="V46" s="157"/>
      <c r="W46" s="185">
        <f t="shared" si="66"/>
        <v>0</v>
      </c>
      <c r="X46" s="157"/>
      <c r="Y46" s="185">
        <f t="shared" si="67"/>
        <v>0</v>
      </c>
      <c r="Z46" s="191">
        <f t="shared" si="68"/>
        <v>108.1925</v>
      </c>
      <c r="AA46" s="185">
        <f t="shared" si="69"/>
        <v>6.3742292823003505E-4</v>
      </c>
      <c r="AB46" s="172">
        <f t="shared" si="70"/>
        <v>1298.3100000000002</v>
      </c>
      <c r="AC46" s="173">
        <f t="shared" si="31"/>
        <v>6.3742292823003538E-4</v>
      </c>
    </row>
    <row r="47" spans="1:33" x14ac:dyDescent="0.3">
      <c r="A47" s="157" t="s">
        <v>152</v>
      </c>
      <c r="B47" s="157">
        <v>461.85</v>
      </c>
      <c r="C47" s="185">
        <f t="shared" si="56"/>
        <v>3.849736494976838E-3</v>
      </c>
      <c r="D47" s="157">
        <v>109.46</v>
      </c>
      <c r="E47" s="185">
        <f t="shared" si="57"/>
        <v>1.0191999922531116E-3</v>
      </c>
      <c r="F47" s="157">
        <v>510.98</v>
      </c>
      <c r="G47" s="185">
        <f t="shared" si="58"/>
        <v>3.7294924626269793E-3</v>
      </c>
      <c r="H47" s="157">
        <v>429.66</v>
      </c>
      <c r="I47" s="185">
        <f t="shared" si="59"/>
        <v>2.9402435832294026E-3</v>
      </c>
      <c r="J47" s="157">
        <v>43</v>
      </c>
      <c r="K47" s="185">
        <f t="shared" si="60"/>
        <v>2.1442330851175763E-4</v>
      </c>
      <c r="L47" s="157">
        <v>667.49</v>
      </c>
      <c r="M47" s="185">
        <f t="shared" si="61"/>
        <v>4.1778390328048205E-3</v>
      </c>
      <c r="N47" s="157">
        <v>117.79</v>
      </c>
      <c r="O47" s="185">
        <f t="shared" si="62"/>
        <v>5.6518981577758146E-4</v>
      </c>
      <c r="P47" s="157">
        <v>157.5</v>
      </c>
      <c r="Q47" s="185">
        <f t="shared" si="63"/>
        <v>8.4037711642974075E-4</v>
      </c>
      <c r="R47" s="157">
        <v>339.16</v>
      </c>
      <c r="S47" s="185">
        <f t="shared" si="64"/>
        <v>1.8795195598656851E-3</v>
      </c>
      <c r="T47" s="157">
        <v>290.83</v>
      </c>
      <c r="U47" s="185">
        <f t="shared" si="65"/>
        <v>1.8852604178415916E-3</v>
      </c>
      <c r="V47" s="157">
        <v>117.27</v>
      </c>
      <c r="W47" s="185">
        <f t="shared" si="66"/>
        <v>4.0817450279684981E-4</v>
      </c>
      <c r="X47" s="157">
        <v>861.67</v>
      </c>
      <c r="Y47" s="185">
        <f t="shared" si="67"/>
        <v>5.8161036148912815E-3</v>
      </c>
      <c r="Z47" s="191">
        <f t="shared" si="68"/>
        <v>342.22166666666664</v>
      </c>
      <c r="AA47" s="185">
        <f t="shared" si="69"/>
        <v>2.0162205039206014E-3</v>
      </c>
      <c r="AB47" s="172">
        <f t="shared" si="70"/>
        <v>4106.66</v>
      </c>
      <c r="AC47" s="173">
        <f t="shared" si="31"/>
        <v>2.0162205039206019E-3</v>
      </c>
      <c r="AG47" s="257"/>
    </row>
    <row r="48" spans="1:33" x14ac:dyDescent="0.3">
      <c r="A48" s="157" t="s">
        <v>17</v>
      </c>
      <c r="B48" s="157">
        <v>170.5</v>
      </c>
      <c r="C48" s="185">
        <f t="shared" si="56"/>
        <v>1.4211975151966025E-3</v>
      </c>
      <c r="D48" s="157">
        <v>373.94</v>
      </c>
      <c r="E48" s="185">
        <f t="shared" si="57"/>
        <v>3.4818166006132705E-3</v>
      </c>
      <c r="F48" s="157">
        <v>773.47</v>
      </c>
      <c r="G48" s="185">
        <f t="shared" si="58"/>
        <v>5.645329631429977E-3</v>
      </c>
      <c r="H48" s="157">
        <v>202.5</v>
      </c>
      <c r="I48" s="185">
        <f t="shared" si="59"/>
        <v>1.3857453000138574E-3</v>
      </c>
      <c r="J48" s="157">
        <v>386.34</v>
      </c>
      <c r="K48" s="185">
        <f t="shared" si="60"/>
        <v>1.9265186281495917E-3</v>
      </c>
      <c r="L48" s="157">
        <v>998.06</v>
      </c>
      <c r="M48" s="185">
        <f t="shared" si="61"/>
        <v>6.2468861332472085E-3</v>
      </c>
      <c r="N48" s="157">
        <v>343.06</v>
      </c>
      <c r="O48" s="185">
        <f t="shared" si="62"/>
        <v>1.6460991442453273E-3</v>
      </c>
      <c r="P48" s="157">
        <v>535.57000000000005</v>
      </c>
      <c r="Q48" s="185">
        <f t="shared" si="63"/>
        <v>2.8576556968017541E-3</v>
      </c>
      <c r="R48" s="157">
        <v>853.69</v>
      </c>
      <c r="S48" s="185">
        <f t="shared" si="64"/>
        <v>4.7308852844136591E-3</v>
      </c>
      <c r="T48" s="157">
        <v>275.61</v>
      </c>
      <c r="U48" s="185">
        <f t="shared" si="65"/>
        <v>1.7865991258168728E-3</v>
      </c>
      <c r="V48" s="157">
        <v>1094.1600000000001</v>
      </c>
      <c r="W48" s="185">
        <f t="shared" si="66"/>
        <v>3.808375662831084E-3</v>
      </c>
      <c r="X48" s="157">
        <v>645.58000000000004</v>
      </c>
      <c r="Y48" s="185">
        <f t="shared" si="67"/>
        <v>4.3575384679767357E-3</v>
      </c>
      <c r="Z48" s="191">
        <f t="shared" si="68"/>
        <v>554.37333333333333</v>
      </c>
      <c r="AA48" s="185">
        <f t="shared" si="69"/>
        <v>3.2661254104118E-3</v>
      </c>
      <c r="AB48" s="172">
        <f t="shared" si="70"/>
        <v>6652.4800000000005</v>
      </c>
      <c r="AC48" s="173">
        <f t="shared" si="31"/>
        <v>3.2661254104118013E-3</v>
      </c>
      <c r="AG48" s="257"/>
    </row>
    <row r="49" spans="1:232" x14ac:dyDescent="0.3">
      <c r="A49" s="157" t="s">
        <v>153</v>
      </c>
      <c r="B49" s="157"/>
      <c r="C49" s="185">
        <f t="shared" si="56"/>
        <v>0</v>
      </c>
      <c r="D49" s="157"/>
      <c r="E49" s="185">
        <f t="shared" si="57"/>
        <v>0</v>
      </c>
      <c r="F49" s="157">
        <v>50</v>
      </c>
      <c r="G49" s="185">
        <f t="shared" si="58"/>
        <v>3.6493526778220075E-4</v>
      </c>
      <c r="H49" s="157">
        <v>50</v>
      </c>
      <c r="I49" s="185">
        <f t="shared" si="59"/>
        <v>3.4215933333675493E-4</v>
      </c>
      <c r="J49" s="157">
        <v>50</v>
      </c>
      <c r="K49" s="185">
        <f t="shared" si="60"/>
        <v>2.4932942850204375E-4</v>
      </c>
      <c r="L49" s="157">
        <v>9.27</v>
      </c>
      <c r="M49" s="185">
        <f t="shared" si="61"/>
        <v>5.8021195574616376E-5</v>
      </c>
      <c r="N49" s="157">
        <v>50</v>
      </c>
      <c r="O49" s="185">
        <f t="shared" si="62"/>
        <v>2.3991417598165441E-4</v>
      </c>
      <c r="P49" s="157"/>
      <c r="Q49" s="185">
        <f t="shared" si="63"/>
        <v>0</v>
      </c>
      <c r="R49" s="157"/>
      <c r="S49" s="185">
        <f t="shared" si="64"/>
        <v>0</v>
      </c>
      <c r="T49" s="157"/>
      <c r="U49" s="185">
        <f t="shared" si="65"/>
        <v>0</v>
      </c>
      <c r="V49" s="157"/>
      <c r="W49" s="185">
        <f t="shared" si="66"/>
        <v>0</v>
      </c>
      <c r="X49" s="157"/>
      <c r="Y49" s="185">
        <f t="shared" si="67"/>
        <v>0</v>
      </c>
      <c r="Z49" s="191">
        <f t="shared" si="68"/>
        <v>17.439166666666669</v>
      </c>
      <c r="AA49" s="185">
        <f t="shared" si="69"/>
        <v>1.0274394881861764E-4</v>
      </c>
      <c r="AB49" s="172">
        <f t="shared" si="70"/>
        <v>209.26999999999998</v>
      </c>
      <c r="AC49" s="173">
        <f t="shared" si="31"/>
        <v>1.0274394881861764E-4</v>
      </c>
      <c r="AF49" s="257"/>
      <c r="AG49" s="257"/>
    </row>
    <row r="50" spans="1:232" x14ac:dyDescent="0.3">
      <c r="A50" s="157" t="s">
        <v>154</v>
      </c>
      <c r="B50" s="176"/>
      <c r="C50" s="185">
        <f t="shared" si="56"/>
        <v>0</v>
      </c>
      <c r="D50" s="176"/>
      <c r="E50" s="185">
        <f t="shared" si="57"/>
        <v>0</v>
      </c>
      <c r="F50" s="176">
        <v>222.4</v>
      </c>
      <c r="G50" s="185">
        <f t="shared" si="58"/>
        <v>1.6232320710952292E-3</v>
      </c>
      <c r="H50" s="176"/>
      <c r="I50" s="185">
        <f t="shared" si="59"/>
        <v>0</v>
      </c>
      <c r="J50" s="176"/>
      <c r="K50" s="185">
        <f t="shared" si="60"/>
        <v>0</v>
      </c>
      <c r="L50" s="176"/>
      <c r="M50" s="185">
        <f t="shared" si="61"/>
        <v>0</v>
      </c>
      <c r="N50" s="176"/>
      <c r="O50" s="185">
        <f t="shared" si="62"/>
        <v>0</v>
      </c>
      <c r="P50" s="176"/>
      <c r="Q50" s="185">
        <f t="shared" si="63"/>
        <v>0</v>
      </c>
      <c r="R50" s="176"/>
      <c r="S50" s="185">
        <f t="shared" si="64"/>
        <v>0</v>
      </c>
      <c r="T50" s="176"/>
      <c r="U50" s="185">
        <f t="shared" si="65"/>
        <v>0</v>
      </c>
      <c r="V50" s="176"/>
      <c r="W50" s="185">
        <f t="shared" si="66"/>
        <v>0</v>
      </c>
      <c r="X50" s="176"/>
      <c r="Y50" s="185">
        <f t="shared" si="67"/>
        <v>0</v>
      </c>
      <c r="Z50" s="191">
        <f t="shared" si="68"/>
        <v>18.533333333333335</v>
      </c>
      <c r="AA50" s="185">
        <f t="shared" si="69"/>
        <v>1.0919030065112325E-4</v>
      </c>
      <c r="AB50" s="172">
        <f t="shared" si="70"/>
        <v>222.4</v>
      </c>
      <c r="AC50" s="173">
        <f t="shared" si="31"/>
        <v>1.0919030065112328E-4</v>
      </c>
      <c r="AF50" s="257"/>
      <c r="AG50" s="257"/>
    </row>
    <row r="51" spans="1:232" x14ac:dyDescent="0.3">
      <c r="A51" s="165" t="s">
        <v>155</v>
      </c>
      <c r="B51" s="176">
        <f>21.27+50.4</f>
        <v>71.67</v>
      </c>
      <c r="C51" s="185">
        <f t="shared" si="56"/>
        <v>5.9740308454041345E-4</v>
      </c>
      <c r="D51" s="176">
        <f>110.05+35.5</f>
        <v>145.55000000000001</v>
      </c>
      <c r="E51" s="185">
        <f t="shared" si="57"/>
        <v>1.3552398946870127E-3</v>
      </c>
      <c r="F51" s="176">
        <v>41.48</v>
      </c>
      <c r="G51" s="185">
        <f t="shared" si="58"/>
        <v>3.0275029815211374E-4</v>
      </c>
      <c r="H51" s="176">
        <v>18.989999999999998</v>
      </c>
      <c r="I51" s="185">
        <f t="shared" si="59"/>
        <v>1.2995211480129951E-4</v>
      </c>
      <c r="J51" s="176">
        <v>13.06</v>
      </c>
      <c r="K51" s="185">
        <f t="shared" si="60"/>
        <v>6.5124846724733834E-5</v>
      </c>
      <c r="L51" s="176"/>
      <c r="M51" s="185">
        <f t="shared" si="61"/>
        <v>0</v>
      </c>
      <c r="N51" s="176">
        <v>58.42</v>
      </c>
      <c r="O51" s="185">
        <f t="shared" si="62"/>
        <v>2.8031572321696505E-4</v>
      </c>
      <c r="P51" s="176">
        <v>61.04</v>
      </c>
      <c r="Q51" s="185">
        <f t="shared" si="63"/>
        <v>3.2569282023410393E-4</v>
      </c>
      <c r="R51" s="176"/>
      <c r="S51" s="185">
        <f t="shared" si="64"/>
        <v>0</v>
      </c>
      <c r="T51" s="176">
        <v>61.5</v>
      </c>
      <c r="U51" s="185">
        <f t="shared" si="65"/>
        <v>3.9866422204469238E-4</v>
      </c>
      <c r="V51" s="176">
        <v>78.19</v>
      </c>
      <c r="W51" s="185">
        <f t="shared" si="66"/>
        <v>2.7215114158510859E-4</v>
      </c>
      <c r="X51" s="176">
        <v>106.85</v>
      </c>
      <c r="Y51" s="185">
        <f t="shared" si="67"/>
        <v>7.212165576742064E-4</v>
      </c>
      <c r="Z51" s="191">
        <f t="shared" si="68"/>
        <v>54.729166666666679</v>
      </c>
      <c r="AA51" s="185">
        <f t="shared" si="69"/>
        <v>3.2244033252079677E-4</v>
      </c>
      <c r="AB51" s="172">
        <f t="shared" si="70"/>
        <v>656.75</v>
      </c>
      <c r="AC51" s="173">
        <f t="shared" si="31"/>
        <v>3.2244033252079677E-4</v>
      </c>
      <c r="AF51" s="257"/>
      <c r="AG51" s="257"/>
    </row>
    <row r="52" spans="1:232" x14ac:dyDescent="0.3">
      <c r="A52" s="176" t="s">
        <v>28</v>
      </c>
      <c r="B52" s="157"/>
      <c r="C52" s="185">
        <f t="shared" si="56"/>
        <v>0</v>
      </c>
      <c r="D52" s="157"/>
      <c r="E52" s="185">
        <f t="shared" si="57"/>
        <v>0</v>
      </c>
      <c r="F52" s="157"/>
      <c r="G52" s="185">
        <f t="shared" si="58"/>
        <v>0</v>
      </c>
      <c r="H52" s="157"/>
      <c r="I52" s="185">
        <f t="shared" si="59"/>
        <v>0</v>
      </c>
      <c r="J52" s="157"/>
      <c r="K52" s="185">
        <f t="shared" si="60"/>
        <v>0</v>
      </c>
      <c r="L52" s="157"/>
      <c r="M52" s="185">
        <f t="shared" si="61"/>
        <v>0</v>
      </c>
      <c r="N52" s="157"/>
      <c r="O52" s="185">
        <f t="shared" si="62"/>
        <v>0</v>
      </c>
      <c r="P52" s="157"/>
      <c r="Q52" s="185">
        <f t="shared" si="63"/>
        <v>0</v>
      </c>
      <c r="R52" s="157"/>
      <c r="S52" s="185">
        <f t="shared" si="64"/>
        <v>0</v>
      </c>
      <c r="T52" s="157"/>
      <c r="U52" s="185">
        <f t="shared" si="65"/>
        <v>0</v>
      </c>
      <c r="V52" s="157"/>
      <c r="W52" s="185">
        <f t="shared" si="66"/>
        <v>0</v>
      </c>
      <c r="X52" s="157"/>
      <c r="Y52" s="185">
        <f t="shared" si="67"/>
        <v>0</v>
      </c>
      <c r="Z52" s="191">
        <f t="shared" si="68"/>
        <v>0</v>
      </c>
      <c r="AA52" s="185">
        <f t="shared" si="69"/>
        <v>0</v>
      </c>
      <c r="AB52" s="172">
        <f t="shared" si="70"/>
        <v>0</v>
      </c>
      <c r="AC52" s="173">
        <f t="shared" si="31"/>
        <v>0</v>
      </c>
      <c r="AF52" s="257"/>
      <c r="AG52" s="257"/>
    </row>
    <row r="53" spans="1:232" x14ac:dyDescent="0.3">
      <c r="A53" s="157" t="s">
        <v>201</v>
      </c>
      <c r="B53" s="176">
        <v>800</v>
      </c>
      <c r="C53" s="185">
        <f t="shared" si="56"/>
        <v>6.6683754378726217E-3</v>
      </c>
      <c r="D53" s="176">
        <v>800</v>
      </c>
      <c r="E53" s="185">
        <f t="shared" si="57"/>
        <v>7.4489310597705945E-3</v>
      </c>
      <c r="F53" s="176">
        <v>902.32</v>
      </c>
      <c r="G53" s="185">
        <f t="shared" si="58"/>
        <v>6.5857678165047086E-3</v>
      </c>
      <c r="H53" s="176">
        <v>1050</v>
      </c>
      <c r="I53" s="185">
        <f t="shared" si="59"/>
        <v>7.1853460000718536E-3</v>
      </c>
      <c r="J53" s="176">
        <v>950</v>
      </c>
      <c r="K53" s="185">
        <f t="shared" si="60"/>
        <v>4.7372591415388316E-3</v>
      </c>
      <c r="L53" s="176">
        <v>1050</v>
      </c>
      <c r="M53" s="185">
        <f t="shared" si="61"/>
        <v>6.5719800812672272E-3</v>
      </c>
      <c r="N53" s="176">
        <v>1156.8</v>
      </c>
      <c r="O53" s="185">
        <f t="shared" si="62"/>
        <v>5.5506543755115562E-3</v>
      </c>
      <c r="P53" s="176">
        <v>1050</v>
      </c>
      <c r="Q53" s="185">
        <f t="shared" si="63"/>
        <v>5.6025141095316046E-3</v>
      </c>
      <c r="R53" s="176">
        <v>1050</v>
      </c>
      <c r="S53" s="185">
        <f t="shared" si="64"/>
        <v>5.8187744364281441E-3</v>
      </c>
      <c r="T53" s="176">
        <v>1000</v>
      </c>
      <c r="U53" s="185">
        <f t="shared" si="65"/>
        <v>6.4823450738974372E-3</v>
      </c>
      <c r="V53" s="176">
        <f>800+1000</f>
        <v>1800</v>
      </c>
      <c r="W53" s="185">
        <f t="shared" si="66"/>
        <v>6.2651496975725217E-3</v>
      </c>
      <c r="X53" s="176">
        <f>1800</f>
        <v>1800</v>
      </c>
      <c r="Y53" s="185">
        <f t="shared" si="67"/>
        <v>1.2149647204619295E-2</v>
      </c>
      <c r="Z53" s="191">
        <f t="shared" si="68"/>
        <v>1117.4266666666665</v>
      </c>
      <c r="AA53" s="185">
        <f t="shared" si="69"/>
        <v>6.5833895875314274E-3</v>
      </c>
      <c r="AB53" s="172">
        <f t="shared" si="70"/>
        <v>13409.119999999999</v>
      </c>
      <c r="AC53" s="173">
        <f t="shared" si="31"/>
        <v>6.58338958753143E-3</v>
      </c>
      <c r="AF53" s="257"/>
      <c r="AG53" s="257"/>
    </row>
    <row r="54" spans="1:232" x14ac:dyDescent="0.3">
      <c r="A54" s="157" t="s">
        <v>151</v>
      </c>
      <c r="B54" s="157">
        <f>917.18+800</f>
        <v>1717.1799999999998</v>
      </c>
      <c r="C54" s="185">
        <f t="shared" si="56"/>
        <v>1.4313501168007633E-2</v>
      </c>
      <c r="D54" s="157">
        <f>301.34+535.52</f>
        <v>836.8599999999999</v>
      </c>
      <c r="E54" s="185">
        <f t="shared" si="57"/>
        <v>7.7921405583495241E-3</v>
      </c>
      <c r="F54" s="157">
        <v>56.51</v>
      </c>
      <c r="G54" s="185">
        <f t="shared" si="58"/>
        <v>4.1244983964744332E-4</v>
      </c>
      <c r="H54" s="157">
        <v>415.88</v>
      </c>
      <c r="I54" s="185">
        <f t="shared" si="59"/>
        <v>2.8459444709617926E-3</v>
      </c>
      <c r="J54" s="157">
        <f>35.67+650+895.33</f>
        <v>1581</v>
      </c>
      <c r="K54" s="185">
        <f t="shared" si="60"/>
        <v>7.8837965292346233E-3</v>
      </c>
      <c r="L54" s="157">
        <v>822.09</v>
      </c>
      <c r="M54" s="185">
        <f t="shared" si="61"/>
        <v>5.1454848619133095E-3</v>
      </c>
      <c r="N54" s="157">
        <f>979.37</f>
        <v>979.37</v>
      </c>
      <c r="O54" s="185">
        <f t="shared" si="62"/>
        <v>4.6992949306230575E-3</v>
      </c>
      <c r="P54" s="157">
        <f>1198.57+99</f>
        <v>1297.57</v>
      </c>
      <c r="Q54" s="185">
        <f t="shared" si="63"/>
        <v>6.9234802220046899E-3</v>
      </c>
      <c r="R54" s="157">
        <v>504.7</v>
      </c>
      <c r="S54" s="185">
        <f t="shared" si="64"/>
        <v>2.7968909124431278E-3</v>
      </c>
      <c r="T54" s="157">
        <f>33.67+99+865.12</f>
        <v>997.79</v>
      </c>
      <c r="U54" s="185">
        <f t="shared" si="65"/>
        <v>6.4680190912841237E-3</v>
      </c>
      <c r="V54" s="157">
        <v>459.75</v>
      </c>
      <c r="W54" s="185">
        <f t="shared" si="66"/>
        <v>1.6002236519216484E-3</v>
      </c>
      <c r="X54" s="157">
        <v>1383.03</v>
      </c>
      <c r="Y54" s="185">
        <f t="shared" si="67"/>
        <v>9.3351814296692356E-3</v>
      </c>
      <c r="Z54" s="191">
        <f t="shared" si="68"/>
        <v>920.97750000000008</v>
      </c>
      <c r="AA54" s="185">
        <f t="shared" si="69"/>
        <v>5.4259969488086252E-3</v>
      </c>
      <c r="AB54" s="172">
        <f t="shared" si="70"/>
        <v>11051.73</v>
      </c>
      <c r="AC54" s="173">
        <f t="shared" si="31"/>
        <v>5.4259969488086261E-3</v>
      </c>
    </row>
    <row r="55" spans="1:232" x14ac:dyDescent="0.3">
      <c r="A55" s="157" t="s">
        <v>181</v>
      </c>
      <c r="B55" s="157"/>
      <c r="C55" s="185">
        <f t="shared" si="56"/>
        <v>0</v>
      </c>
      <c r="D55" s="157"/>
      <c r="E55" s="185">
        <f t="shared" si="57"/>
        <v>0</v>
      </c>
      <c r="F55" s="157">
        <f>840+1170</f>
        <v>2010</v>
      </c>
      <c r="G55" s="185">
        <f t="shared" si="58"/>
        <v>1.4670397764844471E-2</v>
      </c>
      <c r="H55" s="157">
        <v>80</v>
      </c>
      <c r="I55" s="185">
        <f t="shared" si="59"/>
        <v>5.4745493333880789E-4</v>
      </c>
      <c r="J55" s="157">
        <v>188</v>
      </c>
      <c r="K55" s="185">
        <f t="shared" si="60"/>
        <v>9.374786511676845E-4</v>
      </c>
      <c r="L55" s="157"/>
      <c r="M55" s="185">
        <f t="shared" si="61"/>
        <v>0</v>
      </c>
      <c r="N55" s="157"/>
      <c r="O55" s="185">
        <f t="shared" si="62"/>
        <v>0</v>
      </c>
      <c r="P55" s="157"/>
      <c r="Q55" s="185">
        <f t="shared" si="63"/>
        <v>0</v>
      </c>
      <c r="R55" s="157">
        <v>500</v>
      </c>
      <c r="S55" s="185">
        <f t="shared" si="64"/>
        <v>2.7708449697276876E-3</v>
      </c>
      <c r="T55" s="157"/>
      <c r="U55" s="185">
        <f t="shared" si="65"/>
        <v>0</v>
      </c>
      <c r="V55" s="157">
        <v>1297</v>
      </c>
      <c r="W55" s="185">
        <f t="shared" si="66"/>
        <v>4.5143884209730891E-3</v>
      </c>
      <c r="X55" s="157">
        <f>3650+1297</f>
        <v>4947</v>
      </c>
      <c r="Y55" s="185">
        <f t="shared" si="67"/>
        <v>3.3391280400695361E-2</v>
      </c>
      <c r="Z55" s="191">
        <f t="shared" si="68"/>
        <v>751.83333333333337</v>
      </c>
      <c r="AA55" s="185">
        <f t="shared" si="69"/>
        <v>4.4294734373850446E-3</v>
      </c>
      <c r="AB55" s="172">
        <f t="shared" si="70"/>
        <v>9022</v>
      </c>
      <c r="AC55" s="173">
        <f t="shared" si="31"/>
        <v>4.4294734373850455E-3</v>
      </c>
    </row>
    <row r="56" spans="1:232" s="240" customFormat="1" x14ac:dyDescent="0.3">
      <c r="A56" s="267" t="s">
        <v>107</v>
      </c>
      <c r="B56" s="268">
        <f>SUM(B57:B63)</f>
        <v>5895.98</v>
      </c>
      <c r="C56" s="186">
        <f t="shared" si="56"/>
        <v>4.9145760267735268E-2</v>
      </c>
      <c r="D56" s="268">
        <f>SUM(D57:D63)</f>
        <v>683.77</v>
      </c>
      <c r="E56" s="186">
        <f t="shared" si="57"/>
        <v>6.3666944884241744E-3</v>
      </c>
      <c r="F56" s="268">
        <f>SUM(F57:F63)</f>
        <v>2591.9400000000005</v>
      </c>
      <c r="G56" s="186">
        <f t="shared" si="58"/>
        <v>1.8917806359507953E-2</v>
      </c>
      <c r="H56" s="268">
        <f>SUM(H57:H63)</f>
        <v>10519.06</v>
      </c>
      <c r="I56" s="186">
        <f t="shared" si="59"/>
        <v>7.1983891138586498E-2</v>
      </c>
      <c r="J56" s="268">
        <f>SUM(J57:J63)</f>
        <v>1941.95</v>
      </c>
      <c r="K56" s="186">
        <f t="shared" si="60"/>
        <v>9.6837056735908783E-3</v>
      </c>
      <c r="L56" s="268">
        <f>SUM(L57:L63)</f>
        <v>46392.66</v>
      </c>
      <c r="M56" s="186">
        <f t="shared" si="61"/>
        <v>0.29037298803524081</v>
      </c>
      <c r="N56" s="268">
        <f>SUM(N57:N63)</f>
        <v>57713.61</v>
      </c>
      <c r="O56" s="186">
        <f t="shared" si="62"/>
        <v>0.2769262637215314</v>
      </c>
      <c r="P56" s="268">
        <f>SUM(P57:P63)</f>
        <v>27507.510000000002</v>
      </c>
      <c r="Q56" s="186">
        <f t="shared" si="63"/>
        <v>0.14677258370769689</v>
      </c>
      <c r="R56" s="268">
        <f>SUM(R57:R63)</f>
        <v>6941.57</v>
      </c>
      <c r="S56" s="186">
        <f t="shared" si="64"/>
        <v>3.8468028633025245E-2</v>
      </c>
      <c r="T56" s="268">
        <f>SUM(T57:T63)</f>
        <v>11571.869999999999</v>
      </c>
      <c r="U56" s="186">
        <f t="shared" si="65"/>
        <v>7.5012854490281528E-2</v>
      </c>
      <c r="V56" s="268">
        <f>SUM(V57:V63)</f>
        <v>2812.87</v>
      </c>
      <c r="W56" s="186">
        <f t="shared" si="66"/>
        <v>9.7905842387837876E-3</v>
      </c>
      <c r="X56" s="268">
        <f>SUM(X57:X63)</f>
        <v>5283.7</v>
      </c>
      <c r="Y56" s="186">
        <f t="shared" si="67"/>
        <v>3.5663939408359428E-2</v>
      </c>
      <c r="Z56" s="273">
        <f t="shared" si="68"/>
        <v>14988.040833333334</v>
      </c>
      <c r="AA56" s="269">
        <f t="shared" si="69"/>
        <v>8.8302986587930496E-2</v>
      </c>
      <c r="AB56" s="268">
        <f>SUM(AB57:AB63)</f>
        <v>179856.49000000002</v>
      </c>
      <c r="AC56" s="271">
        <f>AB56/AB$2</f>
        <v>8.8302986587930524E-2</v>
      </c>
      <c r="AD56" s="165"/>
      <c r="AE56" s="165"/>
      <c r="AF56" s="165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S56" s="165"/>
      <c r="AT56" s="165"/>
      <c r="AU56" s="165"/>
      <c r="AV56" s="165"/>
      <c r="AW56" s="165"/>
      <c r="AX56" s="165"/>
      <c r="AY56" s="165"/>
      <c r="AZ56" s="165"/>
      <c r="BA56" s="165"/>
      <c r="BB56" s="165"/>
      <c r="BC56" s="165"/>
      <c r="BD56" s="165"/>
      <c r="BE56" s="165"/>
      <c r="BF56" s="165"/>
      <c r="BG56" s="165"/>
      <c r="BH56" s="165"/>
      <c r="BI56" s="165"/>
      <c r="BJ56" s="165"/>
      <c r="BK56" s="165"/>
      <c r="BL56" s="165"/>
      <c r="BM56" s="165"/>
      <c r="BN56" s="165"/>
      <c r="BO56" s="165"/>
      <c r="BP56" s="165"/>
      <c r="BQ56" s="165"/>
      <c r="BR56" s="165"/>
      <c r="BS56" s="165"/>
      <c r="BT56" s="165"/>
      <c r="BU56" s="165"/>
      <c r="BV56" s="165"/>
      <c r="BW56" s="165"/>
      <c r="BX56" s="165"/>
      <c r="BY56" s="165"/>
      <c r="BZ56" s="165"/>
      <c r="CA56" s="165"/>
      <c r="CB56" s="165"/>
      <c r="CC56" s="165"/>
      <c r="CD56" s="165"/>
      <c r="CE56" s="165"/>
      <c r="CF56" s="165"/>
      <c r="CG56" s="165"/>
      <c r="CH56" s="165"/>
      <c r="CI56" s="165"/>
      <c r="CJ56" s="165"/>
      <c r="CK56" s="165"/>
      <c r="CL56" s="165"/>
      <c r="CM56" s="165"/>
      <c r="CN56" s="165"/>
      <c r="CO56" s="165"/>
      <c r="CP56" s="165"/>
      <c r="CQ56" s="165"/>
      <c r="CR56" s="165"/>
      <c r="CS56" s="165"/>
      <c r="CT56" s="165"/>
      <c r="CU56" s="165"/>
      <c r="CV56" s="165"/>
      <c r="CW56" s="165"/>
      <c r="CX56" s="165"/>
      <c r="CY56" s="165"/>
      <c r="CZ56" s="165"/>
      <c r="DA56" s="165"/>
      <c r="DB56" s="165"/>
      <c r="DC56" s="165"/>
      <c r="DD56" s="165"/>
      <c r="DE56" s="165"/>
      <c r="DF56" s="165"/>
      <c r="DG56" s="165"/>
      <c r="DH56" s="165"/>
      <c r="DI56" s="165"/>
      <c r="DJ56" s="165"/>
      <c r="DK56" s="165"/>
      <c r="DL56" s="165"/>
      <c r="DM56" s="165"/>
      <c r="DN56" s="165"/>
      <c r="DO56" s="165"/>
      <c r="DP56" s="165"/>
      <c r="DQ56" s="165"/>
      <c r="DR56" s="165"/>
      <c r="DS56" s="165"/>
      <c r="DT56" s="165"/>
      <c r="DU56" s="165"/>
      <c r="DV56" s="165"/>
      <c r="DW56" s="165"/>
      <c r="DX56" s="165"/>
      <c r="DY56" s="165"/>
      <c r="DZ56" s="165"/>
      <c r="EA56" s="165"/>
      <c r="EB56" s="165"/>
      <c r="EC56" s="165"/>
      <c r="ED56" s="165"/>
      <c r="EE56" s="165"/>
      <c r="EF56" s="165"/>
      <c r="EG56" s="165"/>
      <c r="EH56" s="165"/>
      <c r="EI56" s="165"/>
      <c r="EJ56" s="165"/>
      <c r="EK56" s="165"/>
      <c r="EL56" s="165"/>
      <c r="EM56" s="165"/>
      <c r="EN56" s="165"/>
      <c r="EO56" s="165"/>
      <c r="EP56" s="165"/>
      <c r="EQ56" s="165"/>
      <c r="ER56" s="165"/>
      <c r="ES56" s="165"/>
      <c r="ET56" s="165"/>
      <c r="EU56" s="165"/>
      <c r="EV56" s="165"/>
      <c r="EW56" s="165"/>
      <c r="EX56" s="165"/>
      <c r="EY56" s="165"/>
      <c r="EZ56" s="165"/>
      <c r="FA56" s="165"/>
      <c r="FB56" s="165"/>
      <c r="FC56" s="165"/>
      <c r="FD56" s="165"/>
      <c r="FE56" s="165"/>
      <c r="FF56" s="165"/>
      <c r="FG56" s="165"/>
      <c r="FH56" s="165"/>
      <c r="FI56" s="165"/>
      <c r="FJ56" s="165"/>
      <c r="FK56" s="165"/>
      <c r="FL56" s="165"/>
      <c r="FM56" s="165"/>
      <c r="FN56" s="165"/>
      <c r="FO56" s="165"/>
      <c r="FP56" s="165"/>
      <c r="FQ56" s="165"/>
      <c r="FR56" s="165"/>
      <c r="FS56" s="165"/>
      <c r="FT56" s="165"/>
      <c r="FU56" s="165"/>
      <c r="FV56" s="165"/>
      <c r="FW56" s="165"/>
      <c r="FX56" s="165"/>
      <c r="FY56" s="165"/>
      <c r="FZ56" s="165"/>
      <c r="GA56" s="165"/>
      <c r="GB56" s="165"/>
      <c r="GC56" s="165"/>
      <c r="GD56" s="165"/>
      <c r="GE56" s="165"/>
      <c r="GF56" s="165"/>
      <c r="GG56" s="165"/>
      <c r="GH56" s="165"/>
      <c r="GI56" s="165"/>
      <c r="GJ56" s="165"/>
      <c r="GK56" s="165"/>
      <c r="GL56" s="165"/>
      <c r="GM56" s="165"/>
      <c r="GN56" s="165"/>
      <c r="GO56" s="165"/>
      <c r="GP56" s="165"/>
      <c r="GQ56" s="165"/>
      <c r="GR56" s="165"/>
      <c r="GS56" s="165"/>
      <c r="GT56" s="165"/>
      <c r="GU56" s="165"/>
      <c r="GV56" s="165"/>
      <c r="GW56" s="165"/>
      <c r="GX56" s="165"/>
      <c r="GY56" s="165"/>
      <c r="GZ56" s="165"/>
      <c r="HA56" s="165"/>
      <c r="HB56" s="165"/>
      <c r="HC56" s="165"/>
      <c r="HD56" s="165"/>
      <c r="HE56" s="165"/>
      <c r="HF56" s="165"/>
      <c r="HG56" s="165"/>
      <c r="HH56" s="165"/>
      <c r="HI56" s="165"/>
      <c r="HJ56" s="165"/>
      <c r="HK56" s="165"/>
      <c r="HL56" s="165"/>
      <c r="HM56" s="165"/>
      <c r="HN56" s="165"/>
      <c r="HO56" s="165"/>
      <c r="HP56" s="165"/>
      <c r="HQ56" s="165"/>
      <c r="HR56" s="165"/>
      <c r="HS56" s="165"/>
      <c r="HT56" s="165"/>
      <c r="HU56" s="165"/>
      <c r="HV56" s="165"/>
      <c r="HW56" s="165"/>
      <c r="HX56" s="165"/>
    </row>
    <row r="57" spans="1:232" x14ac:dyDescent="0.3">
      <c r="A57" s="157" t="s">
        <v>198</v>
      </c>
      <c r="B57" s="157"/>
      <c r="C57" s="185">
        <f t="shared" si="56"/>
        <v>0</v>
      </c>
      <c r="D57" s="157"/>
      <c r="E57" s="185">
        <f t="shared" si="57"/>
        <v>0</v>
      </c>
      <c r="F57" s="157"/>
      <c r="G57" s="185">
        <f t="shared" si="58"/>
        <v>0</v>
      </c>
      <c r="H57" s="157">
        <v>2460</v>
      </c>
      <c r="I57" s="185">
        <f t="shared" si="59"/>
        <v>1.6834239200168341E-2</v>
      </c>
      <c r="J57" s="157">
        <f>984+97.95</f>
        <v>1081.95</v>
      </c>
      <c r="K57" s="185">
        <f t="shared" si="60"/>
        <v>5.3952395033557247E-3</v>
      </c>
      <c r="L57" s="157">
        <f>44951.79</f>
        <v>44951.79</v>
      </c>
      <c r="M57" s="185">
        <f t="shared" si="61"/>
        <v>0.28135454142600702</v>
      </c>
      <c r="N57" s="157">
        <v>51329.49</v>
      </c>
      <c r="O57" s="185">
        <f t="shared" si="62"/>
        <v>0.2462934459381714</v>
      </c>
      <c r="P57" s="157">
        <f>9000+2600+2240+5140+1030+1823.72+2599.29+227.9+662.95+1378.05</f>
        <v>26701.910000000003</v>
      </c>
      <c r="Q57" s="185">
        <f t="shared" si="63"/>
        <v>0.14247412145375532</v>
      </c>
      <c r="R57" s="157">
        <f>1150+1300+662.95+2600+56.75+510.57</f>
        <v>6280.2699999999995</v>
      </c>
      <c r="S57" s="185">
        <f t="shared" si="64"/>
        <v>3.4803309076063403E-2</v>
      </c>
      <c r="T57" s="157">
        <v>662.95</v>
      </c>
      <c r="U57" s="185">
        <f t="shared" si="65"/>
        <v>4.2974706667403065E-3</v>
      </c>
      <c r="V57" s="157"/>
      <c r="W57" s="185">
        <f t="shared" si="66"/>
        <v>0</v>
      </c>
      <c r="X57" s="157"/>
      <c r="Y57" s="185">
        <f t="shared" si="67"/>
        <v>0</v>
      </c>
      <c r="Z57" s="191">
        <f t="shared" si="68"/>
        <v>11122.363333333335</v>
      </c>
      <c r="AA57" s="185">
        <f t="shared" si="69"/>
        <v>6.5528104117861294E-2</v>
      </c>
      <c r="AB57" s="172">
        <f t="shared" ref="AB57:AB63" si="71">L57+N57+P57+R57+T57+V57+X57+J57+H57+F57+D57+B57</f>
        <v>133468.35999999999</v>
      </c>
      <c r="AC57" s="171">
        <f>AB57/AB$2</f>
        <v>6.5528104117861308E-2</v>
      </c>
      <c r="AE57" s="178"/>
    </row>
    <row r="58" spans="1:232" x14ac:dyDescent="0.3">
      <c r="A58" s="157" t="s">
        <v>15</v>
      </c>
      <c r="B58" s="157">
        <v>20</v>
      </c>
      <c r="C58" s="185">
        <f t="shared" si="56"/>
        <v>1.6670938594681554E-4</v>
      </c>
      <c r="D58" s="157">
        <f>26.5</f>
        <v>26.5</v>
      </c>
      <c r="E58" s="185">
        <f t="shared" si="57"/>
        <v>2.4674584135490093E-4</v>
      </c>
      <c r="F58" s="157">
        <v>20</v>
      </c>
      <c r="G58" s="185">
        <f t="shared" si="58"/>
        <v>1.459741071128803E-4</v>
      </c>
      <c r="H58" s="157">
        <v>20</v>
      </c>
      <c r="I58" s="185">
        <f t="shared" si="59"/>
        <v>1.3686373333470197E-4</v>
      </c>
      <c r="J58" s="157"/>
      <c r="K58" s="185">
        <f t="shared" si="60"/>
        <v>0</v>
      </c>
      <c r="L58" s="157"/>
      <c r="M58" s="185">
        <f t="shared" si="61"/>
        <v>0</v>
      </c>
      <c r="N58" s="157">
        <v>6.5</v>
      </c>
      <c r="O58" s="185">
        <f t="shared" si="62"/>
        <v>3.1188842877615075E-5</v>
      </c>
      <c r="P58" s="157"/>
      <c r="Q58" s="185">
        <f t="shared" si="63"/>
        <v>0</v>
      </c>
      <c r="R58" s="157">
        <v>6.5</v>
      </c>
      <c r="S58" s="185">
        <f t="shared" si="64"/>
        <v>3.602098460645994E-5</v>
      </c>
      <c r="T58" s="157"/>
      <c r="U58" s="185">
        <f t="shared" si="65"/>
        <v>0</v>
      </c>
      <c r="V58" s="157">
        <v>33</v>
      </c>
      <c r="W58" s="185">
        <f t="shared" si="66"/>
        <v>1.1486107778882957E-4</v>
      </c>
      <c r="X58" s="157">
        <v>20</v>
      </c>
      <c r="Y58" s="185">
        <f t="shared" si="67"/>
        <v>1.3499608005132551E-4</v>
      </c>
      <c r="Z58" s="191">
        <f t="shared" si="68"/>
        <v>12.708333333333334</v>
      </c>
      <c r="AA58" s="185">
        <f t="shared" si="69"/>
        <v>7.4871946264821473E-5</v>
      </c>
      <c r="AB58" s="172">
        <f t="shared" si="71"/>
        <v>152.5</v>
      </c>
      <c r="AC58" s="171">
        <f>AB58/AB$2</f>
        <v>7.4871946264821486E-5</v>
      </c>
      <c r="AE58" s="178"/>
    </row>
    <row r="59" spans="1:232" x14ac:dyDescent="0.3">
      <c r="A59" s="157" t="s">
        <v>122</v>
      </c>
      <c r="B59" s="157">
        <v>140</v>
      </c>
      <c r="C59" s="185">
        <f t="shared" si="56"/>
        <v>1.1669657016277087E-3</v>
      </c>
      <c r="D59" s="157">
        <v>380.42</v>
      </c>
      <c r="E59" s="185">
        <f t="shared" si="57"/>
        <v>3.5421529421974123E-3</v>
      </c>
      <c r="F59" s="157">
        <f>550.75+1759.14+140+36.9</f>
        <v>2486.7900000000004</v>
      </c>
      <c r="G59" s="185">
        <f t="shared" si="58"/>
        <v>1.8150347491361983E-2</v>
      </c>
      <c r="H59" s="157">
        <f>383.78+7402.4</f>
        <v>7786.1799999999994</v>
      </c>
      <c r="I59" s="185">
        <f t="shared" si="59"/>
        <v>5.3282283160799485E-2</v>
      </c>
      <c r="J59" s="157"/>
      <c r="K59" s="185">
        <f t="shared" si="60"/>
        <v>0</v>
      </c>
      <c r="L59" s="157"/>
      <c r="M59" s="185">
        <f t="shared" si="61"/>
        <v>0</v>
      </c>
      <c r="N59" s="157"/>
      <c r="O59" s="185">
        <f t="shared" si="62"/>
        <v>0</v>
      </c>
      <c r="P59" s="157"/>
      <c r="Q59" s="185">
        <f t="shared" si="63"/>
        <v>0</v>
      </c>
      <c r="R59" s="157"/>
      <c r="S59" s="185">
        <f t="shared" si="64"/>
        <v>0</v>
      </c>
      <c r="T59" s="157"/>
      <c r="U59" s="185">
        <f t="shared" si="65"/>
        <v>0</v>
      </c>
      <c r="V59" s="157"/>
      <c r="W59" s="185">
        <f t="shared" si="66"/>
        <v>0</v>
      </c>
      <c r="X59" s="157"/>
      <c r="Y59" s="185">
        <f t="shared" si="67"/>
        <v>0</v>
      </c>
      <c r="Z59" s="191">
        <f t="shared" si="68"/>
        <v>899.44916666666666</v>
      </c>
      <c r="AA59" s="185">
        <f t="shared" si="69"/>
        <v>5.2991614170181068E-3</v>
      </c>
      <c r="AB59" s="172">
        <f t="shared" si="71"/>
        <v>10793.39</v>
      </c>
      <c r="AC59" s="171">
        <f t="shared" ref="AC59:AC63" si="72">AB59/AB$2</f>
        <v>5.2991614170181086E-3</v>
      </c>
    </row>
    <row r="60" spans="1:232" x14ac:dyDescent="0.3">
      <c r="A60" s="157" t="s">
        <v>192</v>
      </c>
      <c r="B60" s="157">
        <f>1442.34+2778.94+524</f>
        <v>4745.28</v>
      </c>
      <c r="C60" s="185">
        <f t="shared" si="56"/>
        <v>3.9554135747285238E-2</v>
      </c>
      <c r="D60" s="157">
        <v>35</v>
      </c>
      <c r="E60" s="185">
        <f t="shared" si="57"/>
        <v>3.2589073386496355E-4</v>
      </c>
      <c r="F60" s="157">
        <v>50</v>
      </c>
      <c r="G60" s="185">
        <f t="shared" si="58"/>
        <v>3.6493526778220075E-4</v>
      </c>
      <c r="H60" s="157">
        <v>52.88</v>
      </c>
      <c r="I60" s="185">
        <f t="shared" si="59"/>
        <v>3.6186771093695203E-4</v>
      </c>
      <c r="J60" s="157">
        <v>860</v>
      </c>
      <c r="K60" s="185">
        <f t="shared" si="60"/>
        <v>4.2884661702351527E-3</v>
      </c>
      <c r="L60" s="157">
        <v>1440.87</v>
      </c>
      <c r="M60" s="185">
        <f t="shared" si="61"/>
        <v>9.0184466092338191E-3</v>
      </c>
      <c r="N60" s="157">
        <f>761.12+2500+2796.5</f>
        <v>6057.62</v>
      </c>
      <c r="O60" s="185">
        <f t="shared" si="62"/>
        <v>2.9066178214199788E-2</v>
      </c>
      <c r="P60" s="157">
        <v>120</v>
      </c>
      <c r="Q60" s="185">
        <f t="shared" si="63"/>
        <v>6.4028732680361197E-4</v>
      </c>
      <c r="R60" s="157"/>
      <c r="S60" s="185">
        <f t="shared" si="64"/>
        <v>0</v>
      </c>
      <c r="T60" s="157">
        <f>60+1427.56+3651.77+119.99+63</f>
        <v>5322.32</v>
      </c>
      <c r="U60" s="185">
        <f t="shared" si="65"/>
        <v>3.4501114833705805E-2</v>
      </c>
      <c r="V60" s="157">
        <f>2511.46+268.41</f>
        <v>2779.87</v>
      </c>
      <c r="W60" s="185">
        <f t="shared" si="66"/>
        <v>9.6757231609949593E-3</v>
      </c>
      <c r="X60" s="157">
        <f>2376.8+2711</f>
        <v>5087.8</v>
      </c>
      <c r="Y60" s="185">
        <f t="shared" si="67"/>
        <v>3.4341652804256696E-2</v>
      </c>
      <c r="Z60" s="191">
        <f t="shared" si="68"/>
        <v>2212.6366666666668</v>
      </c>
      <c r="AA60" s="185">
        <f t="shared" si="69"/>
        <v>1.3035888284084488E-2</v>
      </c>
      <c r="AB60" s="172">
        <f t="shared" si="71"/>
        <v>26551.64</v>
      </c>
      <c r="AC60" s="171">
        <f t="shared" si="72"/>
        <v>1.3035888284084489E-2</v>
      </c>
      <c r="AF60" s="257"/>
    </row>
    <row r="61" spans="1:232" x14ac:dyDescent="0.3">
      <c r="A61" s="157" t="s">
        <v>202</v>
      </c>
      <c r="B61" s="157"/>
      <c r="C61" s="185"/>
      <c r="D61" s="157"/>
      <c r="E61" s="185"/>
      <c r="F61" s="157"/>
      <c r="G61" s="185"/>
      <c r="H61" s="157">
        <v>200</v>
      </c>
      <c r="I61" s="185">
        <f t="shared" si="59"/>
        <v>1.3686373333470197E-3</v>
      </c>
      <c r="J61" s="157"/>
      <c r="K61" s="185"/>
      <c r="L61" s="157"/>
      <c r="M61" s="185"/>
      <c r="N61" s="157"/>
      <c r="O61" s="185"/>
      <c r="P61" s="157"/>
      <c r="Q61" s="185"/>
      <c r="R61" s="157">
        <v>629.79999999999995</v>
      </c>
      <c r="S61" s="185">
        <f t="shared" si="64"/>
        <v>3.4901563238689949E-3</v>
      </c>
      <c r="T61" s="157">
        <f>170.1+256.5</f>
        <v>426.6</v>
      </c>
      <c r="U61" s="185"/>
      <c r="V61" s="157"/>
      <c r="W61" s="185"/>
      <c r="X61" s="157"/>
      <c r="Y61" s="185"/>
      <c r="Z61" s="191">
        <f t="shared" si="68"/>
        <v>104.7</v>
      </c>
      <c r="AA61" s="185">
        <f t="shared" si="69"/>
        <v>6.1684664450571604E-4</v>
      </c>
      <c r="AB61" s="172">
        <f t="shared" si="71"/>
        <v>1256.4000000000001</v>
      </c>
      <c r="AC61" s="171">
        <f t="shared" si="72"/>
        <v>6.1684664450571626E-4</v>
      </c>
      <c r="AF61" s="257"/>
      <c r="AG61" s="175"/>
    </row>
    <row r="62" spans="1:232" x14ac:dyDescent="0.3">
      <c r="A62" s="157" t="s">
        <v>150</v>
      </c>
      <c r="B62" s="157">
        <v>960</v>
      </c>
      <c r="C62" s="185">
        <f>B62/B$2</f>
        <v>8.002050525447146E-3</v>
      </c>
      <c r="D62" s="157"/>
      <c r="E62" s="185">
        <f>D62/D$2</f>
        <v>0</v>
      </c>
      <c r="F62" s="157"/>
      <c r="G62" s="185">
        <f>F62/F$2</f>
        <v>0</v>
      </c>
      <c r="H62" s="157"/>
      <c r="I62" s="185">
        <f t="shared" si="59"/>
        <v>0</v>
      </c>
      <c r="J62" s="157"/>
      <c r="K62" s="185">
        <f>J62/J$2</f>
        <v>0</v>
      </c>
      <c r="L62" s="157"/>
      <c r="M62" s="185">
        <f>L62/L$2</f>
        <v>0</v>
      </c>
      <c r="N62" s="157">
        <v>320</v>
      </c>
      <c r="O62" s="185">
        <f>N62/N$2</f>
        <v>1.5354507262825884E-3</v>
      </c>
      <c r="P62" s="157">
        <v>25.6</v>
      </c>
      <c r="Q62" s="185">
        <f>P62/P$2</f>
        <v>1.3659462971810389E-4</v>
      </c>
      <c r="R62" s="157"/>
      <c r="S62" s="185">
        <f>R62/R$2</f>
        <v>0</v>
      </c>
      <c r="T62" s="157">
        <v>4500</v>
      </c>
      <c r="U62" s="185">
        <f>T62/T$2</f>
        <v>2.9170552832538468E-2</v>
      </c>
      <c r="V62" s="157"/>
      <c r="W62" s="185">
        <f>V62/V$2</f>
        <v>0</v>
      </c>
      <c r="X62" s="157">
        <v>52.4</v>
      </c>
      <c r="Y62" s="185">
        <f>X62/X$2</f>
        <v>3.5368972973447279E-4</v>
      </c>
      <c r="Z62" s="191">
        <f>(B62+D62+F62+H62+J62+L62+N62+P62+R62+T62+V62+X62)/AE$2</f>
        <v>488.16666666666669</v>
      </c>
      <c r="AA62" s="185">
        <f t="shared" ref="AA62:AA67" si="73">Z62/Z$2</f>
        <v>2.876064663733273E-3</v>
      </c>
      <c r="AB62" s="172">
        <f t="shared" si="71"/>
        <v>5858</v>
      </c>
      <c r="AC62" s="171">
        <f t="shared" si="72"/>
        <v>2.8760646637332739E-3</v>
      </c>
      <c r="AE62" s="178"/>
    </row>
    <row r="63" spans="1:232" x14ac:dyDescent="0.3">
      <c r="A63" s="157" t="s">
        <v>120</v>
      </c>
      <c r="B63" s="157">
        <f>30.7</f>
        <v>30.7</v>
      </c>
      <c r="C63" s="185">
        <f>B63/B$2</f>
        <v>2.5589890742836184E-4</v>
      </c>
      <c r="D63" s="157">
        <f>203+38.85</f>
        <v>241.85</v>
      </c>
      <c r="E63" s="185">
        <f>D63/D$2</f>
        <v>2.251904971006898E-3</v>
      </c>
      <c r="F63" s="157">
        <f>11.15+24</f>
        <v>35.15</v>
      </c>
      <c r="G63" s="185">
        <f>F63/F$2</f>
        <v>2.5654949325088714E-4</v>
      </c>
      <c r="H63" s="302"/>
      <c r="I63" s="185">
        <f t="shared" si="59"/>
        <v>0</v>
      </c>
      <c r="J63" s="157"/>
      <c r="K63" s="185">
        <f>J63/J$2</f>
        <v>0</v>
      </c>
      <c r="L63" s="157"/>
      <c r="M63" s="185">
        <f>L63/L$2</f>
        <v>0</v>
      </c>
      <c r="N63" s="157"/>
      <c r="O63" s="185">
        <f>N63/N$2</f>
        <v>0</v>
      </c>
      <c r="P63" s="157">
        <v>660</v>
      </c>
      <c r="Q63" s="185">
        <f>P63/P$2</f>
        <v>3.5215802974198659E-3</v>
      </c>
      <c r="R63" s="157">
        <v>25</v>
      </c>
      <c r="S63" s="185">
        <f>R63/R$2</f>
        <v>1.3854224848638437E-4</v>
      </c>
      <c r="T63" s="157">
        <v>660</v>
      </c>
      <c r="U63" s="185">
        <f>T63/T$2</f>
        <v>4.278347748772309E-3</v>
      </c>
      <c r="V63" s="157"/>
      <c r="W63" s="185">
        <f>V63/V$2</f>
        <v>0</v>
      </c>
      <c r="X63" s="157">
        <v>123.5</v>
      </c>
      <c r="Y63" s="185">
        <f>X63/X$2</f>
        <v>8.3360079431693491E-4</v>
      </c>
      <c r="Z63" s="191">
        <f>(B63+D63+F63+H63+J63+L63+N63+P63+R63+T63+V63+X63)/AE$2</f>
        <v>148.01666666666668</v>
      </c>
      <c r="AA63" s="185">
        <f t="shared" si="73"/>
        <v>8.7204951446279275E-4</v>
      </c>
      <c r="AB63" s="172">
        <f t="shared" si="71"/>
        <v>1776.2</v>
      </c>
      <c r="AC63" s="171">
        <f t="shared" si="72"/>
        <v>8.7204951446279296E-4</v>
      </c>
      <c r="AE63" s="178"/>
    </row>
    <row r="64" spans="1:232" x14ac:dyDescent="0.3">
      <c r="A64" s="267" t="s">
        <v>191</v>
      </c>
      <c r="B64" s="274">
        <f>B2-B6-B15-B56</f>
        <v>46808.799999999988</v>
      </c>
      <c r="C64" s="186">
        <f>B64/B$2</f>
        <v>0.39017331524536486</v>
      </c>
      <c r="D64" s="274">
        <f>D2-D6-D15-D56</f>
        <v>41480.5</v>
      </c>
      <c r="E64" s="186">
        <f>D64/D$2</f>
        <v>0.38623173103101771</v>
      </c>
      <c r="F64" s="274">
        <f>F2-F6-F15-F56</f>
        <v>55584.179999999978</v>
      </c>
      <c r="G64" s="186">
        <f>F64/F$2</f>
        <v>0.40569255225508083</v>
      </c>
      <c r="H64" s="274">
        <f>H2-H6-H15-H56</f>
        <v>71983.16</v>
      </c>
      <c r="I64" s="186">
        <f t="shared" si="59"/>
        <v>0.49259420074145932</v>
      </c>
      <c r="J64" s="274">
        <f>J2-J6-J15-J56</f>
        <v>110666.4</v>
      </c>
      <c r="K64" s="186">
        <f>J64/J$2</f>
        <v>0.55184780532757149</v>
      </c>
      <c r="L64" s="274">
        <f>L2-L6-L15-L56</f>
        <v>9833.1499999999942</v>
      </c>
      <c r="M64" s="186">
        <f>L64/L$2</f>
        <v>6.1545967558202665E-2</v>
      </c>
      <c r="N64" s="274">
        <f>N2-N6-N15-N56</f>
        <v>56197.860000000015</v>
      </c>
      <c r="O64" s="186">
        <f>N64/N$2</f>
        <v>0.26965326547664764</v>
      </c>
      <c r="P64" s="274">
        <f>P2-P6-P15-P56</f>
        <v>57565.920000000006</v>
      </c>
      <c r="Q64" s="186">
        <f>P64/P$2</f>
        <v>0.30715607526492156</v>
      </c>
      <c r="R64" s="274">
        <f>R2-R6-R15-R56</f>
        <v>59716.44999999999</v>
      </c>
      <c r="S64" s="186">
        <f>R64/R$2</f>
        <v>0.33093005018498989</v>
      </c>
      <c r="T64" s="274">
        <f>T2-T6-T15-T56</f>
        <v>45940.2</v>
      </c>
      <c r="U64" s="186">
        <f>T64/T$2</f>
        <v>0.29780022916386301</v>
      </c>
      <c r="V64" s="274">
        <f>V2-V6-V15-V56</f>
        <v>172641.38000000006</v>
      </c>
      <c r="W64" s="186">
        <f>V64/V$2</f>
        <v>0.60090227205305735</v>
      </c>
      <c r="X64" s="274">
        <f>X2-X6-X15-X56</f>
        <v>-11384.569999999982</v>
      </c>
      <c r="Y64" s="186">
        <f>X64/X$2</f>
        <v>-7.6843616153495817E-2</v>
      </c>
      <c r="Z64" s="274">
        <f>Z2-Z6-Z15-Z56</f>
        <v>59752.785833333386</v>
      </c>
      <c r="AA64" s="186">
        <f t="shared" si="73"/>
        <v>0.3520373012527257</v>
      </c>
      <c r="AB64" s="274">
        <f>AB2-AB6-AB15-AB56</f>
        <v>717033.43</v>
      </c>
      <c r="AC64" s="179">
        <f>AB64/AB$2</f>
        <v>0.35203730125272553</v>
      </c>
    </row>
    <row r="65" spans="1:29" x14ac:dyDescent="0.3">
      <c r="A65" s="267" t="s">
        <v>200</v>
      </c>
      <c r="B65" s="301">
        <f>B64/B2</f>
        <v>0.39017331524536486</v>
      </c>
      <c r="C65" s="186"/>
      <c r="D65" s="301">
        <f>D64/D2</f>
        <v>0.38623173103101771</v>
      </c>
      <c r="E65" s="186"/>
      <c r="F65" s="301">
        <f>F64/F2</f>
        <v>0.40569255225508083</v>
      </c>
      <c r="G65" s="186"/>
      <c r="H65" s="301">
        <f>H64/H2</f>
        <v>0.49259420074145932</v>
      </c>
      <c r="I65" s="186"/>
      <c r="J65" s="301">
        <f>J64/J2</f>
        <v>0.55184780532757149</v>
      </c>
      <c r="K65" s="186"/>
      <c r="L65" s="301">
        <f>L64/L2</f>
        <v>6.1545967558202665E-2</v>
      </c>
      <c r="M65" s="186"/>
      <c r="N65" s="301">
        <f>N64/N2</f>
        <v>0.26965326547664764</v>
      </c>
      <c r="O65" s="186"/>
      <c r="P65" s="301">
        <f>P64/P2</f>
        <v>0.30715607526492156</v>
      </c>
      <c r="Q65" s="186"/>
      <c r="R65" s="301">
        <f>R64/R2</f>
        <v>0.33093005018498989</v>
      </c>
      <c r="S65" s="186"/>
      <c r="T65" s="301">
        <f>T64/T2</f>
        <v>0.29780022916386301</v>
      </c>
      <c r="U65" s="186"/>
      <c r="V65" s="301">
        <f>V64/V2</f>
        <v>0.60090227205305735</v>
      </c>
      <c r="W65" s="186"/>
      <c r="X65" s="301">
        <f>X64/X2</f>
        <v>-7.6843616153495817E-2</v>
      </c>
      <c r="Y65" s="186"/>
      <c r="Z65" s="301">
        <f>Z64/Z2</f>
        <v>0.3520373012527257</v>
      </c>
      <c r="AA65" s="186">
        <f t="shared" si="73"/>
        <v>2.074049933319883E-6</v>
      </c>
      <c r="AB65" s="301">
        <f>AB64/AB2</f>
        <v>0.35203730125272553</v>
      </c>
      <c r="AC65" s="179">
        <f>AB65/AB$2</f>
        <v>1.7283749444332354E-7</v>
      </c>
    </row>
    <row r="66" spans="1:29" x14ac:dyDescent="0.3">
      <c r="A66" s="267" t="s">
        <v>189</v>
      </c>
      <c r="B66" s="286">
        <f>(B15+B56)/C14</f>
        <v>66807.121614540694</v>
      </c>
      <c r="C66" s="186">
        <f>B66/B$2</f>
        <v>0.55686871106171532</v>
      </c>
      <c r="D66" s="286">
        <f>(D15+D56)/E14</f>
        <v>59832.657129855579</v>
      </c>
      <c r="E66" s="186">
        <f>D66/D$2</f>
        <v>0.5571116726039822</v>
      </c>
      <c r="F66" s="286">
        <f>(F15+F56)/G14</f>
        <v>75473.508346406743</v>
      </c>
      <c r="G66" s="186">
        <f>F66/F$2</f>
        <v>0.55085889957716216</v>
      </c>
      <c r="H66" s="286">
        <f>(H15+H56)/I14</f>
        <v>65381.503908610241</v>
      </c>
      <c r="I66" s="186">
        <f>H66/H$2</f>
        <v>0.44741783579849032</v>
      </c>
      <c r="J66" s="286">
        <f>(J15+J56)/K14</f>
        <v>78650.650410170929</v>
      </c>
      <c r="K66" s="186">
        <f>J66/J$2</f>
        <v>0.39219843436163904</v>
      </c>
      <c r="L66" s="286">
        <f>(L15+L56)/M14</f>
        <v>147951.47074913731</v>
      </c>
      <c r="M66" s="186">
        <f>L66/L$2</f>
        <v>0.92603249405478216</v>
      </c>
      <c r="N66" s="286">
        <f>(N15+N56)/O14</f>
        <v>145357.27731248629</v>
      </c>
      <c r="O66" s="186">
        <f>N66/N$2</f>
        <v>0.69746542818723956</v>
      </c>
      <c r="P66" s="286">
        <f>(P15+P56)/Q14</f>
        <v>120445.8151504444</v>
      </c>
      <c r="Q66" s="186">
        <f>P66/P$2</f>
        <v>0.64266607506133355</v>
      </c>
      <c r="R66" s="286">
        <f>(R15+R56)/S14</f>
        <v>110882.77110734757</v>
      </c>
      <c r="S66" s="186">
        <f>R66/R$2</f>
        <v>0.61447793710452114</v>
      </c>
      <c r="T66" s="286">
        <f>(T15+T56)/U14</f>
        <v>99774.806695285937</v>
      </c>
      <c r="U66" s="186">
        <f>T66/T$2</f>
        <v>0.64677472668025582</v>
      </c>
      <c r="V66" s="286">
        <f>(V15+V56)/W14</f>
        <v>100153.77976255261</v>
      </c>
      <c r="W66" s="186">
        <f>V66/V$2</f>
        <v>0.34859912388338971</v>
      </c>
      <c r="X66" s="286">
        <f>(X15+X56)/Y14</f>
        <v>163526.7379168937</v>
      </c>
      <c r="Y66" s="186">
        <f>X66/X$2</f>
        <v>1.1037734301180553</v>
      </c>
      <c r="Z66" s="289">
        <f>(B66+D66+F66+H66+J66+L66+N66+P66+R66+T66+V66+X66)/AE$2</f>
        <v>102853.17500864435</v>
      </c>
      <c r="AA66" s="186">
        <f t="shared" si="73"/>
        <v>0.60596595874729164</v>
      </c>
      <c r="AB66" s="286">
        <f>(AB15+AB56)/AC14</f>
        <v>1213959.5063506474</v>
      </c>
      <c r="AC66" s="179">
        <f>AB66/AB$2</f>
        <v>0.59600990771904849</v>
      </c>
    </row>
    <row r="67" spans="1:29" x14ac:dyDescent="0.3">
      <c r="A67" s="283" t="s">
        <v>190</v>
      </c>
      <c r="B67" s="268">
        <f>B6+B15+B56</f>
        <v>73160.45</v>
      </c>
      <c r="C67" s="186">
        <f>B67/B$2</f>
        <v>0.60982668475463497</v>
      </c>
      <c r="D67" s="268">
        <f>D6+D15+D56</f>
        <v>65917.460000000006</v>
      </c>
      <c r="E67" s="186">
        <f>D67/D$2</f>
        <v>0.61376826896898229</v>
      </c>
      <c r="F67" s="268">
        <f>F6+F15+F56</f>
        <v>81426.420000000027</v>
      </c>
      <c r="G67" s="186">
        <f>F67/F$2</f>
        <v>0.59430744774491917</v>
      </c>
      <c r="H67" s="268">
        <f>H56+H15+H6</f>
        <v>74147.59</v>
      </c>
      <c r="I67" s="186">
        <f>H67/H$2</f>
        <v>0.50740579925854068</v>
      </c>
      <c r="J67" s="268">
        <f>J56+J15+J6</f>
        <v>89871.5</v>
      </c>
      <c r="K67" s="186">
        <f>J67/J$2</f>
        <v>0.44815219467242851</v>
      </c>
      <c r="L67" s="268">
        <f>L56+L15+L6</f>
        <v>149936.05000000002</v>
      </c>
      <c r="M67" s="186">
        <f>L67/L$2</f>
        <v>0.93845403244179737</v>
      </c>
      <c r="N67" s="268">
        <f>N56+N15+N6</f>
        <v>152210</v>
      </c>
      <c r="O67" s="186">
        <f>N67/N$2</f>
        <v>0.73034673452335241</v>
      </c>
      <c r="P67" s="268">
        <f>P56+P15+P6</f>
        <v>129849.94</v>
      </c>
      <c r="Q67" s="186">
        <f>P67/P$2</f>
        <v>0.69284392473507839</v>
      </c>
      <c r="R67" s="268">
        <f>R56+R15+R6</f>
        <v>120733.92000000001</v>
      </c>
      <c r="S67" s="186">
        <f>R67/R$2</f>
        <v>0.66906994981501011</v>
      </c>
      <c r="T67" s="268">
        <f>T56+T15+T6</f>
        <v>108324.96</v>
      </c>
      <c r="U67" s="186">
        <f>T67/T$2</f>
        <v>0.70219977083613694</v>
      </c>
      <c r="V67" s="268">
        <f>V56+V15+V6</f>
        <v>114662.21</v>
      </c>
      <c r="W67" s="186">
        <f>V67/V$2</f>
        <v>0.39909772794694282</v>
      </c>
      <c r="X67" s="268">
        <f>X56+X15+X6</f>
        <v>159537.01999999999</v>
      </c>
      <c r="Y67" s="186">
        <f>X67/X$2</f>
        <v>1.0768436161534958</v>
      </c>
      <c r="Z67" s="290">
        <f>(B67+D67+F67+H67+J67+L67+N67+P67+R67+T67+V67+X67)/AE$2</f>
        <v>109981.46000000002</v>
      </c>
      <c r="AA67" s="186">
        <f t="shared" si="73"/>
        <v>0.64796269874727441</v>
      </c>
      <c r="AB67" s="268">
        <f>B67+D67+F67+H67+J67+L67+N67+P67+R67+T67+V67+X67</f>
        <v>1319777.5200000003</v>
      </c>
      <c r="AC67" s="179">
        <f>AB67/AB$2</f>
        <v>0.64796269874727463</v>
      </c>
    </row>
    <row r="68" spans="1:29" x14ac:dyDescent="0.3">
      <c r="A68" s="284" t="s">
        <v>180</v>
      </c>
      <c r="B68" s="287"/>
      <c r="C68" s="200"/>
      <c r="D68" s="286"/>
      <c r="E68" s="200"/>
      <c r="F68" s="286"/>
      <c r="G68" s="200"/>
      <c r="H68" s="287"/>
      <c r="I68" s="200"/>
      <c r="J68" s="286"/>
      <c r="K68" s="200"/>
      <c r="L68" s="286"/>
      <c r="M68" s="200"/>
      <c r="N68" s="286"/>
      <c r="O68" s="200"/>
      <c r="P68" s="287"/>
      <c r="Q68" s="200"/>
      <c r="R68" s="288"/>
      <c r="S68" s="200"/>
      <c r="T68" s="286"/>
      <c r="U68" s="200"/>
      <c r="V68" s="287"/>
      <c r="W68" s="200"/>
      <c r="X68" s="287"/>
      <c r="Y68" s="200"/>
      <c r="Z68" s="290">
        <f>(B68+D68+F68+H68+J68+L68+N68+P68+R68+T68+V68+X68)/AE$2</f>
        <v>0</v>
      </c>
      <c r="AA68" s="200"/>
      <c r="AB68" s="291">
        <v>309468.33</v>
      </c>
      <c r="AC68" s="200"/>
    </row>
    <row r="69" spans="1:29" x14ac:dyDescent="0.3">
      <c r="A69" s="284" t="s">
        <v>211</v>
      </c>
      <c r="B69" s="306"/>
      <c r="C69" s="185"/>
      <c r="D69" s="306">
        <f>51200-D38</f>
        <v>36200</v>
      </c>
      <c r="E69" s="185"/>
      <c r="F69" s="306">
        <f>115000-F38</f>
        <v>100000</v>
      </c>
      <c r="G69" s="185"/>
      <c r="H69" s="306"/>
      <c r="I69" s="185"/>
      <c r="J69" s="306"/>
      <c r="K69" s="185"/>
      <c r="L69" s="306"/>
      <c r="M69" s="185"/>
      <c r="N69" s="306">
        <v>180000</v>
      </c>
      <c r="O69" s="185"/>
      <c r="P69" s="306"/>
      <c r="Q69" s="185"/>
      <c r="R69" s="306">
        <v>100000</v>
      </c>
      <c r="S69" s="185">
        <f>R69/R$2</f>
        <v>0.55416899394553754</v>
      </c>
      <c r="T69" s="306">
        <v>100000</v>
      </c>
      <c r="U69" s="185"/>
      <c r="V69" s="306">
        <v>124000</v>
      </c>
      <c r="W69" s="185"/>
      <c r="X69" s="306">
        <v>65000</v>
      </c>
      <c r="Y69" s="185"/>
      <c r="Z69" s="191">
        <f>(B69+D69+F69+H69+J69+L69+N69+P69+R69+T69+V69+X69)/AE$2</f>
        <v>58766.666666666664</v>
      </c>
      <c r="AA69" s="185">
        <f>Z69/Z$2</f>
        <v>0.34622751807181701</v>
      </c>
      <c r="AB69" s="172">
        <f>L69+N69+P69+R69+T69+V69+X69+J69+H69+F69+D69+B69</f>
        <v>705200</v>
      </c>
      <c r="AC69" s="173">
        <f>AB69/AB$3</f>
        <v>0.34650912327025207</v>
      </c>
    </row>
    <row r="70" spans="1:29" ht="15" thickBot="1" x14ac:dyDescent="0.35">
      <c r="A70" s="285" t="s">
        <v>222</v>
      </c>
      <c r="B70" s="292">
        <f>B64-B68</f>
        <v>46808.799999999988</v>
      </c>
      <c r="C70" s="201"/>
      <c r="D70" s="292">
        <f>D64-D69</f>
        <v>5280.5</v>
      </c>
      <c r="E70" s="201"/>
      <c r="F70" s="292">
        <f>F64-F69</f>
        <v>-44415.820000000022</v>
      </c>
      <c r="G70" s="252"/>
      <c r="H70" s="292">
        <f>H64-H68</f>
        <v>71983.16</v>
      </c>
      <c r="I70" s="252"/>
      <c r="J70" s="292">
        <f>J64-J68</f>
        <v>110666.4</v>
      </c>
      <c r="K70" s="252"/>
      <c r="L70" s="292">
        <f>L64-L68</f>
        <v>9833.1499999999942</v>
      </c>
      <c r="M70" s="252"/>
      <c r="N70" s="292">
        <f>N64-N69</f>
        <v>-123802.13999999998</v>
      </c>
      <c r="O70" s="252"/>
      <c r="P70" s="292">
        <f>P64-P68</f>
        <v>57565.920000000006</v>
      </c>
      <c r="Q70" s="252"/>
      <c r="R70" s="292">
        <f>R64-R69</f>
        <v>-40283.55000000001</v>
      </c>
      <c r="S70" s="252"/>
      <c r="T70" s="292">
        <f>T64-T69</f>
        <v>-54059.8</v>
      </c>
      <c r="U70" s="252"/>
      <c r="V70" s="292">
        <f>V2-V6-V15-V56-V69</f>
        <v>48641.380000000063</v>
      </c>
      <c r="W70" s="252"/>
      <c r="X70" s="292">
        <f>X64-X68-X69</f>
        <v>-76384.569999999978</v>
      </c>
      <c r="Y70" s="201"/>
      <c r="Z70" s="290">
        <f>(B70+D70+F70+H70+J70+L70+N70+P70+R70+T70+V70+X70)/AE$2</f>
        <v>986.11916666667219</v>
      </c>
      <c r="AA70" s="201"/>
      <c r="AB70" s="292">
        <f>AB64-AB69</f>
        <v>11833.430000000051</v>
      </c>
      <c r="AC70" s="201"/>
    </row>
    <row r="71" spans="1:29" x14ac:dyDescent="0.3">
      <c r="A71" s="313" t="s">
        <v>213</v>
      </c>
      <c r="B71" s="314">
        <f>B70/B2</f>
        <v>0.39017331524536486</v>
      </c>
      <c r="C71" s="214"/>
      <c r="D71" s="314">
        <f>D70/D2</f>
        <v>4.9167600576398282E-2</v>
      </c>
      <c r="E71" s="214"/>
      <c r="F71" s="314">
        <f>F70/F2</f>
        <v>-0.32417798330932074</v>
      </c>
      <c r="G71" s="296"/>
      <c r="H71" s="314">
        <f>H70/H2</f>
        <v>0.49259420074145932</v>
      </c>
      <c r="I71" s="296"/>
      <c r="J71" s="314">
        <f>J70/J2</f>
        <v>0.55184780532757149</v>
      </c>
      <c r="K71" s="296"/>
      <c r="L71" s="314">
        <f>L70/L2</f>
        <v>6.1545967558202665E-2</v>
      </c>
      <c r="M71" s="296"/>
      <c r="N71" s="315">
        <f>N70/N2</f>
        <v>-0.59403776805730824</v>
      </c>
      <c r="O71" s="296"/>
      <c r="P71" s="315">
        <f>P70/P2</f>
        <v>0.30715607526492156</v>
      </c>
      <c r="Q71" s="296"/>
      <c r="R71" s="315">
        <f>R70/R2</f>
        <v>-0.22323894376054762</v>
      </c>
      <c r="S71" s="296"/>
      <c r="T71" s="315">
        <f>T70/T2</f>
        <v>-0.35043427822588069</v>
      </c>
      <c r="U71" s="296"/>
      <c r="V71" s="315">
        <f>V70/V2</f>
        <v>0.16930307066472805</v>
      </c>
      <c r="W71" s="296"/>
      <c r="X71" s="315">
        <f>X70/X2</f>
        <v>-0.51558087632030369</v>
      </c>
      <c r="Y71" s="214"/>
      <c r="Z71" s="316">
        <f>Z70/Z2</f>
        <v>5.8097831809084018E-3</v>
      </c>
      <c r="AA71" s="214"/>
      <c r="AB71" s="330">
        <f>AB70/AB2</f>
        <v>5.8097831809083957E-3</v>
      </c>
      <c r="AC71" s="327"/>
    </row>
    <row r="72" spans="1:29" x14ac:dyDescent="0.3">
      <c r="A72" s="317" t="s">
        <v>212</v>
      </c>
      <c r="B72" s="318">
        <f>(B15+B56)/C14</f>
        <v>66807.121614540694</v>
      </c>
      <c r="C72" s="319"/>
      <c r="D72" s="318">
        <f>(D15+D56)/E14</f>
        <v>59832.657129855579</v>
      </c>
      <c r="E72" s="320"/>
      <c r="F72" s="318">
        <f>(F15+F56)/G14</f>
        <v>75473.508346406743</v>
      </c>
      <c r="G72" s="320"/>
      <c r="H72" s="318">
        <f t="shared" ref="H72:V72" si="74">(H15+H56)/I14</f>
        <v>65381.503908610241</v>
      </c>
      <c r="I72" s="320"/>
      <c r="J72" s="318">
        <f t="shared" si="74"/>
        <v>78650.650410170929</v>
      </c>
      <c r="K72" s="320"/>
      <c r="L72" s="318">
        <f t="shared" si="74"/>
        <v>147951.47074913731</v>
      </c>
      <c r="M72" s="320"/>
      <c r="N72" s="318">
        <f>(N15+N56+N69)/O14</f>
        <v>347306.3352259454</v>
      </c>
      <c r="O72" s="320"/>
      <c r="P72" s="318">
        <f t="shared" si="74"/>
        <v>120445.8151504444</v>
      </c>
      <c r="Q72" s="320"/>
      <c r="R72" s="318">
        <f t="shared" si="74"/>
        <v>110882.77110734757</v>
      </c>
      <c r="S72" s="320"/>
      <c r="T72" s="318">
        <f t="shared" si="74"/>
        <v>99774.806695285937</v>
      </c>
      <c r="U72" s="320"/>
      <c r="V72" s="318">
        <f t="shared" si="74"/>
        <v>100153.77976255261</v>
      </c>
      <c r="W72" s="320"/>
      <c r="X72" s="318">
        <f>(X15+X56+X69)/Y14</f>
        <v>251305.9614271441</v>
      </c>
      <c r="Y72" s="319"/>
      <c r="Z72" s="321">
        <f>(B72+D72+F72+H72+J72+L72+N72+P72+R72+T72+V72+X72)/12</f>
        <v>126997.19846062013</v>
      </c>
      <c r="AA72" s="319"/>
      <c r="AB72" s="322">
        <f>(AB15+AB56)/AC14</f>
        <v>1213959.5063506474</v>
      </c>
      <c r="AC72" s="328"/>
    </row>
    <row r="73" spans="1:29" ht="15" thickBot="1" x14ac:dyDescent="0.35">
      <c r="A73" s="323" t="s">
        <v>214</v>
      </c>
      <c r="B73" s="324">
        <f>B67+B69</f>
        <v>73160.45</v>
      </c>
      <c r="C73" s="218"/>
      <c r="D73" s="324">
        <f>D67+D69</f>
        <v>102117.46</v>
      </c>
      <c r="E73" s="218"/>
      <c r="F73" s="324">
        <f>F67+F69</f>
        <v>181426.42000000004</v>
      </c>
      <c r="G73" s="255"/>
      <c r="H73" s="324">
        <f>H67+H69</f>
        <v>74147.59</v>
      </c>
      <c r="I73" s="255"/>
      <c r="J73" s="324">
        <f>J67+J69</f>
        <v>89871.5</v>
      </c>
      <c r="K73" s="255"/>
      <c r="L73" s="324">
        <f>L67+L69</f>
        <v>149936.05000000002</v>
      </c>
      <c r="M73" s="255"/>
      <c r="N73" s="324">
        <f>N67+N69</f>
        <v>332210</v>
      </c>
      <c r="O73" s="255"/>
      <c r="P73" s="324">
        <f>P67+P69</f>
        <v>129849.94</v>
      </c>
      <c r="Q73" s="255"/>
      <c r="R73" s="324">
        <f>R67+R69</f>
        <v>220733.92</v>
      </c>
      <c r="S73" s="255"/>
      <c r="T73" s="324">
        <f>T67+T69</f>
        <v>208324.96000000002</v>
      </c>
      <c r="U73" s="255"/>
      <c r="V73" s="324">
        <f>V67+V69</f>
        <v>238662.21000000002</v>
      </c>
      <c r="W73" s="255"/>
      <c r="X73" s="324">
        <f>X67+X69</f>
        <v>224537.02</v>
      </c>
      <c r="Y73" s="218"/>
      <c r="Z73" s="325">
        <f>Z67+Z69</f>
        <v>168748.12666666668</v>
      </c>
      <c r="AA73" s="218"/>
      <c r="AB73" s="326">
        <f>AB67+AB69</f>
        <v>2024977.5200000003</v>
      </c>
      <c r="AC73" s="329"/>
    </row>
    <row r="74" spans="1:29" x14ac:dyDescent="0.3">
      <c r="A74" s="309"/>
      <c r="B74" s="308"/>
      <c r="C74" s="305"/>
      <c r="D74" s="308"/>
      <c r="E74" s="305"/>
      <c r="F74" s="308"/>
      <c r="G74" s="308"/>
      <c r="H74" s="308"/>
      <c r="I74" s="308"/>
      <c r="J74" s="308"/>
      <c r="K74" s="308"/>
      <c r="L74" s="308"/>
      <c r="M74" s="308"/>
      <c r="N74" s="308"/>
      <c r="O74" s="308"/>
      <c r="P74" s="308"/>
      <c r="Q74" s="308"/>
      <c r="R74" s="308"/>
      <c r="S74" s="308"/>
      <c r="T74" s="308"/>
      <c r="U74" s="308"/>
      <c r="V74" s="308"/>
      <c r="W74" s="308"/>
      <c r="X74" s="308"/>
      <c r="Y74" s="305"/>
      <c r="Z74" s="310"/>
      <c r="AA74" s="305"/>
      <c r="AB74" s="311"/>
    </row>
    <row r="75" spans="1:29" x14ac:dyDescent="0.3">
      <c r="A75" s="206"/>
      <c r="B75" s="175"/>
      <c r="D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Z75" s="312"/>
      <c r="AB75" s="307"/>
    </row>
    <row r="77" spans="1:29" x14ac:dyDescent="0.3">
      <c r="A77" s="293" t="s">
        <v>165</v>
      </c>
      <c r="B77" s="294">
        <f>SUM(B78:B80)</f>
        <v>129886.92</v>
      </c>
      <c r="C77" s="208"/>
      <c r="D77" s="294">
        <f>SUM(D78:D80)</f>
        <v>135167.41999999998</v>
      </c>
      <c r="E77" s="208"/>
      <c r="F77" s="294">
        <f>SUM(F78:F80)</f>
        <v>90751.6</v>
      </c>
      <c r="G77" s="208"/>
      <c r="H77" s="294">
        <f>SUM(H78:H80)</f>
        <v>162734.76</v>
      </c>
      <c r="I77" s="208"/>
      <c r="J77" s="294">
        <f>SUM(J78:J80)</f>
        <v>273401.06</v>
      </c>
      <c r="K77" s="208"/>
      <c r="L77" s="294">
        <f>SUM(L78:L80)</f>
        <v>283234.31</v>
      </c>
      <c r="M77" s="208"/>
      <c r="N77" s="295">
        <f>SUM(N78:N80)</f>
        <v>159432.17000000001</v>
      </c>
      <c r="O77" s="208"/>
      <c r="P77" s="294">
        <f>SUM(P78:P80)</f>
        <v>216998.09000000003</v>
      </c>
      <c r="Q77" s="208"/>
      <c r="R77" s="294">
        <f>SUM(R78:R80)</f>
        <v>176714.54</v>
      </c>
      <c r="S77" s="208"/>
      <c r="T77" s="294">
        <f>SUM(T78:T80)</f>
        <v>122654.74</v>
      </c>
      <c r="U77" s="208"/>
      <c r="V77" s="298">
        <f>SUM(V78:V80)</f>
        <v>171296.12</v>
      </c>
      <c r="W77" s="208"/>
      <c r="X77" s="298">
        <f>SUM(X78:X80)</f>
        <v>94911.54</v>
      </c>
      <c r="Y77" s="206"/>
      <c r="Z77" s="206"/>
      <c r="AA77" s="206"/>
      <c r="AB77" s="206"/>
      <c r="AC77" s="206"/>
    </row>
    <row r="78" spans="1:29" x14ac:dyDescent="0.3">
      <c r="A78" s="219" t="s">
        <v>166</v>
      </c>
      <c r="B78" s="216">
        <v>128820.39</v>
      </c>
      <c r="C78" s="599"/>
      <c r="D78" s="217">
        <v>134682.56</v>
      </c>
      <c r="F78" s="217">
        <v>89878.82</v>
      </c>
      <c r="H78" s="223">
        <v>160830.35</v>
      </c>
      <c r="J78" s="223">
        <v>270351.59999999998</v>
      </c>
      <c r="L78" s="217">
        <v>281972.69</v>
      </c>
      <c r="N78" s="223">
        <v>157863.78</v>
      </c>
      <c r="P78" s="223">
        <v>215239.7</v>
      </c>
      <c r="R78" s="223">
        <v>175116.15</v>
      </c>
      <c r="T78" s="217">
        <v>121969.39</v>
      </c>
      <c r="V78" s="218">
        <v>619.27</v>
      </c>
      <c r="X78" s="263">
        <v>25000</v>
      </c>
    </row>
    <row r="79" spans="1:29" x14ac:dyDescent="0.3">
      <c r="A79" s="336" t="s">
        <v>215</v>
      </c>
      <c r="B79" s="337"/>
      <c r="C79" s="599"/>
      <c r="D79" s="338"/>
      <c r="F79" s="338"/>
      <c r="H79" s="339"/>
      <c r="J79" s="339"/>
      <c r="L79" s="338"/>
      <c r="N79" s="339"/>
      <c r="P79" s="339"/>
      <c r="R79" s="339"/>
      <c r="T79" s="338"/>
      <c r="V79" s="340">
        <v>168171.92</v>
      </c>
      <c r="X79" s="341">
        <v>69152.039999999994</v>
      </c>
    </row>
    <row r="80" spans="1:29" x14ac:dyDescent="0.3">
      <c r="A80" s="209" t="s">
        <v>167</v>
      </c>
      <c r="B80" s="211">
        <v>1066.53</v>
      </c>
      <c r="C80" s="600"/>
      <c r="D80" s="212">
        <v>484.86</v>
      </c>
      <c r="E80" s="210"/>
      <c r="F80" s="213">
        <v>872.78</v>
      </c>
      <c r="G80" s="210"/>
      <c r="H80" s="224">
        <v>1904.41</v>
      </c>
      <c r="I80" s="210"/>
      <c r="J80" s="224">
        <v>3049.46</v>
      </c>
      <c r="K80" s="210"/>
      <c r="L80" s="213">
        <v>1261.6199999999999</v>
      </c>
      <c r="M80" s="210"/>
      <c r="N80" s="213">
        <v>1568.39</v>
      </c>
      <c r="O80" s="210"/>
      <c r="P80" s="224">
        <v>1758.39</v>
      </c>
      <c r="Q80" s="210"/>
      <c r="R80" s="224">
        <v>1598.39</v>
      </c>
      <c r="S80" s="210"/>
      <c r="T80" s="212">
        <v>685.35</v>
      </c>
      <c r="U80" s="210"/>
      <c r="V80" s="296">
        <v>2504.9299999999998</v>
      </c>
      <c r="W80" s="210"/>
      <c r="X80" s="264">
        <v>759.5</v>
      </c>
    </row>
    <row r="81" spans="1:29" x14ac:dyDescent="0.3">
      <c r="A81" s="331"/>
      <c r="B81" s="332"/>
      <c r="C81" s="331"/>
      <c r="D81" s="333"/>
      <c r="F81" s="334"/>
      <c r="H81" s="335"/>
      <c r="J81" s="335"/>
      <c r="L81" s="334"/>
      <c r="N81" s="334"/>
      <c r="P81" s="335"/>
      <c r="R81" s="335"/>
      <c r="T81" s="333"/>
    </row>
    <row r="82" spans="1:29" x14ac:dyDescent="0.3">
      <c r="A82" s="205"/>
      <c r="B82" s="205"/>
      <c r="C82" s="205"/>
      <c r="X82" s="165">
        <f>148.64</f>
        <v>148.63999999999999</v>
      </c>
    </row>
    <row r="84" spans="1:29" s="206" customFormat="1" x14ac:dyDescent="0.3">
      <c r="A84" s="206" t="s">
        <v>210</v>
      </c>
      <c r="B84" s="307">
        <f>SUM(B2)</f>
        <v>119969.25</v>
      </c>
      <c r="D84" s="307">
        <f>SUM(D2)</f>
        <v>107397.96</v>
      </c>
      <c r="F84" s="307">
        <f>SUM(F2)</f>
        <v>137010.6</v>
      </c>
      <c r="H84" s="307">
        <f>SUM(H2)</f>
        <v>146130.75</v>
      </c>
      <c r="J84" s="307">
        <f>SUM(J2)</f>
        <v>200537.9</v>
      </c>
      <c r="L84" s="307">
        <f>SUM(L2)</f>
        <v>159769.20000000001</v>
      </c>
      <c r="N84" s="307">
        <f>SUM(N2)</f>
        <v>208407.86000000002</v>
      </c>
      <c r="P84" s="307">
        <f>SUM(P2)</f>
        <v>187415.86000000002</v>
      </c>
      <c r="R84" s="307">
        <f>SUM(R2)</f>
        <v>180450.37</v>
      </c>
      <c r="T84" s="307">
        <f>SUM(T2)</f>
        <v>154265.16</v>
      </c>
      <c r="V84" s="307">
        <f>SUM(V2)</f>
        <v>287303.59000000003</v>
      </c>
      <c r="X84" s="307">
        <f>SUM(X2)</f>
        <v>148152.45000000001</v>
      </c>
      <c r="Z84" s="307">
        <f>SUM(Z2)</f>
        <v>169734.24583333338</v>
      </c>
      <c r="AB84" s="307">
        <f>SUM(AB2)</f>
        <v>2036810.95</v>
      </c>
    </row>
    <row r="85" spans="1:29" s="206" customFormat="1" ht="15" thickBot="1" x14ac:dyDescent="0.35">
      <c r="B85" s="307"/>
      <c r="D85" s="307"/>
      <c r="F85" s="307"/>
      <c r="H85" s="307"/>
      <c r="J85" s="307"/>
      <c r="L85" s="307"/>
      <c r="N85" s="307"/>
      <c r="P85" s="307"/>
      <c r="R85" s="307"/>
      <c r="T85" s="307"/>
      <c r="V85" s="307"/>
      <c r="X85" s="307"/>
      <c r="Z85" s="307"/>
      <c r="AB85" s="307"/>
    </row>
    <row r="86" spans="1:29" x14ac:dyDescent="0.3">
      <c r="A86" s="304"/>
      <c r="B86" s="305"/>
      <c r="C86" s="305"/>
      <c r="D86" s="305"/>
      <c r="E86" s="305"/>
      <c r="F86" s="305"/>
      <c r="G86" s="305"/>
      <c r="H86" s="305"/>
      <c r="I86" s="305"/>
      <c r="J86" s="305"/>
      <c r="K86" s="305"/>
      <c r="L86" s="305"/>
      <c r="M86" s="305"/>
      <c r="N86" s="305"/>
      <c r="O86" s="305"/>
      <c r="P86" s="305"/>
      <c r="Q86" s="305"/>
      <c r="R86" s="305"/>
      <c r="S86" s="305"/>
      <c r="T86" s="305"/>
      <c r="U86" s="305"/>
      <c r="V86" s="305"/>
      <c r="W86" s="305"/>
      <c r="X86" s="305"/>
      <c r="Y86" s="305"/>
      <c r="Z86" s="305"/>
      <c r="AA86" s="305"/>
      <c r="AB86" s="305"/>
    </row>
    <row r="87" spans="1:29" x14ac:dyDescent="0.3">
      <c r="A87" s="366" t="s">
        <v>219</v>
      </c>
    </row>
    <row r="88" spans="1:29" ht="15" thickBot="1" x14ac:dyDescent="0.35">
      <c r="A88" s="344" t="s">
        <v>217</v>
      </c>
      <c r="B88" s="322">
        <f>B2-B6-B15</f>
        <v>52704.779999999992</v>
      </c>
      <c r="C88" s="349"/>
      <c r="D88" s="322">
        <f>D2-D6-D15</f>
        <v>42164.27</v>
      </c>
      <c r="E88" s="351"/>
      <c r="F88" s="292">
        <f>F2-F6-F15</f>
        <v>58176.119999999981</v>
      </c>
      <c r="G88" s="343"/>
      <c r="H88" s="292">
        <f>H2-H6-H15</f>
        <v>82502.22</v>
      </c>
      <c r="I88" s="343"/>
      <c r="J88" s="292">
        <f>J2-J6-J15</f>
        <v>112608.34999999999</v>
      </c>
      <c r="K88" s="343"/>
      <c r="L88" s="292">
        <f>L2-L6-L15</f>
        <v>56225.81</v>
      </c>
      <c r="M88" s="343"/>
      <c r="N88" s="292">
        <f>N2-N6-N15</f>
        <v>113911.47000000002</v>
      </c>
      <c r="O88" s="343"/>
      <c r="P88" s="292">
        <f>P2-P6-P15</f>
        <v>85073.430000000008</v>
      </c>
      <c r="Q88" s="343"/>
      <c r="R88" s="292">
        <f>R2-R6-R15</f>
        <v>66658.01999999999</v>
      </c>
      <c r="S88" s="343"/>
      <c r="T88" s="292">
        <f>T2-T6-T15</f>
        <v>57512.069999999992</v>
      </c>
      <c r="U88" s="343"/>
      <c r="V88" s="292">
        <f>V2-V6-V15</f>
        <v>175454.25000000006</v>
      </c>
      <c r="W88" s="343"/>
      <c r="X88" s="292">
        <f>X2-X6-X15</f>
        <v>-6100.8699999999808</v>
      </c>
      <c r="Y88" s="357"/>
      <c r="Z88" s="307"/>
      <c r="AA88" s="351"/>
      <c r="AB88" s="292">
        <f>AB2-AB6-AB15</f>
        <v>896889.92</v>
      </c>
      <c r="AC88" s="358"/>
    </row>
    <row r="89" spans="1:29" x14ac:dyDescent="0.3">
      <c r="A89" s="345" t="s">
        <v>218</v>
      </c>
      <c r="B89" s="355">
        <f>B88/B84</f>
        <v>0.43931907551310018</v>
      </c>
      <c r="C89" s="350"/>
      <c r="D89" s="355">
        <f>D88/D84</f>
        <v>0.39259842551944185</v>
      </c>
      <c r="E89" s="352"/>
      <c r="F89" s="314">
        <f>F88/F84</f>
        <v>0.42461035861458879</v>
      </c>
      <c r="G89" s="342"/>
      <c r="H89" s="314">
        <f>H88/H84</f>
        <v>0.56457809188004582</v>
      </c>
      <c r="I89" s="342"/>
      <c r="J89" s="314">
        <f>J88/J84</f>
        <v>0.56153151100116239</v>
      </c>
      <c r="K89" s="342"/>
      <c r="L89" s="314">
        <f>L88/L84</f>
        <v>0.35191895559344349</v>
      </c>
      <c r="M89" s="342"/>
      <c r="N89" s="314">
        <f>N88/N84</f>
        <v>0.54657952919817898</v>
      </c>
      <c r="O89" s="342"/>
      <c r="P89" s="314">
        <f>P88/P84</f>
        <v>0.45392865897261842</v>
      </c>
      <c r="Q89" s="342"/>
      <c r="R89" s="314">
        <f>R88/R84</f>
        <v>0.36939807881801512</v>
      </c>
      <c r="S89" s="342"/>
      <c r="T89" s="314">
        <f>T88/T84</f>
        <v>0.37281308365414451</v>
      </c>
      <c r="U89" s="342"/>
      <c r="V89" s="314">
        <f>V88/V84</f>
        <v>0.61069285629184111</v>
      </c>
      <c r="W89" s="342"/>
      <c r="X89" s="314">
        <f>X88/X84</f>
        <v>-4.1179676745136382E-2</v>
      </c>
      <c r="Y89" s="347"/>
      <c r="Z89" s="350"/>
      <c r="AA89" s="350"/>
      <c r="AB89" s="360">
        <f>AB88/AB84</f>
        <v>0.44034028784065604</v>
      </c>
    </row>
    <row r="90" spans="1:29" ht="15" thickBot="1" x14ac:dyDescent="0.35">
      <c r="A90" s="346" t="str">
        <f>A73</f>
        <v>Despesas - Total</v>
      </c>
      <c r="B90" s="318">
        <f>B73</f>
        <v>73160.45</v>
      </c>
      <c r="D90" s="318">
        <f>D73</f>
        <v>102117.46</v>
      </c>
      <c r="E90" s="353"/>
      <c r="F90" s="354">
        <f>F73</f>
        <v>181426.42000000004</v>
      </c>
      <c r="G90" s="340"/>
      <c r="H90" s="354">
        <f>H73</f>
        <v>74147.59</v>
      </c>
      <c r="I90" s="340"/>
      <c r="J90" s="354">
        <f>J73</f>
        <v>89871.5</v>
      </c>
      <c r="K90" s="340"/>
      <c r="L90" s="354">
        <f>L73</f>
        <v>149936.05000000002</v>
      </c>
      <c r="M90" s="340"/>
      <c r="N90" s="354">
        <f>N73</f>
        <v>332210</v>
      </c>
      <c r="O90" s="340"/>
      <c r="P90" s="354">
        <f>P73</f>
        <v>129849.94</v>
      </c>
      <c r="Q90" s="255"/>
      <c r="R90" s="354">
        <f>R73</f>
        <v>220733.92</v>
      </c>
      <c r="S90" s="340"/>
      <c r="T90" s="354">
        <f>T73</f>
        <v>208324.96000000002</v>
      </c>
      <c r="U90" s="340"/>
      <c r="V90" s="354">
        <f>V73</f>
        <v>238662.21000000002</v>
      </c>
      <c r="W90" s="340"/>
      <c r="X90" s="354">
        <f>X73</f>
        <v>224537.02</v>
      </c>
      <c r="Y90" s="348"/>
      <c r="Z90" s="312"/>
      <c r="AB90" s="292">
        <f>B90+D90+F90+H90+J90+L90+N90+P90+R90+T90+V90+X90</f>
        <v>2024977.52</v>
      </c>
    </row>
    <row r="91" spans="1:29" ht="15" thickBot="1" x14ac:dyDescent="0.35">
      <c r="A91" s="356" t="s">
        <v>216</v>
      </c>
      <c r="B91" s="318">
        <f>B6+B15+B56</f>
        <v>73160.45</v>
      </c>
      <c r="D91" s="318">
        <f>D6+D15</f>
        <v>65233.69</v>
      </c>
      <c r="E91" s="175"/>
      <c r="F91" s="318">
        <f>F6+F15</f>
        <v>78834.480000000025</v>
      </c>
      <c r="G91" s="175"/>
      <c r="H91" s="318">
        <f>H6+H15</f>
        <v>63628.53</v>
      </c>
      <c r="I91" s="175"/>
      <c r="J91" s="318">
        <f>J6+J15</f>
        <v>87929.55</v>
      </c>
      <c r="K91" s="175"/>
      <c r="L91" s="318">
        <f>L6+L15</f>
        <v>103543.39</v>
      </c>
      <c r="M91" s="175"/>
      <c r="N91" s="318">
        <f>N6+N15</f>
        <v>94496.389999999985</v>
      </c>
      <c r="O91" s="175"/>
      <c r="P91" s="318">
        <f>P6+P15</f>
        <v>102342.43000000001</v>
      </c>
      <c r="Q91" s="175"/>
      <c r="R91" s="318">
        <f>R6+R15</f>
        <v>113792.35</v>
      </c>
      <c r="S91" s="175"/>
      <c r="T91" s="318">
        <f>T6+T15</f>
        <v>96753.090000000011</v>
      </c>
      <c r="U91" s="175"/>
      <c r="V91" s="318">
        <f>V6+V15</f>
        <v>111849.34000000001</v>
      </c>
      <c r="W91" s="175"/>
      <c r="X91" s="318">
        <f>X6+X15</f>
        <v>154253.32</v>
      </c>
      <c r="AB91" s="359">
        <f>B91+D91+F91+H91+J91+L91+N91+P91+R91+T91+V91+X91</f>
        <v>1145817.01</v>
      </c>
    </row>
  </sheetData>
  <protectedRanges>
    <protectedRange algorithmName="SHA-512" hashValue="KiP8vB2P0y7yMy9S7nNcjUu9byIf+jQ/6dXJiUCJBkcoOq/dvHzW+F8dBDUPpOUaErAMTbnnddRa1jMvEiSlAQ==" saltValue="7TY3ln36oRVa6uwwWG8evw==" spinCount="100000" sqref="A2:AE2" name="Intervalo1"/>
  </protectedRanges>
  <mergeCells count="2">
    <mergeCell ref="C78:C80"/>
    <mergeCell ref="AG1:AJ1"/>
  </mergeCells>
  <conditionalFormatting sqref="D88:AB88 C89:AB89 F90:X90">
    <cfRule type="cellIs" dxfId="14" priority="1" operator="lessThan">
      <formula>0</formula>
    </cfRule>
  </conditionalFormatting>
  <conditionalFormatting sqref="F70:X71 B70:B75 D70:D75 E72:X72 F73:X75 B88:B90 D90">
    <cfRule type="cellIs" dxfId="13" priority="4" operator="lessThan">
      <formula>0</formula>
    </cfRule>
  </conditionalFormatting>
  <conditionalFormatting sqref="Z64:AC65 B64:Y67 AB66:AC67">
    <cfRule type="cellIs" dxfId="12" priority="5" operator="lessThan">
      <formula>0</formula>
    </cfRule>
  </conditionalFormatting>
  <conditionalFormatting sqref="AA64:AA65">
    <cfRule type="cellIs" dxfId="11" priority="2" operator="greaterThan">
      <formula>0.9961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72544-E151-4033-8D63-AC512E02BA6E}">
  <sheetPr>
    <tabColor rgb="FFFFC000"/>
  </sheetPr>
  <dimension ref="A1:AM103"/>
  <sheetViews>
    <sheetView zoomScale="90" zoomScaleNormal="90" workbookViewId="0">
      <pane xSplit="1" ySplit="1" topLeftCell="P52" activePane="bottomRight" state="frozen"/>
      <selection pane="topRight" activeCell="B1" sqref="B1"/>
      <selection pane="bottomLeft" activeCell="A2" sqref="A2"/>
      <selection pane="bottomRight" activeCell="AE60" sqref="AE60"/>
    </sheetView>
  </sheetViews>
  <sheetFormatPr defaultColWidth="9.109375" defaultRowHeight="14.4" x14ac:dyDescent="0.3"/>
  <cols>
    <col min="1" max="1" width="20" style="372" customWidth="1"/>
    <col min="2" max="2" width="11.5546875" style="372" bestFit="1" customWidth="1"/>
    <col min="3" max="3" width="7" style="372" bestFit="1" customWidth="1"/>
    <col min="4" max="4" width="11.5546875" style="372" bestFit="1" customWidth="1"/>
    <col min="5" max="5" width="7" style="372" bestFit="1" customWidth="1"/>
    <col min="6" max="6" width="11.5546875" style="372" bestFit="1" customWidth="1"/>
    <col min="7" max="7" width="7" style="372" bestFit="1" customWidth="1"/>
    <col min="8" max="8" width="11.5546875" style="372" bestFit="1" customWidth="1"/>
    <col min="9" max="9" width="7" style="372" bestFit="1" customWidth="1"/>
    <col min="10" max="10" width="11.5546875" style="372" bestFit="1" customWidth="1"/>
    <col min="11" max="11" width="9.109375" style="372"/>
    <col min="12" max="12" width="11.5546875" style="372" bestFit="1" customWidth="1"/>
    <col min="13" max="13" width="9.109375" style="372"/>
    <col min="14" max="14" width="11.5546875" style="372" bestFit="1" customWidth="1"/>
    <col min="15" max="15" width="9.109375" style="372"/>
    <col min="16" max="16" width="11.5546875" style="372" bestFit="1" customWidth="1"/>
    <col min="17" max="17" width="9.109375" style="372"/>
    <col min="18" max="18" width="11.5546875" style="372" bestFit="1" customWidth="1"/>
    <col min="19" max="19" width="9.109375" style="372"/>
    <col min="20" max="20" width="11.5546875" style="372" bestFit="1" customWidth="1"/>
    <col min="21" max="21" width="9.109375" style="372"/>
    <col min="22" max="22" width="11.5546875" style="372" bestFit="1" customWidth="1"/>
    <col min="23" max="23" width="9.109375" style="372"/>
    <col min="24" max="24" width="11.5546875" style="372" bestFit="1" customWidth="1"/>
    <col min="25" max="25" width="9.109375" style="372"/>
    <col min="26" max="26" width="12.5546875" style="372" bestFit="1" customWidth="1"/>
    <col min="27" max="27" width="9.109375" style="372"/>
    <col min="28" max="28" width="12.6640625" style="372" bestFit="1" customWidth="1"/>
    <col min="29" max="16384" width="9.109375" style="372"/>
  </cols>
  <sheetData>
    <row r="1" spans="1:39" x14ac:dyDescent="0.3">
      <c r="A1" s="378"/>
      <c r="B1" s="379" t="s">
        <v>31</v>
      </c>
      <c r="C1" s="380" t="s">
        <v>32</v>
      </c>
      <c r="D1" s="379" t="s">
        <v>33</v>
      </c>
      <c r="E1" s="380" t="s">
        <v>32</v>
      </c>
      <c r="F1" s="379" t="s">
        <v>34</v>
      </c>
      <c r="G1" s="380" t="s">
        <v>32</v>
      </c>
      <c r="H1" s="379" t="s">
        <v>35</v>
      </c>
      <c r="I1" s="380" t="s">
        <v>32</v>
      </c>
      <c r="J1" s="379" t="s">
        <v>36</v>
      </c>
      <c r="K1" s="381" t="s">
        <v>32</v>
      </c>
      <c r="L1" s="379" t="s">
        <v>37</v>
      </c>
      <c r="M1" s="381" t="s">
        <v>32</v>
      </c>
      <c r="N1" s="379" t="s">
        <v>38</v>
      </c>
      <c r="O1" s="381" t="s">
        <v>32</v>
      </c>
      <c r="P1" s="379" t="s">
        <v>39</v>
      </c>
      <c r="Q1" s="381" t="s">
        <v>32</v>
      </c>
      <c r="R1" s="379" t="s">
        <v>40</v>
      </c>
      <c r="S1" s="381" t="s">
        <v>32</v>
      </c>
      <c r="T1" s="379" t="s">
        <v>41</v>
      </c>
      <c r="U1" s="381" t="s">
        <v>32</v>
      </c>
      <c r="V1" s="379" t="s">
        <v>101</v>
      </c>
      <c r="W1" s="381" t="s">
        <v>32</v>
      </c>
      <c r="X1" s="379" t="s">
        <v>102</v>
      </c>
      <c r="Y1" s="381" t="s">
        <v>32</v>
      </c>
      <c r="Z1" s="382" t="s">
        <v>43</v>
      </c>
      <c r="AA1" s="383" t="s">
        <v>32</v>
      </c>
      <c r="AB1" s="384" t="s">
        <v>132</v>
      </c>
      <c r="AC1" s="385"/>
      <c r="AD1" s="386"/>
      <c r="AE1" s="387" t="s">
        <v>45</v>
      </c>
      <c r="AG1" s="602" t="s">
        <v>229</v>
      </c>
      <c r="AH1" s="602"/>
      <c r="AI1" s="602"/>
      <c r="AJ1" s="602"/>
      <c r="AK1" s="602"/>
      <c r="AL1" s="602"/>
      <c r="AM1" s="602"/>
    </row>
    <row r="2" spans="1:39" x14ac:dyDescent="0.3">
      <c r="A2" s="388" t="s">
        <v>6</v>
      </c>
      <c r="B2" s="389">
        <f>SUM(B3:B5)</f>
        <v>229690.66</v>
      </c>
      <c r="C2" s="390">
        <v>1</v>
      </c>
      <c r="D2" s="389">
        <f>SUM(D3:D4)</f>
        <v>178360.31</v>
      </c>
      <c r="E2" s="390">
        <v>1</v>
      </c>
      <c r="F2" s="389">
        <f>SUM(F3:F5)</f>
        <v>218031.4</v>
      </c>
      <c r="G2" s="390">
        <v>1</v>
      </c>
      <c r="H2" s="389">
        <f>SUM(H3:H5)</f>
        <v>183170.83</v>
      </c>
      <c r="I2" s="390">
        <v>1</v>
      </c>
      <c r="J2" s="389">
        <f>SUM(J3:J5)</f>
        <v>282500.28999999998</v>
      </c>
      <c r="K2" s="390">
        <v>1</v>
      </c>
      <c r="L2" s="389">
        <f>SUM(L3:L5)</f>
        <v>290420.3</v>
      </c>
      <c r="M2" s="390">
        <v>1</v>
      </c>
      <c r="N2" s="389">
        <f>SUM(N3:N5)</f>
        <v>247749.71000000002</v>
      </c>
      <c r="O2" s="390">
        <v>1</v>
      </c>
      <c r="P2" s="389">
        <f>SUM(P3:P5)</f>
        <v>262375.36</v>
      </c>
      <c r="Q2" s="390">
        <v>1</v>
      </c>
      <c r="R2" s="389">
        <f>SUM(R3:R5)</f>
        <v>221143.67</v>
      </c>
      <c r="S2" s="390">
        <v>1</v>
      </c>
      <c r="T2" s="389">
        <f>SUM(T3:T5)</f>
        <v>263022.90000000002</v>
      </c>
      <c r="U2" s="390">
        <v>1</v>
      </c>
      <c r="V2" s="389">
        <f>SUM(V3:V5)</f>
        <v>258014.46</v>
      </c>
      <c r="W2" s="390">
        <v>1</v>
      </c>
      <c r="X2" s="389">
        <f>SUM(X3:X5)</f>
        <v>261123.34</v>
      </c>
      <c r="Y2" s="390">
        <v>1</v>
      </c>
      <c r="Z2" s="391">
        <f>(B2+D2+F2+H2+J2+L2+N2+P2+R2+T2+V2+X2)/AE$2</f>
        <v>241300.26916666664</v>
      </c>
      <c r="AA2" s="392">
        <v>1</v>
      </c>
      <c r="AB2" s="389">
        <f>SUM(AB3:AB5)</f>
        <v>2895603.2300000004</v>
      </c>
      <c r="AC2" s="393">
        <v>1</v>
      </c>
      <c r="AD2" s="394"/>
      <c r="AE2" s="395">
        <f>COUNTIF(B2:Y2,"&gt;1")</f>
        <v>12</v>
      </c>
    </row>
    <row r="3" spans="1:39" x14ac:dyDescent="0.3">
      <c r="A3" s="396" t="s">
        <v>27</v>
      </c>
      <c r="B3" s="396">
        <v>229690.66</v>
      </c>
      <c r="C3" s="397">
        <f t="shared" ref="C3:C10" si="0">B3/B$2</f>
        <v>1</v>
      </c>
      <c r="D3" s="396">
        <v>178360.31</v>
      </c>
      <c r="E3" s="397">
        <f t="shared" ref="E3:E10" si="1">D3/D$2</f>
        <v>1</v>
      </c>
      <c r="F3" s="396">
        <f>218031.4</f>
        <v>218031.4</v>
      </c>
      <c r="G3" s="397">
        <f t="shared" ref="G3:G10" si="2">F3/F$2</f>
        <v>1</v>
      </c>
      <c r="H3" s="396">
        <v>183170.83</v>
      </c>
      <c r="I3" s="397">
        <f t="shared" ref="I3:I10" si="3">H3/H$2</f>
        <v>1</v>
      </c>
      <c r="J3" s="396">
        <v>282500.28999999998</v>
      </c>
      <c r="K3" s="397">
        <f t="shared" ref="K3:K10" si="4">J3/J$2</f>
        <v>1</v>
      </c>
      <c r="L3" s="396">
        <v>260108.53</v>
      </c>
      <c r="M3" s="397">
        <f t="shared" ref="M3:M10" si="5">L3/L$2</f>
        <v>0.89562792270375047</v>
      </c>
      <c r="N3" s="396">
        <v>246732.7</v>
      </c>
      <c r="O3" s="397">
        <f t="shared" ref="O3:O10" si="6">N3/N$2</f>
        <v>0.99589501033119265</v>
      </c>
      <c r="P3" s="396">
        <v>262375.36</v>
      </c>
      <c r="Q3" s="397">
        <f t="shared" ref="Q3:Q10" si="7">P3/P$2</f>
        <v>1</v>
      </c>
      <c r="R3" s="396">
        <v>221143.67</v>
      </c>
      <c r="S3" s="397">
        <f t="shared" ref="S3:S10" si="8">R3/R$2</f>
        <v>1</v>
      </c>
      <c r="T3" s="396">
        <v>263022.90000000002</v>
      </c>
      <c r="U3" s="397">
        <f t="shared" ref="U3:U10" si="9">T3/T$2</f>
        <v>1</v>
      </c>
      <c r="V3" s="396">
        <v>254962.62</v>
      </c>
      <c r="W3" s="397">
        <f t="shared" ref="W3:W10" si="10">V3/V$2</f>
        <v>0.98817182571860507</v>
      </c>
      <c r="X3" s="396">
        <v>261123.34</v>
      </c>
      <c r="Y3" s="397">
        <f t="shared" ref="Y3:Y10" si="11">X3/X$2</f>
        <v>1</v>
      </c>
      <c r="Z3" s="398">
        <f t="shared" ref="Z3:Z5" si="12">(B3+D3+F3+H3+J3+L3+N3+P3+R3+T3+V3+X3)/AE$2</f>
        <v>238435.2175</v>
      </c>
      <c r="AA3" s="397">
        <f>Z3/Z$2</f>
        <v>0.9881266122223521</v>
      </c>
      <c r="AB3" s="399">
        <f>L3+N3+P3+R3+T3+V3+X3+J3+H3+F3+D3+B3</f>
        <v>2861222.6100000003</v>
      </c>
      <c r="AC3" s="400">
        <f>AB3/AB$2</f>
        <v>0.98812661222235199</v>
      </c>
      <c r="AD3" s="386"/>
      <c r="AE3" s="401"/>
    </row>
    <row r="4" spans="1:39" x14ac:dyDescent="0.3">
      <c r="A4" s="396" t="s">
        <v>230</v>
      </c>
      <c r="B4" s="396"/>
      <c r="C4" s="397">
        <f t="shared" si="0"/>
        <v>0</v>
      </c>
      <c r="D4" s="396"/>
      <c r="E4" s="397">
        <f t="shared" si="1"/>
        <v>0</v>
      </c>
      <c r="F4" s="396"/>
      <c r="G4" s="397">
        <f t="shared" si="2"/>
        <v>0</v>
      </c>
      <c r="H4" s="396"/>
      <c r="I4" s="397">
        <f t="shared" si="3"/>
        <v>0</v>
      </c>
      <c r="J4" s="396"/>
      <c r="K4" s="397">
        <f t="shared" si="4"/>
        <v>0</v>
      </c>
      <c r="L4" s="396">
        <v>30311.77</v>
      </c>
      <c r="M4" s="397">
        <f t="shared" si="5"/>
        <v>0.10437207729624962</v>
      </c>
      <c r="N4" s="396">
        <v>971.04</v>
      </c>
      <c r="O4" s="397">
        <f t="shared" si="6"/>
        <v>3.9194395020684383E-3</v>
      </c>
      <c r="P4" s="396"/>
      <c r="Q4" s="397">
        <f t="shared" si="7"/>
        <v>0</v>
      </c>
      <c r="R4" s="396"/>
      <c r="S4" s="397">
        <f t="shared" si="8"/>
        <v>0</v>
      </c>
      <c r="T4" s="396"/>
      <c r="U4" s="397">
        <f t="shared" si="9"/>
        <v>0</v>
      </c>
      <c r="V4" s="396">
        <v>3051.84</v>
      </c>
      <c r="W4" s="397">
        <f t="shared" si="10"/>
        <v>1.1828174281394927E-2</v>
      </c>
      <c r="X4" s="396"/>
      <c r="Y4" s="397">
        <f t="shared" si="11"/>
        <v>0</v>
      </c>
      <c r="Z4" s="398">
        <f t="shared" si="12"/>
        <v>2861.2208333333333</v>
      </c>
      <c r="AA4" s="397">
        <f t="shared" ref="AA4:AA71" si="13">Z4/Z$2</f>
        <v>1.1857511983781011E-2</v>
      </c>
      <c r="AB4" s="399">
        <f>L4+N4+P4+R4+T4+V4+X4+J4+H4+F4+D4+B4</f>
        <v>34334.65</v>
      </c>
      <c r="AC4" s="400">
        <f>AB4/AB$2</f>
        <v>1.1857511983781009E-2</v>
      </c>
      <c r="AD4" s="386"/>
      <c r="AE4" s="401"/>
    </row>
    <row r="5" spans="1:39" x14ac:dyDescent="0.3">
      <c r="A5" s="396" t="s">
        <v>195</v>
      </c>
      <c r="B5" s="396"/>
      <c r="C5" s="397">
        <f t="shared" si="0"/>
        <v>0</v>
      </c>
      <c r="D5" s="396"/>
      <c r="E5" s="397">
        <f t="shared" si="1"/>
        <v>0</v>
      </c>
      <c r="F5" s="396"/>
      <c r="G5" s="397">
        <f t="shared" si="2"/>
        <v>0</v>
      </c>
      <c r="H5" s="396"/>
      <c r="I5" s="397">
        <f t="shared" si="3"/>
        <v>0</v>
      </c>
      <c r="J5" s="396"/>
      <c r="K5" s="397">
        <f t="shared" si="4"/>
        <v>0</v>
      </c>
      <c r="L5" s="396"/>
      <c r="M5" s="397">
        <f t="shared" si="5"/>
        <v>0</v>
      </c>
      <c r="N5" s="396">
        <v>45.97</v>
      </c>
      <c r="O5" s="397">
        <f t="shared" si="6"/>
        <v>1.8555016673884299E-4</v>
      </c>
      <c r="P5" s="396"/>
      <c r="Q5" s="397">
        <f t="shared" si="7"/>
        <v>0</v>
      </c>
      <c r="R5" s="396"/>
      <c r="S5" s="397">
        <f t="shared" si="8"/>
        <v>0</v>
      </c>
      <c r="T5" s="396"/>
      <c r="U5" s="397">
        <f t="shared" si="9"/>
        <v>0</v>
      </c>
      <c r="V5" s="396"/>
      <c r="W5" s="397">
        <f t="shared" si="10"/>
        <v>0</v>
      </c>
      <c r="X5" s="396"/>
      <c r="Y5" s="397">
        <f t="shared" si="11"/>
        <v>0</v>
      </c>
      <c r="Z5" s="398">
        <f t="shared" si="12"/>
        <v>3.8308333333333331</v>
      </c>
      <c r="AA5" s="397">
        <f t="shared" si="13"/>
        <v>1.5875793866965678E-5</v>
      </c>
      <c r="AB5" s="399">
        <f>L5+N5+P5+R5+T5+V5+X5+J5+H5+F5+D5+B5</f>
        <v>45.97</v>
      </c>
      <c r="AC5" s="400">
        <f>AB5/AB$2</f>
        <v>1.5875793866965671E-5</v>
      </c>
      <c r="AD5" s="386"/>
      <c r="AE5" s="401"/>
    </row>
    <row r="6" spans="1:39" x14ac:dyDescent="0.3">
      <c r="A6" s="388" t="s">
        <v>105</v>
      </c>
      <c r="B6" s="389">
        <f>SUBTOTAL(9,B7:B14)</f>
        <v>23022.98</v>
      </c>
      <c r="C6" s="390">
        <f t="shared" si="0"/>
        <v>0.10023472438975098</v>
      </c>
      <c r="D6" s="389">
        <f>SUBTOTAL(9,D7:D14)</f>
        <v>33636.340000000004</v>
      </c>
      <c r="E6" s="390">
        <f t="shared" si="1"/>
        <v>0.18858646298607579</v>
      </c>
      <c r="F6" s="389">
        <f>SUBTOTAL(9,F7:F14)</f>
        <v>28500.28</v>
      </c>
      <c r="G6" s="390">
        <f t="shared" si="2"/>
        <v>0.13071640139906454</v>
      </c>
      <c r="H6" s="389">
        <f>SUBTOTAL(9,H7:H14)</f>
        <v>35507.280000000006</v>
      </c>
      <c r="I6" s="390">
        <f t="shared" si="3"/>
        <v>0.19384789597776025</v>
      </c>
      <c r="J6" s="389">
        <f>SUBTOTAL(9,J7:J14)</f>
        <v>29574.350000000002</v>
      </c>
      <c r="K6" s="390">
        <f t="shared" si="4"/>
        <v>0.10468785713458915</v>
      </c>
      <c r="L6" s="389">
        <f>SUBTOTAL(9,L7:L14)</f>
        <v>46045.899999999994</v>
      </c>
      <c r="M6" s="390">
        <f t="shared" si="5"/>
        <v>0.15854917855260117</v>
      </c>
      <c r="N6" s="389">
        <f>SUBTOTAL(9,N7:N15)</f>
        <v>42723.41</v>
      </c>
      <c r="O6" s="390">
        <f t="shared" si="6"/>
        <v>0.17244585271159349</v>
      </c>
      <c r="P6" s="389">
        <f>SUBTOTAL(9,P7:P15)</f>
        <v>48886.09</v>
      </c>
      <c r="Q6" s="390">
        <f t="shared" si="7"/>
        <v>0.18632119266077424</v>
      </c>
      <c r="R6" s="389">
        <f>SUBTOTAL(9,R7:R15)</f>
        <v>48757.070000000007</v>
      </c>
      <c r="S6" s="390">
        <f t="shared" si="8"/>
        <v>0.22047689630908271</v>
      </c>
      <c r="T6" s="389">
        <f>SUBTOTAL(9,T7:T15)</f>
        <v>46246.35</v>
      </c>
      <c r="U6" s="390">
        <f t="shared" si="9"/>
        <v>0.17582632538839771</v>
      </c>
      <c r="V6" s="389">
        <f>SUBTOTAL(9,V7:V15)</f>
        <v>51673.599999999999</v>
      </c>
      <c r="W6" s="390">
        <f t="shared" si="10"/>
        <v>0.20027404665614479</v>
      </c>
      <c r="X6" s="389">
        <f>SUBTOTAL(9,X7:X15)</f>
        <v>52136.47</v>
      </c>
      <c r="Y6" s="390">
        <f t="shared" si="11"/>
        <v>0.19966223624437401</v>
      </c>
      <c r="Z6" s="391">
        <f>(B6+D6+F6+H6+J6+L6+N6+P6+R6+T6+V6+X6)/AE$2</f>
        <v>40559.176666666666</v>
      </c>
      <c r="AA6" s="390">
        <f>Z6/Z$2</f>
        <v>0.16808591555549551</v>
      </c>
      <c r="AB6" s="389">
        <f>SUBTOTAL(9,AB7:AB15)</f>
        <v>486710.11999999988</v>
      </c>
      <c r="AC6" s="402">
        <f>AB6/AB$2</f>
        <v>0.16808591555549543</v>
      </c>
      <c r="AD6" s="386"/>
      <c r="AE6" s="403"/>
    </row>
    <row r="7" spans="1:39" x14ac:dyDescent="0.3">
      <c r="A7" s="404" t="s">
        <v>162</v>
      </c>
      <c r="B7" s="404">
        <v>20874.78</v>
      </c>
      <c r="C7" s="397">
        <f t="shared" si="0"/>
        <v>9.0882145577882878E-2</v>
      </c>
      <c r="D7" s="404">
        <v>30178.69</v>
      </c>
      <c r="E7" s="397">
        <f t="shared" si="1"/>
        <v>0.16920070390099681</v>
      </c>
      <c r="F7" s="404">
        <v>24692.62</v>
      </c>
      <c r="G7" s="397">
        <f t="shared" si="2"/>
        <v>0.1132525865540468</v>
      </c>
      <c r="H7" s="404">
        <v>29722.97</v>
      </c>
      <c r="I7" s="397">
        <f t="shared" si="3"/>
        <v>0.16226912330964491</v>
      </c>
      <c r="J7" s="404">
        <v>25661.18</v>
      </c>
      <c r="K7" s="397">
        <f t="shared" si="4"/>
        <v>9.0835942150714263E-2</v>
      </c>
      <c r="L7" s="404">
        <v>37840.1</v>
      </c>
      <c r="M7" s="397">
        <f t="shared" si="5"/>
        <v>0.13029426661979207</v>
      </c>
      <c r="N7" s="404">
        <v>35401.72</v>
      </c>
      <c r="O7" s="397">
        <f t="shared" si="6"/>
        <v>0.14289308350754476</v>
      </c>
      <c r="P7" s="404">
        <v>34430.839999999997</v>
      </c>
      <c r="Q7" s="397">
        <f t="shared" si="7"/>
        <v>0.13122741403765964</v>
      </c>
      <c r="R7" s="404">
        <v>39002.51</v>
      </c>
      <c r="S7" s="397">
        <f t="shared" si="8"/>
        <v>0.17636729100136575</v>
      </c>
      <c r="T7" s="404">
        <v>32604.05</v>
      </c>
      <c r="U7" s="397">
        <f t="shared" si="9"/>
        <v>0.123958978476779</v>
      </c>
      <c r="V7" s="404">
        <v>37239.61</v>
      </c>
      <c r="W7" s="397">
        <f t="shared" si="10"/>
        <v>0.14433148436719401</v>
      </c>
      <c r="X7" s="404">
        <v>38126.629999999997</v>
      </c>
      <c r="Y7" s="397">
        <f t="shared" si="11"/>
        <v>0.14601004261051501</v>
      </c>
      <c r="Z7" s="398">
        <f>(B7+D7+F7+H7+J7+L7+N7+P7+R7+T7+V7+X7)/AE$2</f>
        <v>32147.974999999995</v>
      </c>
      <c r="AA7" s="397">
        <f t="shared" si="13"/>
        <v>0.13322809423720666</v>
      </c>
      <c r="AB7" s="399">
        <f>L7+N7+P7+R7+T7+V7+X7+J7+H7+F7+D7+B7</f>
        <v>385775.69999999995</v>
      </c>
      <c r="AC7" s="400">
        <f>AB7/AB$2</f>
        <v>0.13322809423720663</v>
      </c>
      <c r="AD7" s="386"/>
      <c r="AE7" s="386"/>
    </row>
    <row r="8" spans="1:39" x14ac:dyDescent="0.3">
      <c r="A8" s="404" t="s">
        <v>26</v>
      </c>
      <c r="B8" s="404">
        <f>SUBTOTAL(9,B10:B14)</f>
        <v>2148.1999999999998</v>
      </c>
      <c r="C8" s="397">
        <f t="shared" si="0"/>
        <v>9.3525788118681008E-3</v>
      </c>
      <c r="D8" s="404">
        <f>SUBTOTAL(9,D10:D14)</f>
        <v>3457.65</v>
      </c>
      <c r="E8" s="397">
        <f t="shared" si="1"/>
        <v>1.9385759085078964E-2</v>
      </c>
      <c r="F8" s="404">
        <f>SUBTOTAL(9,F10:F14)</f>
        <v>3807.66</v>
      </c>
      <c r="G8" s="397">
        <f t="shared" si="2"/>
        <v>1.7463814845017737E-2</v>
      </c>
      <c r="H8" s="404">
        <f>SUBTOTAL(9,H10:H14)</f>
        <v>5784.31</v>
      </c>
      <c r="I8" s="397">
        <f t="shared" si="3"/>
        <v>3.1578772668115339E-2</v>
      </c>
      <c r="J8" s="404">
        <f>SUBTOTAL(9,J10:J14)</f>
        <v>3913.17</v>
      </c>
      <c r="K8" s="397">
        <f t="shared" si="4"/>
        <v>1.3851914983874884E-2</v>
      </c>
      <c r="L8" s="404">
        <f>SUBTOTAL(9,L10:L14)</f>
        <v>8205.7999999999993</v>
      </c>
      <c r="M8" s="397">
        <f t="shared" si="5"/>
        <v>2.8254911932809105E-2</v>
      </c>
      <c r="N8" s="404">
        <f>SUBTOTAL(9,N10:N15)</f>
        <v>7321.69</v>
      </c>
      <c r="O8" s="397">
        <f t="shared" si="6"/>
        <v>2.9552769204048712E-2</v>
      </c>
      <c r="P8" s="404">
        <f>SUBTOTAL(9,P9:P15)</f>
        <v>14455.25</v>
      </c>
      <c r="Q8" s="397">
        <f t="shared" si="7"/>
        <v>5.5093778623114611E-2</v>
      </c>
      <c r="R8" s="396">
        <f>SUBTOTAL(9,R9:R15)</f>
        <v>9754.56</v>
      </c>
      <c r="S8" s="397">
        <f t="shared" si="8"/>
        <v>4.4109605307716918E-2</v>
      </c>
      <c r="T8" s="404">
        <f>SUBTOTAL(9,T9:T15)</f>
        <v>13642.300000000001</v>
      </c>
      <c r="U8" s="397">
        <f t="shared" si="9"/>
        <v>5.186734691161872E-2</v>
      </c>
      <c r="V8" s="404">
        <f>SUBTOTAL(9,V9:V15)</f>
        <v>14433.99</v>
      </c>
      <c r="W8" s="397">
        <f t="shared" si="10"/>
        <v>5.5942562288950781E-2</v>
      </c>
      <c r="X8" s="404">
        <f>SUBTOTAL(9,X9:X15)</f>
        <v>14009.840000000002</v>
      </c>
      <c r="Y8" s="397">
        <f t="shared" si="11"/>
        <v>5.3652193633859015E-2</v>
      </c>
      <c r="Z8" s="398">
        <f t="shared" ref="Z8:Z20" si="14">(B8+D8+F8+H8+J8+L8+N8+P8+R8+T8+V8+X8)/AE$2</f>
        <v>8411.2016666666659</v>
      </c>
      <c r="AA8" s="397">
        <f t="shared" si="13"/>
        <v>3.485782131828883E-2</v>
      </c>
      <c r="AB8" s="399">
        <f>SUBTOTAL(9,AB9:AB15)</f>
        <v>100934.42</v>
      </c>
      <c r="AC8" s="400">
        <f t="shared" ref="AC8:AC15" si="15">AB8/AB$2</f>
        <v>3.4857821318288823E-2</v>
      </c>
      <c r="AD8" s="386"/>
      <c r="AE8" s="386"/>
    </row>
    <row r="9" spans="1:39" x14ac:dyDescent="0.3">
      <c r="A9" s="404" t="s">
        <v>231</v>
      </c>
      <c r="B9" s="404"/>
      <c r="C9" s="397"/>
      <c r="D9" s="404"/>
      <c r="E9" s="397"/>
      <c r="F9" s="404"/>
      <c r="G9" s="397"/>
      <c r="H9" s="404"/>
      <c r="I9" s="397"/>
      <c r="J9" s="404"/>
      <c r="K9" s="397"/>
      <c r="L9" s="404"/>
      <c r="M9" s="397"/>
      <c r="N9" s="404"/>
      <c r="O9" s="397"/>
      <c r="P9" s="404">
        <v>1928.18</v>
      </c>
      <c r="Q9" s="397"/>
      <c r="R9" s="404">
        <v>3272.64</v>
      </c>
      <c r="S9" s="397"/>
      <c r="T9" s="404">
        <v>7218.97</v>
      </c>
      <c r="U9" s="397"/>
      <c r="V9" s="404">
        <v>8328.4500000000007</v>
      </c>
      <c r="W9" s="397"/>
      <c r="X9" s="404">
        <v>6131.36</v>
      </c>
      <c r="Y9" s="397"/>
      <c r="Z9" s="398">
        <f t="shared" si="14"/>
        <v>2239.9666666666667</v>
      </c>
      <c r="AA9" s="397">
        <f t="shared" si="13"/>
        <v>9.2829016494777161E-3</v>
      </c>
      <c r="AB9" s="399">
        <f>L9+N9+P9+R9+T9+V9+X9+J9+H9+F9+D9+B9</f>
        <v>26879.600000000002</v>
      </c>
      <c r="AC9" s="400">
        <f t="shared" si="15"/>
        <v>9.2829016494777143E-3</v>
      </c>
      <c r="AD9" s="386"/>
      <c r="AE9" s="386"/>
    </row>
    <row r="10" spans="1:39" x14ac:dyDescent="0.3">
      <c r="A10" s="404" t="s">
        <v>232</v>
      </c>
      <c r="B10" s="404"/>
      <c r="C10" s="397">
        <f t="shared" si="0"/>
        <v>0</v>
      </c>
      <c r="D10" s="404"/>
      <c r="E10" s="397">
        <f t="shared" si="1"/>
        <v>0</v>
      </c>
      <c r="F10" s="404"/>
      <c r="G10" s="397">
        <f t="shared" si="2"/>
        <v>0</v>
      </c>
      <c r="H10" s="404"/>
      <c r="I10" s="397">
        <f t="shared" si="3"/>
        <v>0</v>
      </c>
      <c r="J10" s="404"/>
      <c r="K10" s="397">
        <f t="shared" si="4"/>
        <v>0</v>
      </c>
      <c r="L10" s="404"/>
      <c r="M10" s="397">
        <f t="shared" si="5"/>
        <v>0</v>
      </c>
      <c r="N10" s="404"/>
      <c r="O10" s="397">
        <f t="shared" si="6"/>
        <v>0</v>
      </c>
      <c r="P10" s="404">
        <v>500</v>
      </c>
      <c r="Q10" s="397">
        <f t="shared" si="7"/>
        <v>1.9056667516339949E-3</v>
      </c>
      <c r="R10" s="396">
        <v>500</v>
      </c>
      <c r="S10" s="397">
        <f t="shared" si="8"/>
        <v>2.2609736014600821E-3</v>
      </c>
      <c r="T10" s="404">
        <v>500</v>
      </c>
      <c r="U10" s="397">
        <f t="shared" si="9"/>
        <v>1.9009751622387251E-3</v>
      </c>
      <c r="V10" s="404">
        <v>500</v>
      </c>
      <c r="W10" s="397">
        <f t="shared" si="10"/>
        <v>1.9378758849407122E-3</v>
      </c>
      <c r="X10" s="404">
        <f>500+458.8</f>
        <v>958.8</v>
      </c>
      <c r="Y10" s="397">
        <f t="shared" si="11"/>
        <v>3.6718280334496335E-3</v>
      </c>
      <c r="Z10" s="398">
        <f t="shared" si="14"/>
        <v>246.56666666666669</v>
      </c>
      <c r="AA10" s="397">
        <f t="shared" si="13"/>
        <v>1.0218250792599097E-3</v>
      </c>
      <c r="AB10" s="399">
        <f t="shared" ref="AB10:AB15" si="16">L10+N10+P10+R10+T10+V10+X10+J10+H10+F10+D10+B10</f>
        <v>2958.8</v>
      </c>
      <c r="AC10" s="400">
        <f t="shared" si="15"/>
        <v>1.0218250792599095E-3</v>
      </c>
      <c r="AD10" s="386"/>
      <c r="AE10" s="386"/>
    </row>
    <row r="11" spans="1:39" x14ac:dyDescent="0.3">
      <c r="A11" s="404" t="s">
        <v>204</v>
      </c>
      <c r="B11" s="404">
        <v>174.15</v>
      </c>
      <c r="C11" s="397"/>
      <c r="D11" s="404">
        <v>302.08</v>
      </c>
      <c r="E11" s="397"/>
      <c r="F11" s="404">
        <v>509.14</v>
      </c>
      <c r="G11" s="397"/>
      <c r="H11" s="404">
        <f>952.36</f>
        <v>952.36</v>
      </c>
      <c r="I11" s="397"/>
      <c r="J11" s="404">
        <v>476.61</v>
      </c>
      <c r="K11" s="397"/>
      <c r="L11" s="404">
        <v>2166.6999999999998</v>
      </c>
      <c r="M11" s="397"/>
      <c r="N11" s="404"/>
      <c r="O11" s="397"/>
      <c r="P11" s="404">
        <v>2605.94</v>
      </c>
      <c r="Q11" s="397"/>
      <c r="R11" s="404"/>
      <c r="S11" s="397"/>
      <c r="T11" s="404"/>
      <c r="U11" s="397"/>
      <c r="V11" s="404"/>
      <c r="W11" s="397"/>
      <c r="X11" s="404">
        <v>221.08</v>
      </c>
      <c r="Y11" s="397"/>
      <c r="Z11" s="398">
        <f t="shared" si="14"/>
        <v>617.33833333333325</v>
      </c>
      <c r="AA11" s="397">
        <f t="shared" si="13"/>
        <v>2.5583822822300138E-3</v>
      </c>
      <c r="AB11" s="399">
        <f t="shared" si="16"/>
        <v>7408.0599999999986</v>
      </c>
      <c r="AC11" s="400">
        <f t="shared" si="15"/>
        <v>2.5583822822300129E-3</v>
      </c>
      <c r="AD11" s="386"/>
      <c r="AE11" s="386"/>
    </row>
    <row r="12" spans="1:39" x14ac:dyDescent="0.3">
      <c r="A12" s="404" t="s">
        <v>209</v>
      </c>
      <c r="B12" s="404">
        <v>78.34</v>
      </c>
      <c r="C12" s="397"/>
      <c r="D12" s="404">
        <v>469.94</v>
      </c>
      <c r="E12" s="397"/>
      <c r="F12" s="404">
        <v>500</v>
      </c>
      <c r="G12" s="397"/>
      <c r="H12" s="404">
        <v>626.84</v>
      </c>
      <c r="I12" s="397"/>
      <c r="J12" s="404">
        <v>579.05999999999995</v>
      </c>
      <c r="K12" s="397"/>
      <c r="L12" s="404">
        <v>1381.15</v>
      </c>
      <c r="M12" s="397"/>
      <c r="N12" s="404">
        <v>1732.93</v>
      </c>
      <c r="O12" s="397"/>
      <c r="P12" s="404">
        <f>1431.67+2350</f>
        <v>3781.67</v>
      </c>
      <c r="Q12" s="397"/>
      <c r="R12" s="396">
        <v>1048.01</v>
      </c>
      <c r="S12" s="397"/>
      <c r="T12" s="404">
        <f>640.69+64.07</f>
        <v>704.76</v>
      </c>
      <c r="U12" s="397"/>
      <c r="V12" s="404">
        <v>337.47</v>
      </c>
      <c r="W12" s="397"/>
      <c r="X12" s="404">
        <f>1725.48+431.37+688.2</f>
        <v>2845.05</v>
      </c>
      <c r="Y12" s="397"/>
      <c r="Z12" s="398">
        <f t="shared" si="14"/>
        <v>1173.7683333333334</v>
      </c>
      <c r="AA12" s="397">
        <f t="shared" si="13"/>
        <v>4.8643473850524758E-3</v>
      </c>
      <c r="AB12" s="399">
        <f t="shared" si="16"/>
        <v>14085.220000000001</v>
      </c>
      <c r="AC12" s="400">
        <f t="shared" si="15"/>
        <v>4.8643473850524749E-3</v>
      </c>
      <c r="AD12" s="386"/>
      <c r="AE12" s="386"/>
    </row>
    <row r="13" spans="1:39" x14ac:dyDescent="0.3">
      <c r="A13" s="404" t="s">
        <v>205</v>
      </c>
      <c r="B13" s="404">
        <v>115.94</v>
      </c>
      <c r="C13" s="397"/>
      <c r="D13" s="404">
        <v>145.4</v>
      </c>
      <c r="E13" s="397"/>
      <c r="F13" s="404">
        <v>300</v>
      </c>
      <c r="G13" s="397"/>
      <c r="H13" s="404">
        <v>756.56</v>
      </c>
      <c r="I13" s="397"/>
      <c r="J13" s="404">
        <v>660</v>
      </c>
      <c r="K13" s="397"/>
      <c r="L13" s="404">
        <v>887.64</v>
      </c>
      <c r="M13" s="397"/>
      <c r="N13" s="404">
        <v>938.78</v>
      </c>
      <c r="O13" s="397"/>
      <c r="P13" s="404">
        <v>1104.3900000000001</v>
      </c>
      <c r="Q13" s="397"/>
      <c r="R13" s="396">
        <v>1471.91</v>
      </c>
      <c r="S13" s="397"/>
      <c r="T13" s="404">
        <f>1556.61+296.5</f>
        <v>1853.11</v>
      </c>
      <c r="U13" s="397"/>
      <c r="V13" s="404">
        <v>1593.42</v>
      </c>
      <c r="W13" s="397"/>
      <c r="X13" s="404">
        <f>1912.07+478.02+727.36</f>
        <v>3117.4500000000003</v>
      </c>
      <c r="Y13" s="397"/>
      <c r="Z13" s="398">
        <f t="shared" si="14"/>
        <v>1078.7166666666667</v>
      </c>
      <c r="AA13" s="397">
        <f t="shared" si="13"/>
        <v>4.4704329190847058E-3</v>
      </c>
      <c r="AB13" s="399">
        <f t="shared" si="16"/>
        <v>12944.6</v>
      </c>
      <c r="AC13" s="400">
        <f t="shared" si="15"/>
        <v>4.4704329190847041E-3</v>
      </c>
      <c r="AD13" s="386"/>
      <c r="AE13" s="386"/>
    </row>
    <row r="14" spans="1:39" x14ac:dyDescent="0.3">
      <c r="A14" s="404" t="s">
        <v>187</v>
      </c>
      <c r="B14" s="404">
        <v>1779.77</v>
      </c>
      <c r="C14" s="397">
        <f t="shared" ref="C14:C63" si="17">B14/B$2</f>
        <v>7.7485519001948095E-3</v>
      </c>
      <c r="D14" s="404">
        <v>2540.23</v>
      </c>
      <c r="E14" s="397">
        <f t="shared" ref="E14:E32" si="18">D14/D$2</f>
        <v>1.4242125952797459E-2</v>
      </c>
      <c r="F14" s="404">
        <v>2498.52</v>
      </c>
      <c r="G14" s="397">
        <f t="shared" ref="G14:G62" si="19">F14/F$2</f>
        <v>1.1459450336052513E-2</v>
      </c>
      <c r="H14" s="404">
        <v>3448.55</v>
      </c>
      <c r="I14" s="397">
        <f t="shared" ref="I14:I22" si="20">H14/H$2</f>
        <v>1.8826960602842713E-2</v>
      </c>
      <c r="J14" s="404">
        <v>2197.5</v>
      </c>
      <c r="K14" s="397">
        <f t="shared" ref="K14:K22" si="21">J14/J$2</f>
        <v>7.7787530766782577E-3</v>
      </c>
      <c r="L14" s="404">
        <v>3770.31</v>
      </c>
      <c r="M14" s="397">
        <f t="shared" ref="M14:M22" si="22">L14/L$2</f>
        <v>1.298225365100167E-2</v>
      </c>
      <c r="N14" s="404">
        <v>4628.9399999999996</v>
      </c>
      <c r="O14" s="397">
        <f t="shared" ref="O14:O22" si="23">N14/N$2</f>
        <v>1.8683937107333039E-2</v>
      </c>
      <c r="P14" s="404">
        <v>4466.5</v>
      </c>
      <c r="Q14" s="397">
        <f t="shared" ref="Q14:Q22" si="24">P14/P$2</f>
        <v>1.7023321092346479E-2</v>
      </c>
      <c r="R14" s="396">
        <f>2683.17+582.51+41</f>
        <v>3306.6800000000003</v>
      </c>
      <c r="S14" s="397">
        <f t="shared" ref="S14:S22" si="25">R14/R$2</f>
        <v>1.4952632376952052E-2</v>
      </c>
      <c r="T14" s="404">
        <v>2824.36</v>
      </c>
      <c r="U14" s="397">
        <f t="shared" ref="U14:U22" si="26">T14/T$2</f>
        <v>1.0738076418441132E-2</v>
      </c>
      <c r="V14" s="404">
        <v>3295.83</v>
      </c>
      <c r="W14" s="397">
        <f t="shared" ref="W14:W22" si="27">V14/V$2</f>
        <v>1.2773818955728296E-2</v>
      </c>
      <c r="X14" s="404"/>
      <c r="Y14" s="397">
        <f t="shared" ref="Y14:Y68" si="28">X14/X$2</f>
        <v>0</v>
      </c>
      <c r="Z14" s="398">
        <f>(B14+D14+F14+H14+J14+L14+N14+P14+R14+T14+V14+X14)/AE$2</f>
        <v>2896.4325000000003</v>
      </c>
      <c r="AA14" s="397">
        <f t="shared" si="13"/>
        <v>1.2003436672502955E-2</v>
      </c>
      <c r="AB14" s="399">
        <f t="shared" si="16"/>
        <v>34757.19</v>
      </c>
      <c r="AC14" s="400">
        <f t="shared" si="15"/>
        <v>1.200343667250295E-2</v>
      </c>
      <c r="AD14" s="386"/>
      <c r="AE14" s="386"/>
    </row>
    <row r="15" spans="1:39" x14ac:dyDescent="0.3">
      <c r="A15" s="405" t="s">
        <v>233</v>
      </c>
      <c r="B15" s="404"/>
      <c r="C15" s="397"/>
      <c r="D15" s="404"/>
      <c r="E15" s="397"/>
      <c r="F15" s="404"/>
      <c r="G15" s="397"/>
      <c r="H15" s="404"/>
      <c r="I15" s="397"/>
      <c r="J15" s="404"/>
      <c r="K15" s="397"/>
      <c r="L15" s="404"/>
      <c r="M15" s="397"/>
      <c r="N15" s="404">
        <v>21.04</v>
      </c>
      <c r="O15" s="397"/>
      <c r="P15" s="404">
        <v>68.569999999999993</v>
      </c>
      <c r="Q15" s="397"/>
      <c r="R15" s="396">
        <v>155.32</v>
      </c>
      <c r="S15" s="397"/>
      <c r="T15" s="404">
        <f>450.92+90.18</f>
        <v>541.1</v>
      </c>
      <c r="U15" s="397"/>
      <c r="V15" s="404">
        <v>378.82</v>
      </c>
      <c r="W15" s="397"/>
      <c r="X15" s="404">
        <f>588.88+147.22</f>
        <v>736.1</v>
      </c>
      <c r="Y15" s="397"/>
      <c r="Z15" s="398">
        <f>(B15+D15+F15+H15+J15+L15+N15+P15+R15+T15+V15+X15)/AE$2</f>
        <v>158.41249999999999</v>
      </c>
      <c r="AA15" s="397">
        <f t="shared" si="13"/>
        <v>6.5649533068106163E-4</v>
      </c>
      <c r="AB15" s="399">
        <f t="shared" si="16"/>
        <v>1900.9499999999998</v>
      </c>
      <c r="AC15" s="400">
        <f t="shared" si="15"/>
        <v>6.5649533068106141E-4</v>
      </c>
      <c r="AD15" s="386"/>
      <c r="AE15" s="386"/>
    </row>
    <row r="16" spans="1:39" x14ac:dyDescent="0.3">
      <c r="A16" s="388" t="s">
        <v>8</v>
      </c>
      <c r="B16" s="389">
        <f>B2-B6</f>
        <v>206667.68</v>
      </c>
      <c r="C16" s="390">
        <f t="shared" si="17"/>
        <v>0.89976527561024899</v>
      </c>
      <c r="D16" s="389">
        <f>D2-D6</f>
        <v>144723.97</v>
      </c>
      <c r="E16" s="390">
        <f>D16/D$2</f>
        <v>0.81141353701392427</v>
      </c>
      <c r="F16" s="389">
        <f>F2-F6</f>
        <v>189531.12</v>
      </c>
      <c r="G16" s="390">
        <f t="shared" si="19"/>
        <v>0.86928359860093551</v>
      </c>
      <c r="H16" s="389">
        <f>H2-H6</f>
        <v>147663.54999999999</v>
      </c>
      <c r="I16" s="390">
        <f t="shared" si="20"/>
        <v>0.8061521040222398</v>
      </c>
      <c r="J16" s="389">
        <f>J2-J6</f>
        <v>252925.93999999997</v>
      </c>
      <c r="K16" s="390">
        <f t="shared" si="21"/>
        <v>0.89531214286541083</v>
      </c>
      <c r="L16" s="389">
        <f>L2-L6</f>
        <v>244374.39999999999</v>
      </c>
      <c r="M16" s="390">
        <f>L16/L$2</f>
        <v>0.8414508214473988</v>
      </c>
      <c r="N16" s="389">
        <f>N2-N6</f>
        <v>205026.30000000002</v>
      </c>
      <c r="O16" s="390">
        <f t="shared" si="23"/>
        <v>0.82755414728840648</v>
      </c>
      <c r="P16" s="389">
        <f>P2-P6</f>
        <v>213489.27</v>
      </c>
      <c r="Q16" s="390">
        <f t="shared" si="24"/>
        <v>0.81367880733922571</v>
      </c>
      <c r="R16" s="389">
        <f>R2-R6</f>
        <v>172386.6</v>
      </c>
      <c r="S16" s="390">
        <f t="shared" si="25"/>
        <v>0.77952310369091726</v>
      </c>
      <c r="T16" s="389">
        <f>T2-T6</f>
        <v>216776.55000000002</v>
      </c>
      <c r="U16" s="390">
        <f t="shared" si="26"/>
        <v>0.82417367461160229</v>
      </c>
      <c r="V16" s="389">
        <f>V2-V6</f>
        <v>206340.86</v>
      </c>
      <c r="W16" s="390">
        <f t="shared" si="27"/>
        <v>0.79972595334385521</v>
      </c>
      <c r="X16" s="389">
        <f>X2-X6</f>
        <v>208986.87</v>
      </c>
      <c r="Y16" s="390">
        <f t="shared" si="28"/>
        <v>0.80033776375562593</v>
      </c>
      <c r="Z16" s="406">
        <f t="shared" si="14"/>
        <v>200741.09250000003</v>
      </c>
      <c r="AA16" s="390">
        <f t="shared" si="13"/>
        <v>0.83191408444450476</v>
      </c>
      <c r="AB16" s="389">
        <f>SUM(AB2-AB6)</f>
        <v>2408893.1100000003</v>
      </c>
      <c r="AC16" s="402">
        <f>AB16/AB$2</f>
        <v>0.83191408444450454</v>
      </c>
      <c r="AD16" s="386"/>
      <c r="AE16" s="386"/>
    </row>
    <row r="17" spans="1:31" x14ac:dyDescent="0.3">
      <c r="A17" s="388" t="s">
        <v>106</v>
      </c>
      <c r="B17" s="389">
        <f>SUBTOTAL(9,B18:B57)</f>
        <v>86378.01</v>
      </c>
      <c r="C17" s="390">
        <f t="shared" si="17"/>
        <v>0.37606235273127775</v>
      </c>
      <c r="D17" s="389">
        <f>SUBTOTAL(9,D18:D57)</f>
        <v>93791.709999999963</v>
      </c>
      <c r="E17" s="390">
        <f t="shared" si="18"/>
        <v>0.52585527576174296</v>
      </c>
      <c r="F17" s="389">
        <f>SUBTOTAL(9,F18:F57)</f>
        <v>98216.609999999986</v>
      </c>
      <c r="G17" s="390">
        <f t="shared" si="19"/>
        <v>0.45047002404240855</v>
      </c>
      <c r="H17" s="389">
        <f>SUBTOTAL(9,H18:H57)</f>
        <v>127091.36000000002</v>
      </c>
      <c r="I17" s="390">
        <f t="shared" si="20"/>
        <v>0.69384060769938105</v>
      </c>
      <c r="J17" s="389">
        <f>SUBTOTAL(9,J18:J57)</f>
        <v>90487.53</v>
      </c>
      <c r="K17" s="390">
        <f t="shared" si="21"/>
        <v>0.32030951189466039</v>
      </c>
      <c r="L17" s="389">
        <f>SUBTOTAL(9,L18:L57)</f>
        <v>90032.62</v>
      </c>
      <c r="M17" s="390">
        <f t="shared" si="22"/>
        <v>0.31000801252529525</v>
      </c>
      <c r="N17" s="389">
        <f>SUBTOTAL(9,N18:N57)</f>
        <v>111513.57000000002</v>
      </c>
      <c r="O17" s="390">
        <f t="shared" si="23"/>
        <v>0.45010575390784519</v>
      </c>
      <c r="P17" s="389">
        <f>SUBTOTAL(9,P18:P57)</f>
        <v>89897.669999999984</v>
      </c>
      <c r="Q17" s="390">
        <f t="shared" si="24"/>
        <v>0.34263000153672962</v>
      </c>
      <c r="R17" s="389">
        <f>SUBTOTAL(9,R18:R57)</f>
        <v>105814.77000000002</v>
      </c>
      <c r="S17" s="390">
        <f t="shared" si="25"/>
        <v>0.47848880322914067</v>
      </c>
      <c r="T17" s="389">
        <f>SUBTOTAL(9,T18:T57)</f>
        <v>117005.68</v>
      </c>
      <c r="U17" s="390">
        <f t="shared" si="26"/>
        <v>0.44484978304170469</v>
      </c>
      <c r="V17" s="389">
        <f>SUBTOTAL(9,V18:V57)</f>
        <v>117120.23</v>
      </c>
      <c r="W17" s="390">
        <f t="shared" si="27"/>
        <v>0.45392893871141948</v>
      </c>
      <c r="X17" s="389">
        <f>SUBTOTAL(9,X18:X57)</f>
        <v>161622.08999999997</v>
      </c>
      <c r="Y17" s="390">
        <f t="shared" si="28"/>
        <v>0.61894922912674133</v>
      </c>
      <c r="Z17" s="406">
        <f t="shared" si="14"/>
        <v>107414.32083333335</v>
      </c>
      <c r="AA17" s="390">
        <f t="shared" si="13"/>
        <v>0.44514795281534492</v>
      </c>
      <c r="AB17" s="407">
        <f>SUBTOTAL(9,AB18:AB57)</f>
        <v>1288971.8500000006</v>
      </c>
      <c r="AC17" s="408">
        <f>AB17/AB$2</f>
        <v>0.44514795281534492</v>
      </c>
      <c r="AD17" s="386"/>
      <c r="AE17" s="386"/>
    </row>
    <row r="18" spans="1:31" x14ac:dyDescent="0.3">
      <c r="A18" s="396" t="s">
        <v>19</v>
      </c>
      <c r="B18" s="396">
        <v>906.2</v>
      </c>
      <c r="C18" s="397">
        <f t="shared" si="17"/>
        <v>3.9453062653918968E-3</v>
      </c>
      <c r="D18" s="396">
        <v>915.4</v>
      </c>
      <c r="E18" s="397">
        <f t="shared" si="18"/>
        <v>5.1323077426810929E-3</v>
      </c>
      <c r="F18" s="396">
        <v>1048.19</v>
      </c>
      <c r="G18" s="397">
        <f t="shared" si="19"/>
        <v>4.8075185500804016E-3</v>
      </c>
      <c r="H18" s="396">
        <v>1035.81</v>
      </c>
      <c r="I18" s="397">
        <f t="shared" si="20"/>
        <v>5.6548851146222354E-3</v>
      </c>
      <c r="J18" s="396">
        <v>1515.5</v>
      </c>
      <c r="K18" s="397">
        <f t="shared" si="21"/>
        <v>5.3645962628923322E-3</v>
      </c>
      <c r="L18" s="396">
        <v>1478.36</v>
      </c>
      <c r="M18" s="397">
        <f t="shared" si="22"/>
        <v>5.0904155115878607E-3</v>
      </c>
      <c r="N18" s="396">
        <v>1527.88</v>
      </c>
      <c r="O18" s="397">
        <f t="shared" si="23"/>
        <v>6.1670304276037298E-3</v>
      </c>
      <c r="P18" s="396">
        <v>1428.84</v>
      </c>
      <c r="Q18" s="397">
        <f t="shared" si="24"/>
        <v>5.4457857628094344E-3</v>
      </c>
      <c r="R18" s="396">
        <v>1503.12</v>
      </c>
      <c r="S18" s="397">
        <f t="shared" si="25"/>
        <v>6.7970292796533573E-3</v>
      </c>
      <c r="T18" s="396">
        <v>1465.98</v>
      </c>
      <c r="U18" s="397">
        <f t="shared" si="26"/>
        <v>5.5735831366774524E-3</v>
      </c>
      <c r="V18" s="396">
        <v>1490.74</v>
      </c>
      <c r="W18" s="397">
        <f t="shared" si="27"/>
        <v>5.7777381934330354E-3</v>
      </c>
      <c r="X18" s="396">
        <v>1526.33</v>
      </c>
      <c r="Y18" s="397">
        <f t="shared" si="28"/>
        <v>5.8452453924647254E-3</v>
      </c>
      <c r="Z18" s="398">
        <f t="shared" si="14"/>
        <v>1320.1958333333332</v>
      </c>
      <c r="AA18" s="397">
        <f t="shared" si="13"/>
        <v>5.4711743086431081E-3</v>
      </c>
      <c r="AB18" s="399">
        <f>L18+N18+P18+R18+T18+V18+X18+J18+H18+F18+D18+B18</f>
        <v>15842.35</v>
      </c>
      <c r="AC18" s="400">
        <f>AB18/AB$2</f>
        <v>5.4711743086431073E-3</v>
      </c>
      <c r="AD18" s="386"/>
      <c r="AE18" s="386"/>
    </row>
    <row r="19" spans="1:31" x14ac:dyDescent="0.3">
      <c r="A19" s="396" t="s">
        <v>160</v>
      </c>
      <c r="B19" s="404">
        <v>581.91999999999996</v>
      </c>
      <c r="C19" s="397">
        <f t="shared" si="17"/>
        <v>2.5334943963328765E-3</v>
      </c>
      <c r="D19" s="404">
        <f>641.04+203</f>
        <v>844.04</v>
      </c>
      <c r="E19" s="397">
        <f t="shared" si="18"/>
        <v>4.7322187318467879E-3</v>
      </c>
      <c r="F19" s="396">
        <v>696.04</v>
      </c>
      <c r="G19" s="409">
        <f t="shared" si="19"/>
        <v>3.1923842162183977E-3</v>
      </c>
      <c r="H19" s="396">
        <v>641.04</v>
      </c>
      <c r="I19" s="409">
        <f t="shared" si="20"/>
        <v>3.4996838743374149E-3</v>
      </c>
      <c r="J19" s="396">
        <v>641.04</v>
      </c>
      <c r="K19" s="409">
        <f t="shared" si="21"/>
        <v>2.2691658121837682E-3</v>
      </c>
      <c r="L19" s="404">
        <v>641.04</v>
      </c>
      <c r="M19" s="397">
        <f t="shared" si="22"/>
        <v>2.2072837194920601E-3</v>
      </c>
      <c r="N19" s="404">
        <v>641.04</v>
      </c>
      <c r="O19" s="397">
        <f t="shared" si="23"/>
        <v>2.5874500519092432E-3</v>
      </c>
      <c r="P19" s="404">
        <v>641.04</v>
      </c>
      <c r="Q19" s="397">
        <f t="shared" si="24"/>
        <v>2.443217228934912E-3</v>
      </c>
      <c r="R19" s="404">
        <v>641.04</v>
      </c>
      <c r="S19" s="397">
        <f t="shared" si="25"/>
        <v>2.8987490349599424E-3</v>
      </c>
      <c r="T19" s="404">
        <v>641.04</v>
      </c>
      <c r="U19" s="397">
        <f t="shared" si="26"/>
        <v>2.4372022360030243E-3</v>
      </c>
      <c r="V19" s="404">
        <v>641.04</v>
      </c>
      <c r="W19" s="397">
        <f t="shared" si="27"/>
        <v>2.4845119145647885E-3</v>
      </c>
      <c r="X19" s="404">
        <v>1281.04</v>
      </c>
      <c r="Y19" s="397">
        <f t="shared" si="28"/>
        <v>4.9058808760641618E-3</v>
      </c>
      <c r="Z19" s="398">
        <f t="shared" si="14"/>
        <v>710.94666666666672</v>
      </c>
      <c r="AA19" s="397">
        <f t="shared" si="13"/>
        <v>2.9463152657140811E-3</v>
      </c>
      <c r="AB19" s="399">
        <f>L19+N19+P19+R19+T19+V19+X19+J19+H19+F19+D19+B19</f>
        <v>8531.3599999999988</v>
      </c>
      <c r="AC19" s="400">
        <f t="shared" ref="AC19:AC57" si="29">AB19/AB$2</f>
        <v>2.9463152657140798E-3</v>
      </c>
      <c r="AD19" s="386"/>
      <c r="AE19" s="386"/>
    </row>
    <row r="20" spans="1:31" x14ac:dyDescent="0.3">
      <c r="A20" s="404" t="s">
        <v>14</v>
      </c>
      <c r="B20" s="396">
        <v>369.34</v>
      </c>
      <c r="C20" s="397">
        <f t="shared" si="17"/>
        <v>1.6079887619287608E-3</v>
      </c>
      <c r="D20" s="396">
        <v>487.01</v>
      </c>
      <c r="E20" s="397">
        <f t="shared" si="18"/>
        <v>2.7304841531168005E-3</v>
      </c>
      <c r="F20" s="396">
        <v>728.48</v>
      </c>
      <c r="G20" s="397">
        <f t="shared" si="19"/>
        <v>3.3411701250370359E-3</v>
      </c>
      <c r="H20" s="396">
        <v>716.63</v>
      </c>
      <c r="I20" s="397">
        <f t="shared" si="20"/>
        <v>3.9123587527555561E-3</v>
      </c>
      <c r="J20" s="396">
        <v>459.15</v>
      </c>
      <c r="K20" s="397">
        <f t="shared" si="21"/>
        <v>1.6253080660554367E-3</v>
      </c>
      <c r="L20" s="396">
        <v>322.17</v>
      </c>
      <c r="M20" s="397">
        <f t="shared" si="22"/>
        <v>1.1093232807761718E-3</v>
      </c>
      <c r="N20" s="396">
        <v>259.20999999999998</v>
      </c>
      <c r="O20" s="397">
        <f t="shared" si="23"/>
        <v>1.0462575314417117E-3</v>
      </c>
      <c r="P20" s="396">
        <v>211.18</v>
      </c>
      <c r="Q20" s="397">
        <f t="shared" si="24"/>
        <v>8.0487740922013419E-4</v>
      </c>
      <c r="R20" s="396">
        <v>258.04000000000002</v>
      </c>
      <c r="S20" s="397">
        <f t="shared" si="25"/>
        <v>1.1668432562415194E-3</v>
      </c>
      <c r="T20" s="396">
        <v>300.27999999999997</v>
      </c>
      <c r="U20" s="397">
        <f t="shared" si="26"/>
        <v>1.1416496434340886E-3</v>
      </c>
      <c r="V20" s="396">
        <v>283.94</v>
      </c>
      <c r="W20" s="397">
        <f t="shared" si="27"/>
        <v>1.1004809575401316E-3</v>
      </c>
      <c r="X20" s="396">
        <v>372.15</v>
      </c>
      <c r="Y20" s="397">
        <f t="shared" si="28"/>
        <v>1.4251885718067178E-3</v>
      </c>
      <c r="Z20" s="398">
        <f t="shared" si="14"/>
        <v>397.29833333333323</v>
      </c>
      <c r="AA20" s="397">
        <f t="shared" si="13"/>
        <v>1.6464893914350273E-3</v>
      </c>
      <c r="AB20" s="399">
        <f>L20+N20+P20+R20+T20+V20+X20+J20+H20+F20+D20+B20</f>
        <v>4767.58</v>
      </c>
      <c r="AC20" s="400">
        <f t="shared" si="29"/>
        <v>1.6464893914350273E-3</v>
      </c>
      <c r="AD20" s="386"/>
      <c r="AE20" s="386"/>
    </row>
    <row r="21" spans="1:31" x14ac:dyDescent="0.3">
      <c r="A21" s="396" t="s">
        <v>123</v>
      </c>
      <c r="B21" s="396">
        <f>SUBTOTAL(9,B22:B33)</f>
        <v>43269.240000000005</v>
      </c>
      <c r="C21" s="397">
        <f t="shared" si="17"/>
        <v>0.18838049400876816</v>
      </c>
      <c r="D21" s="396">
        <f>SUBTOTAL(9,D22:D33)</f>
        <v>51540.54</v>
      </c>
      <c r="E21" s="397">
        <f t="shared" si="18"/>
        <v>0.28896866124531856</v>
      </c>
      <c r="F21" s="396">
        <f>SUBTOTAL(9,F22:F33)</f>
        <v>53377.399999999994</v>
      </c>
      <c r="G21" s="409">
        <f t="shared" si="19"/>
        <v>0.24481519634327897</v>
      </c>
      <c r="H21" s="396">
        <f>SUBTOTAL(9,H22:H33)</f>
        <v>84025.650000000009</v>
      </c>
      <c r="I21" s="409">
        <f t="shared" si="20"/>
        <v>0.45872833572900235</v>
      </c>
      <c r="J21" s="396">
        <f>SUBTOTAL(9,J22:J33)</f>
        <v>46006.010000000009</v>
      </c>
      <c r="K21" s="409">
        <f t="shared" si="21"/>
        <v>0.16285296556686726</v>
      </c>
      <c r="L21" s="396">
        <f>SUBTOTAL(9,L22:L33)</f>
        <v>46793.53</v>
      </c>
      <c r="M21" s="409">
        <f t="shared" si="22"/>
        <v>0.16112348207064039</v>
      </c>
      <c r="N21" s="396">
        <f>SUBTOTAL(9,N22:N33)</f>
        <v>66549.330000000016</v>
      </c>
      <c r="O21" s="409">
        <f t="shared" si="23"/>
        <v>0.26861516810655406</v>
      </c>
      <c r="P21" s="396">
        <f>SUBTOTAL(9,P22:P33)</f>
        <v>43127.840000000011</v>
      </c>
      <c r="Q21" s="397">
        <f t="shared" si="24"/>
        <v>0.1643745815155814</v>
      </c>
      <c r="R21" s="396">
        <f>SUBTOTAL(9,R22:R33)</f>
        <v>60540.720000000008</v>
      </c>
      <c r="S21" s="397">
        <f t="shared" si="25"/>
        <v>0.27376193946677291</v>
      </c>
      <c r="T21" s="396">
        <f>SUBTOTAL(9,T22:T33)</f>
        <v>69931.989999999991</v>
      </c>
      <c r="U21" s="397">
        <f t="shared" si="26"/>
        <v>0.26587795207185377</v>
      </c>
      <c r="V21" s="396">
        <f>SUBTOTAL(9,V22:V33)</f>
        <v>71279.37999999999</v>
      </c>
      <c r="W21" s="397">
        <f t="shared" si="27"/>
        <v>0.27626118319105059</v>
      </c>
      <c r="X21" s="396">
        <f>SUBTOTAL(9,X22:X33)</f>
        <v>112690.86</v>
      </c>
      <c r="Y21" s="397">
        <f t="shared" si="28"/>
        <v>0.43156180523732579</v>
      </c>
      <c r="Z21" s="398">
        <f>(B21+D21+F21+H21+J21+L21+N21+P21+R21+T21+V21+X21)/AE$2</f>
        <v>62427.707499999997</v>
      </c>
      <c r="AA21" s="397">
        <f t="shared" si="13"/>
        <v>0.25871379139192358</v>
      </c>
      <c r="AB21" s="399">
        <f>SUBTOTAL(9,AB22:AB33)</f>
        <v>749132.49000000011</v>
      </c>
      <c r="AC21" s="400">
        <f t="shared" si="29"/>
        <v>0.25871379139192352</v>
      </c>
      <c r="AD21" s="386"/>
      <c r="AE21" s="386"/>
    </row>
    <row r="22" spans="1:31" x14ac:dyDescent="0.3">
      <c r="A22" s="396" t="s">
        <v>145</v>
      </c>
      <c r="B22" s="396">
        <f>1913.86+1610.57+1448.58+1480.43+4121.23+1872.94+1561.49+1748.05+2018.5</f>
        <v>17775.650000000001</v>
      </c>
      <c r="C22" s="397">
        <f t="shared" si="17"/>
        <v>7.7389520322680955E-2</v>
      </c>
      <c r="D22" s="396">
        <f>2304.18+500+1650+750+1881.3+2196.65+555.36+2294.67+2262.72+4621.36+2182.2+2767.43+447.44+2439.14+300</f>
        <v>27152.45</v>
      </c>
      <c r="E22" s="397">
        <f t="shared" si="18"/>
        <v>0.1522337004235976</v>
      </c>
      <c r="F22" s="396">
        <f>2126.49+711.62+2590.78+1919.38+2336.57+2375.07+2548.21+4887.69+2458.67+3362.01+1922.37+2120.05</f>
        <v>29358.909999999996</v>
      </c>
      <c r="G22" s="409">
        <f t="shared" si="19"/>
        <v>0.13465450389255859</v>
      </c>
      <c r="H22" s="396">
        <f>2243.99+3011+2590.78+1979.38+2336.57+2293.67+4887.69+3383.9+1922.37+2577.04+2548.21+2425.83+12128.77+5655.16</f>
        <v>49984.36</v>
      </c>
      <c r="I22" s="409">
        <f t="shared" si="20"/>
        <v>0.27288384291319751</v>
      </c>
      <c r="J22" s="396">
        <f>1989.05+2114.57+3383.9+2007.31+2336.57+2293.67+2631.78+2548.21+2403.93+3021</f>
        <v>24729.989999999998</v>
      </c>
      <c r="K22" s="409">
        <f t="shared" si="21"/>
        <v>8.7539697746858949E-2</v>
      </c>
      <c r="L22" s="396">
        <f>3358.37+2490.53+2188.09+2458.67+2548.21+2293.67+2114.57+2336.57+2255.17+1900.88+3000+1543.89</f>
        <v>28488.62</v>
      </c>
      <c r="M22" s="409">
        <f t="shared" si="22"/>
        <v>9.8094451386490547E-2</v>
      </c>
      <c r="N22" s="396">
        <f>5035+3000.5+2590.78+1724.86+250+2293.67+2548.21+2425.83+3391.21+2094.64+2255.17+2022.52+2360.61</f>
        <v>31992.999999999996</v>
      </c>
      <c r="O22" s="409">
        <f t="shared" si="23"/>
        <v>0.12913435902710035</v>
      </c>
      <c r="P22" s="396">
        <f>2094.64+2479.7+2509.74+2293.67+2222.33+2056.05+1970.2+2503.2+350+3011</f>
        <v>21490.530000000002</v>
      </c>
      <c r="Q22" s="397">
        <f t="shared" si="24"/>
        <v>8.190757699198585E-2</v>
      </c>
      <c r="R22" s="396">
        <f>2255.17+1870.2+150+2479.7+3659.92+2481.98+2336.57+2360.96+2255.17+2201.01+2309.93+3100.04</f>
        <v>27460.65</v>
      </c>
      <c r="S22" s="397">
        <f t="shared" si="25"/>
        <v>0.12417560945786962</v>
      </c>
      <c r="T22" s="396">
        <f>2233.78+4210.93+2255.17+2057.22+3357.19+2255.17+2481.98+642.59+1683.81+2479.7+200+8994.1</f>
        <v>32851.640000000007</v>
      </c>
      <c r="U22" s="397">
        <f t="shared" si="26"/>
        <v>0.1249003033576164</v>
      </c>
      <c r="V22" s="396">
        <f>2718.94-378.82+2255.17+2255.17+3329.82+2473.89+4210.93+2481.98+4139.33-1593.42+2568.37-337.47+2020.2+250</f>
        <v>26394.089999999997</v>
      </c>
      <c r="W22" s="397">
        <f t="shared" si="27"/>
        <v>0.1022969410319096</v>
      </c>
      <c r="X22" s="396">
        <f>2184.64+2473.89+4210.93+2255.17+1970.2+2535.53+2255.17+2481.98+1689.69+2014.31+400+25691.59</f>
        <v>50163.1</v>
      </c>
      <c r="Y22" s="397">
        <f t="shared" si="28"/>
        <v>0.19210500294611735</v>
      </c>
      <c r="Z22" s="398">
        <f t="shared" ref="Z22:Z64" si="30">(B22+D22+F22+H22+J22+L22+N22+P22+R22+T22+V22+X22)/AE$2</f>
        <v>30653.5825</v>
      </c>
      <c r="AA22" s="397">
        <f t="shared" si="13"/>
        <v>0.12703501163037453</v>
      </c>
      <c r="AB22" s="399">
        <f>L22+N22+P22+R22+T22+V22+X22+J22+H22+F22+D22+B22</f>
        <v>367842.99</v>
      </c>
      <c r="AC22" s="400">
        <f t="shared" si="29"/>
        <v>0.12703501163037448</v>
      </c>
      <c r="AD22" s="386"/>
      <c r="AE22" s="386"/>
    </row>
    <row r="23" spans="1:31" x14ac:dyDescent="0.3">
      <c r="A23" s="396" t="s">
        <v>199</v>
      </c>
      <c r="B23" s="396">
        <f>484.06+421.66+1000+1100+4650</f>
        <v>7655.72</v>
      </c>
      <c r="C23" s="397">
        <f t="shared" si="17"/>
        <v>3.3330567294290507E-2</v>
      </c>
      <c r="D23" s="396">
        <f>514.6+30.06+1250+1210+4670</f>
        <v>7674.66</v>
      </c>
      <c r="E23" s="397">
        <f t="shared" si="18"/>
        <v>4.3028967599349877E-2</v>
      </c>
      <c r="F23" s="396">
        <f>360+4650+1250+1210</f>
        <v>7470</v>
      </c>
      <c r="G23" s="397">
        <f t="shared" si="19"/>
        <v>3.4261120187275777E-2</v>
      </c>
      <c r="H23" s="396">
        <f>1210+1250+4650+650+650+3255</f>
        <v>11665</v>
      </c>
      <c r="I23" s="397"/>
      <c r="J23" s="396">
        <f>1250+1210+250</f>
        <v>2710</v>
      </c>
      <c r="K23" s="397"/>
      <c r="L23" s="396">
        <f>1210+1250+250</f>
        <v>2710</v>
      </c>
      <c r="M23" s="397"/>
      <c r="N23" s="396">
        <f>1250+1210+250+10958.95</f>
        <v>13668.95</v>
      </c>
      <c r="O23" s="397"/>
      <c r="P23" s="396">
        <f>500+2210</f>
        <v>2710</v>
      </c>
      <c r="Q23" s="397"/>
      <c r="R23" s="396">
        <f>1153.33+3000+5540.08+3324+600+689.67+519.33+466.67</f>
        <v>15293.08</v>
      </c>
      <c r="S23" s="397"/>
      <c r="T23" s="396">
        <f>3028.56+500+3000+7500+200</f>
        <v>14228.56</v>
      </c>
      <c r="U23" s="397"/>
      <c r="V23" s="396">
        <f>2910+7500+3000+500</f>
        <v>13910</v>
      </c>
      <c r="W23" s="397"/>
      <c r="X23" s="396">
        <f>10625+958.33+2910+4250</f>
        <v>18743.330000000002</v>
      </c>
      <c r="Y23" s="397">
        <f t="shared" si="28"/>
        <v>7.1779604228407928E-2</v>
      </c>
      <c r="Z23" s="398">
        <f t="shared" si="30"/>
        <v>9869.9416666666675</v>
      </c>
      <c r="AA23" s="397">
        <f t="shared" si="13"/>
        <v>4.0903152328642771E-2</v>
      </c>
      <c r="AB23" s="399">
        <f>L23+N23+P23+R23+T23+V23+X23+J23+H23+F23+D23+B23</f>
        <v>118439.3</v>
      </c>
      <c r="AC23" s="400">
        <f t="shared" si="29"/>
        <v>4.0903152328642757E-2</v>
      </c>
      <c r="AD23" s="386"/>
      <c r="AE23" s="386"/>
    </row>
    <row r="24" spans="1:31" x14ac:dyDescent="0.3">
      <c r="A24" s="396" t="s">
        <v>183</v>
      </c>
      <c r="B24" s="396"/>
      <c r="C24" s="397">
        <f t="shared" si="17"/>
        <v>0</v>
      </c>
      <c r="D24" s="396"/>
      <c r="E24" s="397">
        <f t="shared" si="18"/>
        <v>0</v>
      </c>
      <c r="F24" s="396"/>
      <c r="G24" s="397">
        <f t="shared" si="19"/>
        <v>0</v>
      </c>
      <c r="H24" s="396">
        <v>1381.12</v>
      </c>
      <c r="I24" s="397">
        <f t="shared" ref="I24:I69" si="31">H24/H$2</f>
        <v>7.5400651948784635E-3</v>
      </c>
      <c r="J24" s="396">
        <v>1111.1099999999999</v>
      </c>
      <c r="K24" s="397">
        <f>J24/J$2</f>
        <v>3.93312870581478E-3</v>
      </c>
      <c r="L24" s="396">
        <v>534.44000000000005</v>
      </c>
      <c r="M24" s="397">
        <f t="shared" ref="M24:M62" si="32">L24/L$2</f>
        <v>1.8402294880901923E-3</v>
      </c>
      <c r="N24" s="396">
        <v>2857.3</v>
      </c>
      <c r="O24" s="397">
        <f t="shared" ref="O24:O62" si="33">N24/N$2</f>
        <v>1.1533010472545053E-2</v>
      </c>
      <c r="P24" s="396">
        <v>3157.38</v>
      </c>
      <c r="Q24" s="397">
        <f t="shared" ref="Q24:Q62" si="34">P24/P$2</f>
        <v>1.2033828176548286E-2</v>
      </c>
      <c r="R24" s="396"/>
      <c r="S24" s="397">
        <f t="shared" ref="S24:S64" si="35">R24/R$2</f>
        <v>0</v>
      </c>
      <c r="T24" s="396"/>
      <c r="U24" s="397">
        <f t="shared" ref="U24:U32" si="36">T24/T$2</f>
        <v>0</v>
      </c>
      <c r="V24" s="396">
        <v>1952.23</v>
      </c>
      <c r="W24" s="397">
        <f t="shared" ref="W24:W32" si="37">V24/V$2</f>
        <v>7.5663588777156133E-3</v>
      </c>
      <c r="X24" s="396">
        <v>9945.26</v>
      </c>
      <c r="Y24" s="397">
        <f t="shared" si="28"/>
        <v>3.8086446044999271E-2</v>
      </c>
      <c r="Z24" s="398">
        <f t="shared" si="30"/>
        <v>1744.903333333333</v>
      </c>
      <c r="AA24" s="397">
        <f t="shared" si="13"/>
        <v>7.2312531575674469E-3</v>
      </c>
      <c r="AB24" s="399">
        <f t="shared" ref="AB24:AB33" si="38">L24+N24+P24+R24+T24+V24+X24+J24+H24+F24+D24+B24</f>
        <v>20938.84</v>
      </c>
      <c r="AC24" s="400">
        <f t="shared" si="29"/>
        <v>7.2312531575674461E-3</v>
      </c>
      <c r="AD24" s="386"/>
      <c r="AE24" s="386"/>
    </row>
    <row r="25" spans="1:31" x14ac:dyDescent="0.3">
      <c r="A25" s="396" t="s">
        <v>186</v>
      </c>
      <c r="B25" s="396"/>
      <c r="C25" s="397">
        <f t="shared" si="17"/>
        <v>0</v>
      </c>
      <c r="D25" s="396"/>
      <c r="E25" s="397">
        <f t="shared" si="18"/>
        <v>0</v>
      </c>
      <c r="F25" s="396"/>
      <c r="G25" s="397">
        <f t="shared" si="19"/>
        <v>0</v>
      </c>
      <c r="H25" s="396"/>
      <c r="I25" s="397">
        <f t="shared" si="31"/>
        <v>0</v>
      </c>
      <c r="J25" s="396"/>
      <c r="K25" s="397">
        <f>J25/J$2</f>
        <v>0</v>
      </c>
      <c r="L25" s="396"/>
      <c r="M25" s="397">
        <f t="shared" si="32"/>
        <v>0</v>
      </c>
      <c r="N25" s="396"/>
      <c r="O25" s="397">
        <f t="shared" si="33"/>
        <v>0</v>
      </c>
      <c r="P25" s="396"/>
      <c r="Q25" s="397">
        <f t="shared" si="34"/>
        <v>0</v>
      </c>
      <c r="R25" s="396"/>
      <c r="S25" s="397">
        <f t="shared" si="35"/>
        <v>0</v>
      </c>
      <c r="T25" s="396"/>
      <c r="U25" s="397">
        <f t="shared" si="36"/>
        <v>0</v>
      </c>
      <c r="V25" s="396">
        <v>10112.68</v>
      </c>
      <c r="W25" s="397">
        <f t="shared" si="37"/>
        <v>3.9194237408244487E-2</v>
      </c>
      <c r="X25" s="396">
        <v>10293.030000000001</v>
      </c>
      <c r="Y25" s="397">
        <f t="shared" si="28"/>
        <v>3.9418268776739762E-2</v>
      </c>
      <c r="Z25" s="398">
        <f t="shared" si="30"/>
        <v>1700.4758333333332</v>
      </c>
      <c r="AA25" s="397">
        <f t="shared" si="13"/>
        <v>7.0471360815549311E-3</v>
      </c>
      <c r="AB25" s="399">
        <f t="shared" si="38"/>
        <v>20405.71</v>
      </c>
      <c r="AC25" s="400">
        <f t="shared" si="29"/>
        <v>7.0471360815549293E-3</v>
      </c>
      <c r="AD25" s="386"/>
      <c r="AE25" s="386"/>
    </row>
    <row r="26" spans="1:31" x14ac:dyDescent="0.3">
      <c r="A26" s="396" t="s">
        <v>146</v>
      </c>
      <c r="B26" s="396">
        <v>8140</v>
      </c>
      <c r="C26" s="397">
        <f t="shared" si="17"/>
        <v>3.5438968219256281E-2</v>
      </c>
      <c r="D26" s="396">
        <v>8470</v>
      </c>
      <c r="E26" s="397">
        <f t="shared" si="18"/>
        <v>4.7488143522513501E-2</v>
      </c>
      <c r="F26" s="396">
        <v>6860</v>
      </c>
      <c r="G26" s="409">
        <f t="shared" si="19"/>
        <v>3.1463358030081906E-2</v>
      </c>
      <c r="H26" s="396">
        <v>6930</v>
      </c>
      <c r="I26" s="409">
        <f t="shared" si="31"/>
        <v>3.7833534957503884E-2</v>
      </c>
      <c r="J26" s="396">
        <v>8065</v>
      </c>
      <c r="K26" s="409">
        <f>J26/J$2</f>
        <v>2.854864325979984E-2</v>
      </c>
      <c r="L26" s="396">
        <v>6720</v>
      </c>
      <c r="M26" s="409">
        <f t="shared" si="32"/>
        <v>2.3138878377303516E-2</v>
      </c>
      <c r="N26" s="396">
        <v>11000</v>
      </c>
      <c r="O26" s="409">
        <f t="shared" si="33"/>
        <v>4.4399648338639824E-2</v>
      </c>
      <c r="P26" s="396">
        <v>9040</v>
      </c>
      <c r="Q26" s="397">
        <f t="shared" si="34"/>
        <v>3.4454454869542628E-2</v>
      </c>
      <c r="R26" s="396">
        <v>8800</v>
      </c>
      <c r="S26" s="397">
        <f t="shared" si="35"/>
        <v>3.9793135385697447E-2</v>
      </c>
      <c r="T26" s="396">
        <v>8000</v>
      </c>
      <c r="U26" s="397">
        <f t="shared" si="36"/>
        <v>3.0415602595819602E-2</v>
      </c>
      <c r="V26" s="396">
        <v>8800</v>
      </c>
      <c r="W26" s="397">
        <f t="shared" si="37"/>
        <v>3.4106615574956534E-2</v>
      </c>
      <c r="X26" s="396">
        <v>7920</v>
      </c>
      <c r="Y26" s="397">
        <f t="shared" si="28"/>
        <v>3.0330494393951916E-2</v>
      </c>
      <c r="Z26" s="398">
        <f t="shared" si="30"/>
        <v>8228.75</v>
      </c>
      <c r="AA26" s="397">
        <f t="shared" si="13"/>
        <v>3.4101702531945305E-2</v>
      </c>
      <c r="AB26" s="399">
        <f t="shared" si="38"/>
        <v>98745</v>
      </c>
      <c r="AC26" s="400">
        <f t="shared" si="29"/>
        <v>3.4101702531945298E-2</v>
      </c>
      <c r="AD26" s="386"/>
      <c r="AE26" s="386"/>
    </row>
    <row r="27" spans="1:31" x14ac:dyDescent="0.3">
      <c r="A27" s="396" t="s">
        <v>147</v>
      </c>
      <c r="B27" s="396"/>
      <c r="C27" s="397">
        <f t="shared" si="17"/>
        <v>0</v>
      </c>
      <c r="D27" s="396">
        <v>273.45999999999998</v>
      </c>
      <c r="E27" s="397">
        <f t="shared" si="18"/>
        <v>1.5331886337268644E-3</v>
      </c>
      <c r="F27" s="396">
        <v>160.97</v>
      </c>
      <c r="G27" s="397">
        <f t="shared" si="19"/>
        <v>7.3828815482540589E-4</v>
      </c>
      <c r="H27" s="396">
        <v>195.69</v>
      </c>
      <c r="I27" s="397">
        <f t="shared" si="31"/>
        <v>1.0683469633238E-3</v>
      </c>
      <c r="J27" s="396">
        <v>186.97</v>
      </c>
      <c r="K27" s="397">
        <f>J27/J$2</f>
        <v>6.6184002855359907E-4</v>
      </c>
      <c r="L27" s="396">
        <v>186.97</v>
      </c>
      <c r="M27" s="397">
        <f t="shared" si="32"/>
        <v>6.4379108485185092E-4</v>
      </c>
      <c r="N27" s="396">
        <v>195.25</v>
      </c>
      <c r="O27" s="397">
        <f t="shared" si="33"/>
        <v>7.880937580108569E-4</v>
      </c>
      <c r="P27" s="396">
        <v>73.05</v>
      </c>
      <c r="Q27" s="397">
        <f t="shared" si="34"/>
        <v>2.7841791241372665E-4</v>
      </c>
      <c r="R27" s="396">
        <v>178.17</v>
      </c>
      <c r="S27" s="397">
        <f t="shared" si="35"/>
        <v>8.0567533314428565E-4</v>
      </c>
      <c r="T27" s="396">
        <v>178.17</v>
      </c>
      <c r="U27" s="397">
        <f t="shared" si="36"/>
        <v>6.7739348931214721E-4</v>
      </c>
      <c r="V27" s="396">
        <v>195.69</v>
      </c>
      <c r="W27" s="397">
        <f t="shared" si="37"/>
        <v>7.5844586384809598E-4</v>
      </c>
      <c r="X27" s="396">
        <v>195.69</v>
      </c>
      <c r="Y27" s="397">
        <f t="shared" si="28"/>
        <v>7.4941596565056192E-4</v>
      </c>
      <c r="Z27" s="398">
        <f t="shared" si="30"/>
        <v>168.34</v>
      </c>
      <c r="AA27" s="397">
        <f t="shared" si="13"/>
        <v>6.9763701707156896E-4</v>
      </c>
      <c r="AB27" s="399">
        <f t="shared" si="38"/>
        <v>2020.0800000000002</v>
      </c>
      <c r="AC27" s="400">
        <f t="shared" si="29"/>
        <v>6.9763701707156885E-4</v>
      </c>
      <c r="AD27" s="386"/>
      <c r="AE27" s="386"/>
    </row>
    <row r="28" spans="1:31" x14ac:dyDescent="0.3">
      <c r="A28" s="396" t="s">
        <v>143</v>
      </c>
      <c r="B28" s="396">
        <v>1457.48</v>
      </c>
      <c r="C28" s="397">
        <f t="shared" si="17"/>
        <v>6.3454038575186293E-3</v>
      </c>
      <c r="D28" s="396">
        <v>279.20999999999998</v>
      </c>
      <c r="E28" s="397">
        <f t="shared" si="18"/>
        <v>1.5654267476884289E-3</v>
      </c>
      <c r="F28" s="396">
        <v>875.86</v>
      </c>
      <c r="G28" s="409">
        <f t="shared" si="19"/>
        <v>4.0171278081964339E-3</v>
      </c>
      <c r="H28" s="396">
        <v>1178.1099999999999</v>
      </c>
      <c r="I28" s="409">
        <f t="shared" si="31"/>
        <v>6.4317555366211962E-3</v>
      </c>
      <c r="J28" s="410">
        <v>1315.94</v>
      </c>
      <c r="K28" s="409">
        <f>L28/J$2</f>
        <v>2.9961031190445858E-3</v>
      </c>
      <c r="L28" s="396">
        <v>846.4</v>
      </c>
      <c r="M28" s="409">
        <f t="shared" si="32"/>
        <v>2.9143968241889429E-3</v>
      </c>
      <c r="N28" s="396">
        <v>501.37</v>
      </c>
      <c r="O28" s="409">
        <f t="shared" si="33"/>
        <v>2.0236956079585319E-3</v>
      </c>
      <c r="P28" s="396">
        <v>479.93</v>
      </c>
      <c r="Q28" s="397">
        <f t="shared" si="34"/>
        <v>1.8291732882234064E-3</v>
      </c>
      <c r="R28" s="396">
        <v>260.79000000000002</v>
      </c>
      <c r="S28" s="397">
        <f t="shared" si="35"/>
        <v>1.1792786110495499E-3</v>
      </c>
      <c r="T28" s="396">
        <v>677.09</v>
      </c>
      <c r="U28" s="397">
        <f t="shared" si="36"/>
        <v>2.5742625452004368E-3</v>
      </c>
      <c r="V28" s="396">
        <v>1145.02</v>
      </c>
      <c r="W28" s="397">
        <f t="shared" si="37"/>
        <v>4.4378132915496287E-3</v>
      </c>
      <c r="X28" s="396">
        <v>1278.5999999999999</v>
      </c>
      <c r="Y28" s="397">
        <f t="shared" si="28"/>
        <v>4.8965366328417824E-3</v>
      </c>
      <c r="Z28" s="398">
        <f t="shared" si="30"/>
        <v>857.98333333333346</v>
      </c>
      <c r="AA28" s="397">
        <f t="shared" si="13"/>
        <v>3.5556667064499726E-3</v>
      </c>
      <c r="AB28" s="399">
        <f t="shared" si="38"/>
        <v>10295.799999999999</v>
      </c>
      <c r="AC28" s="400">
        <f t="shared" si="29"/>
        <v>3.5556667064499709E-3</v>
      </c>
      <c r="AD28" s="386"/>
      <c r="AE28" s="386"/>
    </row>
    <row r="29" spans="1:31" x14ac:dyDescent="0.3">
      <c r="A29" s="396" t="s">
        <v>144</v>
      </c>
      <c r="B29" s="396">
        <v>2926.78</v>
      </c>
      <c r="C29" s="397">
        <f t="shared" si="17"/>
        <v>1.2742268231542371E-2</v>
      </c>
      <c r="D29" s="396">
        <v>3109.83</v>
      </c>
      <c r="E29" s="397">
        <f t="shared" si="18"/>
        <v>1.7435661554972628E-2</v>
      </c>
      <c r="F29" s="396">
        <v>3296.75</v>
      </c>
      <c r="G29" s="409">
        <f t="shared" si="19"/>
        <v>1.5120528511030981E-2</v>
      </c>
      <c r="H29" s="396">
        <v>3296.75</v>
      </c>
      <c r="I29" s="409">
        <f t="shared" si="31"/>
        <v>1.7998226027583105E-2</v>
      </c>
      <c r="J29" s="396">
        <v>3219.55</v>
      </c>
      <c r="K29" s="409">
        <f>J29/J$2</f>
        <v>1.1396625468950847E-2</v>
      </c>
      <c r="L29" s="396">
        <v>2534.13</v>
      </c>
      <c r="M29" s="409">
        <f t="shared" si="32"/>
        <v>8.7257330152196669E-3</v>
      </c>
      <c r="N29" s="396">
        <v>2447.73</v>
      </c>
      <c r="O29" s="409">
        <f t="shared" si="33"/>
        <v>9.8798501116308061E-3</v>
      </c>
      <c r="P29" s="396">
        <v>2459.0500000000002</v>
      </c>
      <c r="Q29" s="397">
        <f t="shared" si="34"/>
        <v>9.3722596512111518E-3</v>
      </c>
      <c r="R29" s="396">
        <v>3023.01</v>
      </c>
      <c r="S29" s="397">
        <f t="shared" si="35"/>
        <v>1.3669891613899688E-2</v>
      </c>
      <c r="T29" s="396">
        <v>3888.83</v>
      </c>
      <c r="U29" s="397">
        <f t="shared" si="36"/>
        <v>1.4785138480337643E-2</v>
      </c>
      <c r="V29" s="396">
        <v>3328.25</v>
      </c>
      <c r="W29" s="397">
        <f t="shared" si="37"/>
        <v>1.2899470828107851E-2</v>
      </c>
      <c r="X29" s="396">
        <v>5764.38</v>
      </c>
      <c r="Y29" s="397">
        <f t="shared" si="28"/>
        <v>2.2075315059925323E-2</v>
      </c>
      <c r="Z29" s="398">
        <f t="shared" si="30"/>
        <v>3274.5866666666666</v>
      </c>
      <c r="AA29" s="397">
        <f t="shared" si="13"/>
        <v>1.3570588536745072E-2</v>
      </c>
      <c r="AB29" s="399">
        <f t="shared" si="38"/>
        <v>39295.040000000001</v>
      </c>
      <c r="AC29" s="400">
        <f t="shared" si="29"/>
        <v>1.3570588536745068E-2</v>
      </c>
      <c r="AD29" s="386"/>
      <c r="AE29" s="386"/>
    </row>
    <row r="30" spans="1:31" x14ac:dyDescent="0.3">
      <c r="A30" s="396" t="s">
        <v>148</v>
      </c>
      <c r="B30" s="396">
        <v>3414.24</v>
      </c>
      <c r="C30" s="397">
        <f t="shared" si="17"/>
        <v>1.4864513863994294E-2</v>
      </c>
      <c r="D30" s="396">
        <v>2601.96</v>
      </c>
      <c r="E30" s="397">
        <f t="shared" si="18"/>
        <v>1.4588223131031787E-2</v>
      </c>
      <c r="F30" s="396">
        <v>2812.72</v>
      </c>
      <c r="G30" s="409">
        <f t="shared" si="19"/>
        <v>1.290052717177434E-2</v>
      </c>
      <c r="H30" s="396">
        <v>6866.51</v>
      </c>
      <c r="I30" s="409">
        <f t="shared" si="31"/>
        <v>3.7486918632186145E-2</v>
      </c>
      <c r="J30" s="396">
        <v>2680.79</v>
      </c>
      <c r="K30" s="409">
        <f>J30/J$2</f>
        <v>9.4895123824474664E-3</v>
      </c>
      <c r="L30" s="396">
        <v>2760.14</v>
      </c>
      <c r="M30" s="409">
        <f t="shared" si="32"/>
        <v>9.5039499649301369E-3</v>
      </c>
      <c r="N30" s="396">
        <v>2110.7800000000002</v>
      </c>
      <c r="O30" s="409">
        <f t="shared" si="33"/>
        <v>8.5198081563849261E-3</v>
      </c>
      <c r="P30" s="396">
        <v>2226.12</v>
      </c>
      <c r="Q30" s="397">
        <f t="shared" si="34"/>
        <v>8.4844857382949373E-3</v>
      </c>
      <c r="R30" s="396">
        <v>2665.84</v>
      </c>
      <c r="S30" s="397">
        <f t="shared" si="35"/>
        <v>1.2054787731432693E-2</v>
      </c>
      <c r="T30" s="396">
        <v>7030.83</v>
      </c>
      <c r="U30" s="397">
        <f t="shared" si="36"/>
        <v>2.6730866399845791E-2</v>
      </c>
      <c r="V30" s="396">
        <v>2763.11</v>
      </c>
      <c r="W30" s="397">
        <f t="shared" si="37"/>
        <v>1.0709128472877064E-2</v>
      </c>
      <c r="X30" s="396">
        <v>5608.24</v>
      </c>
      <c r="Y30" s="397">
        <f t="shared" si="28"/>
        <v>2.1477360085850616E-2</v>
      </c>
      <c r="Z30" s="398">
        <f t="shared" si="30"/>
        <v>3628.44</v>
      </c>
      <c r="AA30" s="397">
        <f t="shared" si="13"/>
        <v>1.5037032542611167E-2</v>
      </c>
      <c r="AB30" s="399">
        <f t="shared" si="38"/>
        <v>43541.279999999999</v>
      </c>
      <c r="AC30" s="400">
        <f t="shared" si="29"/>
        <v>1.5037032542611161E-2</v>
      </c>
      <c r="AD30" s="386"/>
      <c r="AE30" s="386"/>
    </row>
    <row r="31" spans="1:31" x14ac:dyDescent="0.3">
      <c r="A31" s="396" t="s">
        <v>184</v>
      </c>
      <c r="B31" s="396">
        <v>1480.46</v>
      </c>
      <c r="C31" s="397">
        <f t="shared" si="17"/>
        <v>6.4454514606732379E-3</v>
      </c>
      <c r="D31" s="396">
        <v>1507.87</v>
      </c>
      <c r="E31" s="397">
        <f t="shared" si="18"/>
        <v>8.454066938995565E-3</v>
      </c>
      <c r="F31" s="396">
        <v>2036.31</v>
      </c>
      <c r="G31" s="397">
        <f t="shared" si="19"/>
        <v>9.3395263251073012E-3</v>
      </c>
      <c r="H31" s="396">
        <v>1935.27</v>
      </c>
      <c r="I31" s="397">
        <f t="shared" si="31"/>
        <v>1.0565383145340336E-2</v>
      </c>
      <c r="J31" s="396">
        <v>1628.29</v>
      </c>
      <c r="K31" s="397">
        <f>J31/J$2</f>
        <v>5.7638524902045235E-3</v>
      </c>
      <c r="L31" s="396">
        <v>1462.3</v>
      </c>
      <c r="M31" s="397">
        <f t="shared" si="32"/>
        <v>5.0351163468944837E-3</v>
      </c>
      <c r="N31" s="396">
        <v>1248.96</v>
      </c>
      <c r="O31" s="397">
        <f t="shared" si="33"/>
        <v>5.0412167990025094E-3</v>
      </c>
      <c r="P31" s="396">
        <v>1217.24</v>
      </c>
      <c r="Q31" s="397">
        <f t="shared" si="34"/>
        <v>4.639307593517928E-3</v>
      </c>
      <c r="R31" s="396">
        <v>2269.7600000000002</v>
      </c>
      <c r="S31" s="397">
        <f t="shared" si="35"/>
        <v>1.0263734883300074E-2</v>
      </c>
      <c r="T31" s="396">
        <v>2379.1799999999998</v>
      </c>
      <c r="U31" s="397">
        <f t="shared" si="36"/>
        <v>9.0455241729902585E-3</v>
      </c>
      <c r="V31" s="396">
        <v>2057.56</v>
      </c>
      <c r="W31" s="397">
        <f t="shared" si="37"/>
        <v>7.9745918116372241E-3</v>
      </c>
      <c r="X31" s="396">
        <v>2345.73</v>
      </c>
      <c r="Y31" s="397">
        <f t="shared" si="28"/>
        <v>8.9832260877177814E-3</v>
      </c>
      <c r="Z31" s="398">
        <f t="shared" si="30"/>
        <v>1797.4108333333334</v>
      </c>
      <c r="AA31" s="397">
        <f t="shared" si="13"/>
        <v>7.4488554842508598E-3</v>
      </c>
      <c r="AB31" s="399">
        <f t="shared" si="38"/>
        <v>21568.93</v>
      </c>
      <c r="AC31" s="400">
        <f t="shared" si="29"/>
        <v>7.4488554842508572E-3</v>
      </c>
      <c r="AD31" s="386"/>
      <c r="AE31" s="386"/>
    </row>
    <row r="32" spans="1:31" x14ac:dyDescent="0.3">
      <c r="A32" s="396" t="s">
        <v>185</v>
      </c>
      <c r="B32" s="396">
        <v>338.91</v>
      </c>
      <c r="C32" s="397">
        <f t="shared" si="17"/>
        <v>1.4755062308584948E-3</v>
      </c>
      <c r="D32" s="396">
        <v>471.1</v>
      </c>
      <c r="E32" s="397">
        <f t="shared" si="18"/>
        <v>2.6412826934422802E-3</v>
      </c>
      <c r="F32" s="396">
        <v>505.88</v>
      </c>
      <c r="G32" s="397">
        <f t="shared" si="19"/>
        <v>2.3202162624282557E-3</v>
      </c>
      <c r="H32" s="396">
        <v>512.84</v>
      </c>
      <c r="I32" s="397">
        <f t="shared" si="31"/>
        <v>2.7997907745463623E-3</v>
      </c>
      <c r="J32" s="396">
        <v>318.37</v>
      </c>
      <c r="K32" s="397">
        <f>J32/J$2</f>
        <v>1.1269722944355208E-3</v>
      </c>
      <c r="L32" s="396">
        <v>400.53</v>
      </c>
      <c r="M32" s="397">
        <f t="shared" si="32"/>
        <v>1.3791391304258001E-3</v>
      </c>
      <c r="N32" s="396">
        <v>325.99</v>
      </c>
      <c r="O32" s="397">
        <f t="shared" si="33"/>
        <v>1.315803760173927E-3</v>
      </c>
      <c r="P32" s="396">
        <v>274.54000000000002</v>
      </c>
      <c r="Q32" s="397">
        <f t="shared" si="34"/>
        <v>1.046363499987194E-3</v>
      </c>
      <c r="R32" s="396">
        <v>539.41999999999996</v>
      </c>
      <c r="S32" s="397">
        <f t="shared" si="35"/>
        <v>2.4392287601991951E-3</v>
      </c>
      <c r="T32" s="396">
        <v>697.69</v>
      </c>
      <c r="U32" s="397">
        <f t="shared" si="36"/>
        <v>2.6525827218846724E-3</v>
      </c>
      <c r="V32" s="396">
        <v>620.75</v>
      </c>
      <c r="W32" s="397">
        <f t="shared" si="37"/>
        <v>2.4058729111538944E-3</v>
      </c>
      <c r="X32" s="396">
        <v>383.5</v>
      </c>
      <c r="Y32" s="397">
        <f t="shared" si="28"/>
        <v>1.4686546212222928E-3</v>
      </c>
      <c r="Z32" s="398">
        <f t="shared" si="30"/>
        <v>449.12666666666672</v>
      </c>
      <c r="AA32" s="397">
        <f t="shared" si="13"/>
        <v>1.8612771059797449E-3</v>
      </c>
      <c r="AB32" s="399">
        <f t="shared" si="38"/>
        <v>5389.52</v>
      </c>
      <c r="AC32" s="400">
        <f t="shared" si="29"/>
        <v>1.8612771059797442E-3</v>
      </c>
      <c r="AD32" s="386"/>
      <c r="AE32" s="386"/>
    </row>
    <row r="33" spans="1:31" x14ac:dyDescent="0.3">
      <c r="A33" s="396" t="s">
        <v>203</v>
      </c>
      <c r="B33" s="396">
        <v>80</v>
      </c>
      <c r="C33" s="397">
        <f t="shared" si="17"/>
        <v>3.4829452795337868E-4</v>
      </c>
      <c r="D33" s="396"/>
      <c r="E33" s="397"/>
      <c r="F33" s="396"/>
      <c r="G33" s="397">
        <f t="shared" si="19"/>
        <v>0</v>
      </c>
      <c r="H33" s="396">
        <v>80</v>
      </c>
      <c r="I33" s="397">
        <f t="shared" si="31"/>
        <v>4.3675076430018907E-4</v>
      </c>
      <c r="J33" s="396">
        <v>40</v>
      </c>
      <c r="K33" s="397"/>
      <c r="L33" s="396">
        <v>150</v>
      </c>
      <c r="M33" s="397">
        <f t="shared" si="32"/>
        <v>5.1649282092195348E-4</v>
      </c>
      <c r="N33" s="396">
        <v>200</v>
      </c>
      <c r="O33" s="397">
        <f t="shared" si="33"/>
        <v>8.0726633342981507E-4</v>
      </c>
      <c r="P33" s="396"/>
      <c r="Q33" s="397">
        <f t="shared" si="34"/>
        <v>0</v>
      </c>
      <c r="R33" s="396">
        <v>50</v>
      </c>
      <c r="S33" s="397">
        <f t="shared" si="35"/>
        <v>2.2609736014600823E-4</v>
      </c>
      <c r="T33" s="396"/>
      <c r="U33" s="397"/>
      <c r="V33" s="396"/>
      <c r="W33" s="397"/>
      <c r="X33" s="396">
        <v>50</v>
      </c>
      <c r="Y33" s="397">
        <f t="shared" si="28"/>
        <v>1.9148039390121159E-4</v>
      </c>
      <c r="Z33" s="398">
        <f t="shared" si="30"/>
        <v>54.166666666666664</v>
      </c>
      <c r="AA33" s="397">
        <f t="shared" si="13"/>
        <v>2.2447826873020862E-4</v>
      </c>
      <c r="AB33" s="399">
        <f t="shared" si="38"/>
        <v>650</v>
      </c>
      <c r="AC33" s="400">
        <f t="shared" si="29"/>
        <v>2.2447826873020856E-4</v>
      </c>
      <c r="AD33" s="386"/>
      <c r="AE33" s="386"/>
    </row>
    <row r="34" spans="1:31" x14ac:dyDescent="0.3">
      <c r="A34" s="396" t="s">
        <v>125</v>
      </c>
      <c r="B34" s="396">
        <f>SUBTOTAL(9,B35:B38)</f>
        <v>7825.9699999999993</v>
      </c>
      <c r="C34" s="397">
        <f t="shared" si="17"/>
        <v>3.4071781586591285E-2</v>
      </c>
      <c r="D34" s="396">
        <f>SUBTOTAL(9,D35:D38)</f>
        <v>8479.65</v>
      </c>
      <c r="E34" s="397">
        <f t="shared" ref="E34:E62" si="39">D34/D$2</f>
        <v>4.7542247487683778E-2</v>
      </c>
      <c r="F34" s="396">
        <f>SUBTOTAL(9,F35:F38)</f>
        <v>8479.65</v>
      </c>
      <c r="G34" s="397">
        <f t="shared" si="19"/>
        <v>3.8891875206965604E-2</v>
      </c>
      <c r="H34" s="396">
        <f>SUBTOTAL(9,H35:H38)</f>
        <v>8479.65</v>
      </c>
      <c r="I34" s="397">
        <f t="shared" si="31"/>
        <v>4.6293670231226228E-2</v>
      </c>
      <c r="J34" s="396">
        <f>SUBTOTAL(9,J35:J38)</f>
        <v>8479.65</v>
      </c>
      <c r="K34" s="397">
        <f t="shared" ref="K34:K62" si="40">J34/J$2</f>
        <v>3.0016429363665432E-2</v>
      </c>
      <c r="L34" s="396">
        <f>SUBTOTAL(9,L35:L38)</f>
        <v>8479.65</v>
      </c>
      <c r="M34" s="397">
        <f t="shared" si="32"/>
        <v>2.9197855659538949E-2</v>
      </c>
      <c r="N34" s="396">
        <f>SUBTOTAL(9,N35:N38)</f>
        <v>8479.65</v>
      </c>
      <c r="O34" s="397">
        <f t="shared" si="33"/>
        <v>3.4226679821340651E-2</v>
      </c>
      <c r="P34" s="396">
        <f>SUBTOTAL(9,P35:P38)</f>
        <v>8479.65</v>
      </c>
      <c r="Q34" s="397">
        <f t="shared" si="34"/>
        <v>3.2318774140986412E-2</v>
      </c>
      <c r="R34" s="396">
        <f>SUBTOTAL(9,R35:R38)</f>
        <v>8479.65</v>
      </c>
      <c r="S34" s="397">
        <f t="shared" si="35"/>
        <v>3.8344529599241971E-2</v>
      </c>
      <c r="T34" s="396">
        <f>SUBTOTAL(9,T35:T38)</f>
        <v>8479.65</v>
      </c>
      <c r="U34" s="397">
        <f t="shared" ref="U34:U62" si="41">T34/T$2</f>
        <v>3.2239208068955208E-2</v>
      </c>
      <c r="V34" s="396">
        <f>SUBTOTAL(9,V35:V38)</f>
        <v>8479.65</v>
      </c>
      <c r="W34" s="397">
        <f t="shared" ref="W34:W62" si="42">V34/V$2</f>
        <v>3.2865018495475018E-2</v>
      </c>
      <c r="X34" s="396">
        <f>SUBTOTAL(9,X35:X38)</f>
        <v>8741.9</v>
      </c>
      <c r="Y34" s="397">
        <f t="shared" si="28"/>
        <v>3.3478049108900031E-2</v>
      </c>
      <c r="Z34" s="398">
        <f t="shared" si="30"/>
        <v>8447.0308333333323</v>
      </c>
      <c r="AA34" s="397">
        <f t="shared" si="13"/>
        <v>3.5006305059274302E-2</v>
      </c>
      <c r="AB34" s="399">
        <f>SUBTOTAL(9,AB35:AB38)</f>
        <v>101364.37</v>
      </c>
      <c r="AC34" s="400">
        <f t="shared" si="29"/>
        <v>3.5006305059274288E-2</v>
      </c>
      <c r="AD34" s="386"/>
      <c r="AE34" s="386"/>
    </row>
    <row r="35" spans="1:31" x14ac:dyDescent="0.3">
      <c r="A35" s="403" t="s">
        <v>145</v>
      </c>
      <c r="B35" s="396">
        <v>5020.62</v>
      </c>
      <c r="C35" s="397">
        <f t="shared" si="17"/>
        <v>2.185818091166615E-2</v>
      </c>
      <c r="D35" s="396">
        <v>5442.39</v>
      </c>
      <c r="E35" s="397">
        <f t="shared" si="39"/>
        <v>3.0513458964048674E-2</v>
      </c>
      <c r="F35" s="396">
        <v>5442.39</v>
      </c>
      <c r="G35" s="409">
        <f t="shared" si="19"/>
        <v>2.4961496371623541E-2</v>
      </c>
      <c r="H35" s="396">
        <v>5442.39</v>
      </c>
      <c r="I35" s="409">
        <f t="shared" si="31"/>
        <v>2.9712099901496328E-2</v>
      </c>
      <c r="J35" s="396">
        <v>5442.39</v>
      </c>
      <c r="K35" s="409">
        <f t="shared" si="40"/>
        <v>1.9265077568592942E-2</v>
      </c>
      <c r="L35" s="396">
        <v>5442.39</v>
      </c>
      <c r="M35" s="409">
        <f t="shared" si="32"/>
        <v>1.873970242438287E-2</v>
      </c>
      <c r="N35" s="396">
        <v>5442.39</v>
      </c>
      <c r="O35" s="409">
        <f t="shared" si="33"/>
        <v>2.1967291101975456E-2</v>
      </c>
      <c r="P35" s="396">
        <v>5442.39</v>
      </c>
      <c r="Q35" s="409">
        <f t="shared" si="34"/>
        <v>2.0742763344850677E-2</v>
      </c>
      <c r="R35" s="396">
        <v>5442.39</v>
      </c>
      <c r="S35" s="397">
        <f t="shared" si="35"/>
        <v>2.4610200237700677E-2</v>
      </c>
      <c r="T35" s="396">
        <v>5442.39</v>
      </c>
      <c r="U35" s="397">
        <f t="shared" si="41"/>
        <v>2.0691696426432832E-2</v>
      </c>
      <c r="V35" s="396">
        <v>5442.39</v>
      </c>
      <c r="W35" s="397">
        <f t="shared" si="42"/>
        <v>2.1093352674884967E-2</v>
      </c>
      <c r="X35" s="396">
        <v>5442.39</v>
      </c>
      <c r="Y35" s="397">
        <f t="shared" si="28"/>
        <v>2.0842219619280299E-2</v>
      </c>
      <c r="Z35" s="398">
        <f t="shared" si="30"/>
        <v>5407.2424999999994</v>
      </c>
      <c r="AA35" s="397">
        <f t="shared" si="13"/>
        <v>2.2408771107773631E-2</v>
      </c>
      <c r="AB35" s="399">
        <f>L35+N35+P35+R35+T35+V35+X35+J35+H35+F35+D35+B35</f>
        <v>64886.91</v>
      </c>
      <c r="AC35" s="400">
        <f t="shared" si="29"/>
        <v>2.2408771107773628E-2</v>
      </c>
      <c r="AD35" s="386"/>
      <c r="AE35" s="386"/>
    </row>
    <row r="36" spans="1:31" x14ac:dyDescent="0.3">
      <c r="A36" s="386" t="s">
        <v>158</v>
      </c>
      <c r="B36" s="396">
        <v>707.69</v>
      </c>
      <c r="C36" s="397">
        <f t="shared" si="17"/>
        <v>3.0810569310915823E-3</v>
      </c>
      <c r="D36" s="396">
        <v>779.59</v>
      </c>
      <c r="E36" s="397">
        <f t="shared" si="39"/>
        <v>4.3708715240515115E-3</v>
      </c>
      <c r="F36" s="396">
        <v>779.59</v>
      </c>
      <c r="G36" s="409">
        <f t="shared" si="19"/>
        <v>3.5755859018471656E-3</v>
      </c>
      <c r="H36" s="396">
        <v>779.59</v>
      </c>
      <c r="I36" s="409">
        <f t="shared" si="31"/>
        <v>4.2560816042598055E-3</v>
      </c>
      <c r="J36" s="396">
        <v>779.59</v>
      </c>
      <c r="K36" s="409">
        <f t="shared" si="40"/>
        <v>2.7596077865973167E-3</v>
      </c>
      <c r="L36" s="396">
        <v>779.59</v>
      </c>
      <c r="M36" s="409">
        <f t="shared" si="32"/>
        <v>2.6843509217503048E-3</v>
      </c>
      <c r="N36" s="396">
        <v>779.59</v>
      </c>
      <c r="O36" s="409">
        <f t="shared" si="33"/>
        <v>3.1466838043927477E-3</v>
      </c>
      <c r="P36" s="396">
        <v>779.59</v>
      </c>
      <c r="Q36" s="409">
        <f t="shared" si="34"/>
        <v>2.9712774858126926E-3</v>
      </c>
      <c r="R36" s="396">
        <v>779.59</v>
      </c>
      <c r="S36" s="397">
        <f t="shared" si="35"/>
        <v>3.5252648199245312E-3</v>
      </c>
      <c r="T36" s="396">
        <v>779.59</v>
      </c>
      <c r="U36" s="397">
        <f t="shared" si="41"/>
        <v>2.9639624534593756E-3</v>
      </c>
      <c r="V36" s="396">
        <v>779.59</v>
      </c>
      <c r="W36" s="397">
        <f t="shared" si="42"/>
        <v>3.0214973222818598E-3</v>
      </c>
      <c r="X36" s="396">
        <v>779.59</v>
      </c>
      <c r="Y36" s="397">
        <f t="shared" si="28"/>
        <v>2.9855240056289112E-3</v>
      </c>
      <c r="Z36" s="398">
        <f t="shared" si="30"/>
        <v>773.59833333333336</v>
      </c>
      <c r="AA36" s="397">
        <f t="shared" si="13"/>
        <v>3.2059571918629202E-3</v>
      </c>
      <c r="AB36" s="399">
        <f t="shared" ref="AB36:AB39" si="43">L36+N36+P36+R36+T36+V36+X36+J36+H36+F36+D36+B36</f>
        <v>9283.18</v>
      </c>
      <c r="AC36" s="400">
        <f t="shared" si="29"/>
        <v>3.2059571918629194E-3</v>
      </c>
      <c r="AD36" s="386"/>
      <c r="AE36" s="386"/>
    </row>
    <row r="37" spans="1:31" x14ac:dyDescent="0.3">
      <c r="A37" s="386" t="s">
        <v>159</v>
      </c>
      <c r="B37" s="396">
        <v>705.23</v>
      </c>
      <c r="C37" s="397">
        <f t="shared" si="17"/>
        <v>3.0703468743570159E-3</v>
      </c>
      <c r="D37" s="396">
        <v>865.24</v>
      </c>
      <c r="E37" s="397">
        <f t="shared" si="39"/>
        <v>4.8510792563659488E-3</v>
      </c>
      <c r="F37" s="396">
        <v>865.24</v>
      </c>
      <c r="G37" s="409">
        <f t="shared" si="19"/>
        <v>3.9684192276892233E-3</v>
      </c>
      <c r="H37" s="396">
        <v>865.24</v>
      </c>
      <c r="I37" s="409">
        <f t="shared" si="31"/>
        <v>4.7236778912886955E-3</v>
      </c>
      <c r="J37" s="396">
        <v>865.24</v>
      </c>
      <c r="K37" s="409">
        <f t="shared" si="40"/>
        <v>3.0627933160705784E-3</v>
      </c>
      <c r="L37" s="396">
        <v>865.24</v>
      </c>
      <c r="M37" s="409">
        <f t="shared" si="32"/>
        <v>2.97926832249674E-3</v>
      </c>
      <c r="N37" s="396">
        <v>865.24</v>
      </c>
      <c r="O37" s="409">
        <f t="shared" si="33"/>
        <v>3.4923956116840659E-3</v>
      </c>
      <c r="P37" s="396">
        <v>865.24</v>
      </c>
      <c r="Q37" s="409">
        <f t="shared" si="34"/>
        <v>3.2977182003675956E-3</v>
      </c>
      <c r="R37" s="396">
        <v>865.24</v>
      </c>
      <c r="S37" s="397">
        <f t="shared" si="35"/>
        <v>3.9125695978546437E-3</v>
      </c>
      <c r="T37" s="396">
        <v>865.24</v>
      </c>
      <c r="U37" s="397">
        <f t="shared" si="41"/>
        <v>3.289599498750869E-3</v>
      </c>
      <c r="V37" s="396">
        <v>865.24</v>
      </c>
      <c r="W37" s="397">
        <f t="shared" si="42"/>
        <v>3.3534554613722039E-3</v>
      </c>
      <c r="X37" s="396">
        <v>865.24</v>
      </c>
      <c r="Y37" s="397">
        <f t="shared" si="28"/>
        <v>3.3135299203816862E-3</v>
      </c>
      <c r="Z37" s="398">
        <f t="shared" si="30"/>
        <v>851.90583333333325</v>
      </c>
      <c r="AA37" s="397">
        <f t="shared" si="13"/>
        <v>3.5304802446984424E-3</v>
      </c>
      <c r="AB37" s="399">
        <f t="shared" si="43"/>
        <v>10222.869999999999</v>
      </c>
      <c r="AC37" s="400">
        <f t="shared" si="29"/>
        <v>3.5304802446984415E-3</v>
      </c>
      <c r="AD37" s="386"/>
      <c r="AE37" s="386"/>
    </row>
    <row r="38" spans="1:31" x14ac:dyDescent="0.3">
      <c r="A38" s="396" t="s">
        <v>182</v>
      </c>
      <c r="B38" s="404">
        <v>1392.43</v>
      </c>
      <c r="C38" s="397">
        <f t="shared" si="17"/>
        <v>6.0621968694765391E-3</v>
      </c>
      <c r="D38" s="404">
        <v>1392.43</v>
      </c>
      <c r="E38" s="397">
        <f t="shared" si="39"/>
        <v>7.8068377432176476E-3</v>
      </c>
      <c r="F38" s="396">
        <v>1392.43</v>
      </c>
      <c r="G38" s="409">
        <f t="shared" si="19"/>
        <v>6.3863737058056777E-3</v>
      </c>
      <c r="H38" s="396">
        <v>1392.43</v>
      </c>
      <c r="I38" s="409">
        <f t="shared" si="31"/>
        <v>7.6018108341814042E-3</v>
      </c>
      <c r="J38" s="396">
        <v>1392.43</v>
      </c>
      <c r="K38" s="409">
        <f t="shared" si="40"/>
        <v>4.9289506924045995E-3</v>
      </c>
      <c r="L38" s="396">
        <v>1392.43</v>
      </c>
      <c r="M38" s="409">
        <f t="shared" si="32"/>
        <v>4.7945339909090381E-3</v>
      </c>
      <c r="N38" s="396">
        <v>1392.43</v>
      </c>
      <c r="O38" s="409">
        <f t="shared" si="33"/>
        <v>5.620309303288387E-3</v>
      </c>
      <c r="P38" s="396">
        <v>1392.43</v>
      </c>
      <c r="Q38" s="409">
        <f t="shared" si="34"/>
        <v>5.3070151099554475E-3</v>
      </c>
      <c r="R38" s="396">
        <v>1392.43</v>
      </c>
      <c r="S38" s="397">
        <f t="shared" si="35"/>
        <v>6.2964949437621254E-3</v>
      </c>
      <c r="T38" s="404">
        <v>1392.43</v>
      </c>
      <c r="U38" s="397">
        <f t="shared" si="41"/>
        <v>5.2939496903121365E-3</v>
      </c>
      <c r="V38" s="404">
        <v>1392.43</v>
      </c>
      <c r="W38" s="397">
        <f t="shared" si="42"/>
        <v>5.3967130369359925E-3</v>
      </c>
      <c r="X38" s="404">
        <v>1654.68</v>
      </c>
      <c r="Y38" s="397">
        <f t="shared" si="28"/>
        <v>6.3367755636091361E-3</v>
      </c>
      <c r="Z38" s="398">
        <f t="shared" si="30"/>
        <v>1414.2841666666666</v>
      </c>
      <c r="AA38" s="397">
        <f t="shared" si="13"/>
        <v>5.861096514939307E-3</v>
      </c>
      <c r="AB38" s="399">
        <f t="shared" si="43"/>
        <v>16971.41</v>
      </c>
      <c r="AC38" s="400">
        <f t="shared" si="29"/>
        <v>5.8610965149393061E-3</v>
      </c>
      <c r="AD38" s="386"/>
      <c r="AE38" s="386"/>
    </row>
    <row r="39" spans="1:31" x14ac:dyDescent="0.3">
      <c r="A39" s="396" t="s">
        <v>137</v>
      </c>
      <c r="B39" s="396"/>
      <c r="C39" s="397">
        <f t="shared" si="17"/>
        <v>0</v>
      </c>
      <c r="D39" s="396"/>
      <c r="E39" s="397">
        <f t="shared" si="39"/>
        <v>0</v>
      </c>
      <c r="F39" s="396"/>
      <c r="G39" s="397">
        <f t="shared" si="19"/>
        <v>0</v>
      </c>
      <c r="H39" s="396"/>
      <c r="I39" s="397">
        <f t="shared" si="31"/>
        <v>0</v>
      </c>
      <c r="J39" s="411"/>
      <c r="K39" s="397">
        <f t="shared" si="40"/>
        <v>0</v>
      </c>
      <c r="L39" s="396"/>
      <c r="M39" s="397">
        <f t="shared" si="32"/>
        <v>0</v>
      </c>
      <c r="N39" s="396"/>
      <c r="O39" s="397">
        <f t="shared" si="33"/>
        <v>0</v>
      </c>
      <c r="P39" s="396"/>
      <c r="Q39" s="397">
        <f t="shared" si="34"/>
        <v>0</v>
      </c>
      <c r="R39" s="396"/>
      <c r="S39" s="397">
        <f t="shared" si="35"/>
        <v>0</v>
      </c>
      <c r="T39" s="396"/>
      <c r="U39" s="397">
        <f t="shared" si="41"/>
        <v>0</v>
      </c>
      <c r="V39" s="396"/>
      <c r="W39" s="397">
        <f t="shared" si="42"/>
        <v>0</v>
      </c>
      <c r="X39" s="396"/>
      <c r="Y39" s="397">
        <f t="shared" si="28"/>
        <v>0</v>
      </c>
      <c r="Z39" s="398">
        <f t="shared" si="30"/>
        <v>0</v>
      </c>
      <c r="AA39" s="397">
        <f t="shared" si="13"/>
        <v>0</v>
      </c>
      <c r="AB39" s="399">
        <f t="shared" si="43"/>
        <v>0</v>
      </c>
      <c r="AC39" s="400">
        <f t="shared" si="29"/>
        <v>0</v>
      </c>
      <c r="AD39" s="386"/>
      <c r="AE39" s="386"/>
    </row>
    <row r="40" spans="1:31" x14ac:dyDescent="0.3">
      <c r="A40" s="396" t="s">
        <v>135</v>
      </c>
      <c r="B40" s="396">
        <v>20000</v>
      </c>
      <c r="C40" s="397">
        <f t="shared" si="17"/>
        <v>8.7073631988344669E-2</v>
      </c>
      <c r="D40" s="396">
        <v>20000</v>
      </c>
      <c r="E40" s="397">
        <f t="shared" si="39"/>
        <v>0.11213257030109446</v>
      </c>
      <c r="F40" s="396">
        <v>20000</v>
      </c>
      <c r="G40" s="397">
        <f t="shared" si="19"/>
        <v>9.1729906793241708E-2</v>
      </c>
      <c r="H40" s="396">
        <v>20000</v>
      </c>
      <c r="I40" s="397">
        <f t="shared" si="31"/>
        <v>0.10918769107504728</v>
      </c>
      <c r="J40" s="396">
        <f>20000</f>
        <v>20000</v>
      </c>
      <c r="K40" s="397">
        <f t="shared" si="40"/>
        <v>7.0796387501053548E-2</v>
      </c>
      <c r="L40" s="396">
        <f>20000</f>
        <v>20000</v>
      </c>
      <c r="M40" s="397">
        <f t="shared" si="32"/>
        <v>6.8865709456260457E-2</v>
      </c>
      <c r="N40" s="396">
        <f>20000</f>
        <v>20000</v>
      </c>
      <c r="O40" s="397">
        <f t="shared" si="33"/>
        <v>8.072663334298151E-2</v>
      </c>
      <c r="P40" s="396">
        <f>20000</f>
        <v>20000</v>
      </c>
      <c r="Q40" s="397">
        <f t="shared" si="34"/>
        <v>7.6226670065359797E-2</v>
      </c>
      <c r="R40" s="396">
        <f>20000</f>
        <v>20000</v>
      </c>
      <c r="S40" s="397">
        <f t="shared" si="35"/>
        <v>9.0438944058403289E-2</v>
      </c>
      <c r="T40" s="396">
        <f>20000</f>
        <v>20000</v>
      </c>
      <c r="U40" s="397">
        <f t="shared" si="41"/>
        <v>7.6039006489549005E-2</v>
      </c>
      <c r="V40" s="396">
        <f>20000</f>
        <v>20000</v>
      </c>
      <c r="W40" s="397">
        <f t="shared" si="42"/>
        <v>7.7515035397628496E-2</v>
      </c>
      <c r="X40" s="396">
        <f>20000</f>
        <v>20000</v>
      </c>
      <c r="Y40" s="397">
        <f t="shared" si="28"/>
        <v>7.6592157560484639E-2</v>
      </c>
      <c r="Z40" s="398">
        <f t="shared" si="30"/>
        <v>20000</v>
      </c>
      <c r="AA40" s="397">
        <f t="shared" si="13"/>
        <v>8.2884283838846259E-2</v>
      </c>
      <c r="AB40" s="399">
        <f>L40+N40+P40+R40+T40+V40+X40+J40+H40+F40+D40+B40</f>
        <v>240000</v>
      </c>
      <c r="AC40" s="400">
        <f t="shared" si="29"/>
        <v>8.2884283838846232E-2</v>
      </c>
      <c r="AD40" s="386"/>
      <c r="AE40" s="386"/>
    </row>
    <row r="41" spans="1:31" x14ac:dyDescent="0.3">
      <c r="A41" s="396" t="s">
        <v>21</v>
      </c>
      <c r="B41" s="396">
        <f>89.08+168.93</f>
        <v>258.01</v>
      </c>
      <c r="C41" s="397">
        <f t="shared" si="17"/>
        <v>1.1232933894656403E-3</v>
      </c>
      <c r="D41" s="396">
        <v>89.08</v>
      </c>
      <c r="E41" s="397">
        <f t="shared" si="39"/>
        <v>4.9943846812107472E-4</v>
      </c>
      <c r="F41" s="396">
        <v>448.58</v>
      </c>
      <c r="G41" s="397">
        <f t="shared" si="19"/>
        <v>2.0574100794656181E-3</v>
      </c>
      <c r="H41" s="396">
        <f>99.89</f>
        <v>99.89</v>
      </c>
      <c r="I41" s="397">
        <f t="shared" si="31"/>
        <v>5.4533792307432359E-4</v>
      </c>
      <c r="J41" s="396">
        <v>181.02</v>
      </c>
      <c r="K41" s="397">
        <f t="shared" si="40"/>
        <v>6.4077810327203561E-4</v>
      </c>
      <c r="L41" s="396">
        <f>94.48</f>
        <v>94.48</v>
      </c>
      <c r="M41" s="397">
        <f t="shared" si="32"/>
        <v>3.2532161147137445E-4</v>
      </c>
      <c r="N41" s="396">
        <v>94.48</v>
      </c>
      <c r="O41" s="397">
        <f t="shared" si="33"/>
        <v>3.8135261591224466E-4</v>
      </c>
      <c r="P41" s="396">
        <f>1699.89</f>
        <v>1699.89</v>
      </c>
      <c r="Q41" s="397">
        <f t="shared" si="34"/>
        <v>6.4788477088702241E-3</v>
      </c>
      <c r="R41" s="396">
        <f>1699.9+224.71</f>
        <v>1924.6100000000001</v>
      </c>
      <c r="S41" s="397">
        <f t="shared" si="35"/>
        <v>8.702984806212179E-3</v>
      </c>
      <c r="T41" s="396">
        <f>R41</f>
        <v>1924.6100000000001</v>
      </c>
      <c r="U41" s="397">
        <f t="shared" si="41"/>
        <v>7.3172716139925454E-3</v>
      </c>
      <c r="V41" s="396">
        <v>1920.2</v>
      </c>
      <c r="W41" s="397">
        <f t="shared" si="42"/>
        <v>7.4422185485263116E-3</v>
      </c>
      <c r="X41" s="396">
        <v>248.68</v>
      </c>
      <c r="Y41" s="397">
        <f t="shared" si="28"/>
        <v>9.5234688710706605E-4</v>
      </c>
      <c r="Z41" s="398">
        <f>(B41+D41+F41+H41+J41+L41+N41+P41+R41+T41+V41+X41)/AE$2</f>
        <v>748.62750000000017</v>
      </c>
      <c r="AA41" s="397">
        <f t="shared" si="13"/>
        <v>3.1024727099782947E-3</v>
      </c>
      <c r="AB41" s="399">
        <f t="shared" ref="AB41:AB55" si="44">L41+N41+P41+R41+T41+V41+X41+J41+H41+F41+D41+B41</f>
        <v>8983.5300000000007</v>
      </c>
      <c r="AC41" s="400">
        <f t="shared" si="29"/>
        <v>3.1024727099782934E-3</v>
      </c>
      <c r="AD41" s="386"/>
      <c r="AE41" s="386"/>
    </row>
    <row r="42" spans="1:31" x14ac:dyDescent="0.3">
      <c r="A42" s="396" t="s">
        <v>140</v>
      </c>
      <c r="B42" s="396">
        <v>1437</v>
      </c>
      <c r="C42" s="397">
        <f t="shared" si="17"/>
        <v>6.2562404583625646E-3</v>
      </c>
      <c r="D42" s="396">
        <v>300</v>
      </c>
      <c r="E42" s="397">
        <f t="shared" si="39"/>
        <v>1.6819885545164169E-3</v>
      </c>
      <c r="F42" s="396">
        <v>300</v>
      </c>
      <c r="G42" s="397">
        <f t="shared" si="19"/>
        <v>1.3759486018986257E-3</v>
      </c>
      <c r="H42" s="396">
        <v>300</v>
      </c>
      <c r="I42" s="397">
        <f t="shared" si="31"/>
        <v>1.6378153661257091E-3</v>
      </c>
      <c r="J42" s="396">
        <v>300</v>
      </c>
      <c r="K42" s="397">
        <f t="shared" si="40"/>
        <v>1.0619458125158032E-3</v>
      </c>
      <c r="L42" s="396">
        <v>300</v>
      </c>
      <c r="M42" s="397">
        <f t="shared" si="32"/>
        <v>1.032985641843907E-3</v>
      </c>
      <c r="N42" s="396">
        <f>300</f>
        <v>300</v>
      </c>
      <c r="O42" s="397">
        <f t="shared" si="33"/>
        <v>1.2108995001447226E-3</v>
      </c>
      <c r="P42" s="396">
        <v>499</v>
      </c>
      <c r="Q42" s="397">
        <f t="shared" si="34"/>
        <v>1.9018554181307269E-3</v>
      </c>
      <c r="R42" s="396">
        <f>300</f>
        <v>300</v>
      </c>
      <c r="S42" s="397">
        <f t="shared" si="35"/>
        <v>1.3565841608760493E-3</v>
      </c>
      <c r="T42" s="396">
        <f>300</f>
        <v>300</v>
      </c>
      <c r="U42" s="397">
        <f t="shared" si="41"/>
        <v>1.140585097343235E-3</v>
      </c>
      <c r="V42" s="396">
        <f>300+395</f>
        <v>695</v>
      </c>
      <c r="W42" s="397">
        <f t="shared" si="42"/>
        <v>2.6936474800675902E-3</v>
      </c>
      <c r="X42" s="396">
        <v>300</v>
      </c>
      <c r="Y42" s="397">
        <f t="shared" si="28"/>
        <v>1.1488823634072695E-3</v>
      </c>
      <c r="Z42" s="398">
        <f t="shared" si="30"/>
        <v>444.25</v>
      </c>
      <c r="AA42" s="397">
        <f t="shared" si="13"/>
        <v>1.8410671547703726E-3</v>
      </c>
      <c r="AB42" s="399">
        <f t="shared" si="44"/>
        <v>5331</v>
      </c>
      <c r="AC42" s="400">
        <f t="shared" si="29"/>
        <v>1.8410671547703721E-3</v>
      </c>
      <c r="AD42" s="386"/>
      <c r="AE42" s="386"/>
    </row>
    <row r="43" spans="1:31" x14ac:dyDescent="0.3">
      <c r="A43" s="396" t="s">
        <v>22</v>
      </c>
      <c r="B43" s="396">
        <f>99+351+248.2+448.55</f>
        <v>1146.75</v>
      </c>
      <c r="C43" s="397">
        <f t="shared" si="17"/>
        <v>4.9925843741317122E-3</v>
      </c>
      <c r="D43" s="396">
        <v>1097.3900000000001</v>
      </c>
      <c r="E43" s="397">
        <f t="shared" si="39"/>
        <v>6.1526580661359024E-3</v>
      </c>
      <c r="F43" s="396">
        <v>1158.3499999999999</v>
      </c>
      <c r="G43" s="397">
        <f t="shared" si="19"/>
        <v>5.3127668766975765E-3</v>
      </c>
      <c r="H43" s="396">
        <v>1184.6400000000001</v>
      </c>
      <c r="I43" s="397">
        <f t="shared" si="31"/>
        <v>6.4674053177572006E-3</v>
      </c>
      <c r="J43" s="396">
        <v>1201.04</v>
      </c>
      <c r="K43" s="397">
        <f t="shared" si="40"/>
        <v>4.2514646622132677E-3</v>
      </c>
      <c r="L43" s="396">
        <v>1254.8800000000001</v>
      </c>
      <c r="M43" s="397">
        <f t="shared" si="32"/>
        <v>4.3209100741236073E-3</v>
      </c>
      <c r="N43" s="396">
        <f>1199.96+275</f>
        <v>1474.96</v>
      </c>
      <c r="O43" s="397">
        <f t="shared" si="33"/>
        <v>5.9534277557782003E-3</v>
      </c>
      <c r="P43" s="396">
        <v>1516.97</v>
      </c>
      <c r="Q43" s="397">
        <f t="shared" si="34"/>
        <v>5.7816785844524432E-3</v>
      </c>
      <c r="R43" s="396">
        <v>1600.99</v>
      </c>
      <c r="S43" s="397">
        <f t="shared" si="35"/>
        <v>7.2395922524031544E-3</v>
      </c>
      <c r="T43" s="396">
        <v>2118.46</v>
      </c>
      <c r="U43" s="397">
        <f t="shared" si="41"/>
        <v>8.0542796843924985E-3</v>
      </c>
      <c r="V43" s="396">
        <v>1669.46</v>
      </c>
      <c r="W43" s="397">
        <f t="shared" si="42"/>
        <v>6.4704125497462434E-3</v>
      </c>
      <c r="X43" s="396">
        <v>1699.97</v>
      </c>
      <c r="Y43" s="397">
        <f t="shared" si="28"/>
        <v>6.5102185044048537E-3</v>
      </c>
      <c r="Z43" s="398">
        <f t="shared" si="30"/>
        <v>1426.9883333333335</v>
      </c>
      <c r="AA43" s="397">
        <f t="shared" si="13"/>
        <v>5.9137453027361085E-3</v>
      </c>
      <c r="AB43" s="399">
        <f>L43+N43+P43+R43+T43+V43+X43+J43+H43+F43+D43+B43</f>
        <v>17123.86</v>
      </c>
      <c r="AC43" s="400">
        <f t="shared" si="29"/>
        <v>5.9137453027361068E-3</v>
      </c>
      <c r="AD43" s="386"/>
      <c r="AE43" s="386"/>
    </row>
    <row r="44" spans="1:31" x14ac:dyDescent="0.3">
      <c r="A44" s="396" t="s">
        <v>23</v>
      </c>
      <c r="B44" s="396">
        <v>513.98</v>
      </c>
      <c r="C44" s="397">
        <f t="shared" si="17"/>
        <v>2.2377052684684697E-3</v>
      </c>
      <c r="D44" s="396">
        <v>572.26</v>
      </c>
      <c r="E44" s="397">
        <f t="shared" si="39"/>
        <v>3.2084492340252154E-3</v>
      </c>
      <c r="F44" s="396">
        <v>586.15</v>
      </c>
      <c r="G44" s="397">
        <f t="shared" si="19"/>
        <v>2.6883742433429312E-3</v>
      </c>
      <c r="H44" s="396">
        <v>563.11</v>
      </c>
      <c r="I44" s="397">
        <f t="shared" si="31"/>
        <v>3.0742340360634937E-3</v>
      </c>
      <c r="J44" s="396">
        <v>562.20000000000005</v>
      </c>
      <c r="K44" s="397">
        <f t="shared" si="40"/>
        <v>1.9900864526546155E-3</v>
      </c>
      <c r="L44" s="396">
        <v>604.41999999999996</v>
      </c>
      <c r="M44" s="397">
        <f t="shared" si="32"/>
        <v>2.0811906054776473E-3</v>
      </c>
      <c r="N44" s="396">
        <v>564.39</v>
      </c>
      <c r="O44" s="397">
        <f t="shared" si="33"/>
        <v>2.2780652296222666E-3</v>
      </c>
      <c r="P44" s="396">
        <v>562.20000000000005</v>
      </c>
      <c r="Q44" s="397">
        <f t="shared" si="34"/>
        <v>2.1427316955372642E-3</v>
      </c>
      <c r="R44" s="396">
        <v>575.27</v>
      </c>
      <c r="S44" s="397">
        <f t="shared" si="35"/>
        <v>2.6013405674238832E-3</v>
      </c>
      <c r="T44" s="396">
        <v>645.37</v>
      </c>
      <c r="U44" s="397">
        <f t="shared" si="41"/>
        <v>2.4536646809080122E-3</v>
      </c>
      <c r="V44" s="396">
        <v>314.60000000000002</v>
      </c>
      <c r="W44" s="397">
        <f t="shared" si="42"/>
        <v>1.2193115068046963E-3</v>
      </c>
      <c r="X44" s="396">
        <v>583.16999999999996</v>
      </c>
      <c r="Y44" s="397">
        <f t="shared" si="28"/>
        <v>2.2333124262273909E-3</v>
      </c>
      <c r="Z44" s="398">
        <f t="shared" si="30"/>
        <v>553.92666666666662</v>
      </c>
      <c r="AA44" s="397">
        <f t="shared" si="13"/>
        <v>2.2955907532952987E-3</v>
      </c>
      <c r="AB44" s="399">
        <f t="shared" si="44"/>
        <v>6647.119999999999</v>
      </c>
      <c r="AC44" s="400">
        <f t="shared" si="29"/>
        <v>2.2955907532952978E-3</v>
      </c>
      <c r="AD44" s="386"/>
      <c r="AE44" s="386"/>
    </row>
    <row r="45" spans="1:31" x14ac:dyDescent="0.3">
      <c r="A45" s="396" t="s">
        <v>127</v>
      </c>
      <c r="B45" s="396">
        <f>100+338.29</f>
        <v>438.29</v>
      </c>
      <c r="C45" s="397">
        <f t="shared" si="17"/>
        <v>1.9081751082085793E-3</v>
      </c>
      <c r="D45" s="396">
        <f>100+338.29</f>
        <v>438.29</v>
      </c>
      <c r="E45" s="397">
        <f t="shared" si="39"/>
        <v>2.4573292118633345E-3</v>
      </c>
      <c r="F45" s="396">
        <f>100+338.29</f>
        <v>438.29</v>
      </c>
      <c r="G45" s="397">
        <f t="shared" si="19"/>
        <v>2.0102150424204956E-3</v>
      </c>
      <c r="H45" s="396">
        <f>338.29+99.98</f>
        <v>438.27000000000004</v>
      </c>
      <c r="I45" s="397">
        <f t="shared" si="31"/>
        <v>2.3926844683730486E-3</v>
      </c>
      <c r="J45" s="396">
        <f>108.85+338.29</f>
        <v>447.14</v>
      </c>
      <c r="K45" s="397">
        <f t="shared" si="40"/>
        <v>1.582794835361054E-3</v>
      </c>
      <c r="L45" s="396">
        <f>204.9+338.29</f>
        <v>543.19000000000005</v>
      </c>
      <c r="M45" s="397">
        <f t="shared" si="32"/>
        <v>1.8703582359773062E-3</v>
      </c>
      <c r="N45" s="396">
        <f>338.29+268.9</f>
        <v>607.19000000000005</v>
      </c>
      <c r="O45" s="397">
        <f t="shared" si="33"/>
        <v>2.4508202249762471E-3</v>
      </c>
      <c r="P45" s="396">
        <f>374.49+271.19</f>
        <v>645.68000000000006</v>
      </c>
      <c r="Q45" s="397">
        <f t="shared" si="34"/>
        <v>2.4609018163900759E-3</v>
      </c>
      <c r="R45" s="396">
        <f>374.49+268.9</f>
        <v>643.39</v>
      </c>
      <c r="S45" s="397">
        <f t="shared" si="35"/>
        <v>2.9093756108868048E-3</v>
      </c>
      <c r="T45" s="396">
        <f>253.74+374.49</f>
        <v>628.23</v>
      </c>
      <c r="U45" s="397">
        <f t="shared" si="41"/>
        <v>2.3884992523464685E-3</v>
      </c>
      <c r="V45" s="396">
        <f>511.57+374.49</f>
        <v>886.06</v>
      </c>
      <c r="W45" s="397">
        <f t="shared" si="42"/>
        <v>3.434148613221135E-3</v>
      </c>
      <c r="X45" s="396">
        <f>245.86+374.49</f>
        <v>620.35</v>
      </c>
      <c r="Y45" s="397">
        <f t="shared" si="28"/>
        <v>2.3756972471323324E-3</v>
      </c>
      <c r="Z45" s="398">
        <f t="shared" si="30"/>
        <v>564.53083333333336</v>
      </c>
      <c r="AA45" s="397">
        <f t="shared" si="13"/>
        <v>2.3395366912890205E-3</v>
      </c>
      <c r="AB45" s="399">
        <f t="shared" si="44"/>
        <v>6774.3700000000008</v>
      </c>
      <c r="AC45" s="400">
        <f t="shared" si="29"/>
        <v>2.3395366912890201E-3</v>
      </c>
      <c r="AD45" s="386"/>
      <c r="AE45" s="386"/>
    </row>
    <row r="46" spans="1:31" x14ac:dyDescent="0.3">
      <c r="A46" s="396" t="s">
        <v>156</v>
      </c>
      <c r="B46" s="396"/>
      <c r="C46" s="397">
        <f t="shared" si="17"/>
        <v>0</v>
      </c>
      <c r="D46" s="396">
        <v>61.37</v>
      </c>
      <c r="E46" s="397">
        <f t="shared" si="39"/>
        <v>3.4407879196890831E-4</v>
      </c>
      <c r="F46" s="396">
        <v>277.42</v>
      </c>
      <c r="G46" s="397">
        <f t="shared" si="19"/>
        <v>1.2723855371290559E-3</v>
      </c>
      <c r="H46" s="396"/>
      <c r="I46" s="397">
        <f t="shared" si="31"/>
        <v>0</v>
      </c>
      <c r="J46" s="396">
        <v>620.95000000000005</v>
      </c>
      <c r="K46" s="397">
        <f t="shared" si="40"/>
        <v>2.19805084093896E-3</v>
      </c>
      <c r="L46" s="396">
        <v>328.93</v>
      </c>
      <c r="M46" s="397">
        <f t="shared" si="32"/>
        <v>1.1325998905723877E-3</v>
      </c>
      <c r="N46" s="396"/>
      <c r="O46" s="397">
        <f t="shared" si="33"/>
        <v>0</v>
      </c>
      <c r="P46" s="396">
        <v>348.42</v>
      </c>
      <c r="Q46" s="397">
        <f t="shared" si="34"/>
        <v>1.3279448192086332E-3</v>
      </c>
      <c r="R46" s="396"/>
      <c r="S46" s="397">
        <f t="shared" si="35"/>
        <v>0</v>
      </c>
      <c r="T46" s="396"/>
      <c r="U46" s="397">
        <f t="shared" si="41"/>
        <v>0</v>
      </c>
      <c r="V46" s="396">
        <v>23</v>
      </c>
      <c r="W46" s="397">
        <f t="shared" si="42"/>
        <v>8.914229070727277E-5</v>
      </c>
      <c r="X46" s="396">
        <v>349.74</v>
      </c>
      <c r="Y46" s="397">
        <f t="shared" si="28"/>
        <v>1.3393670592601948E-3</v>
      </c>
      <c r="Z46" s="398">
        <f t="shared" si="30"/>
        <v>167.48583333333335</v>
      </c>
      <c r="AA46" s="397">
        <f t="shared" si="13"/>
        <v>6.9409716744928498E-4</v>
      </c>
      <c r="AB46" s="399">
        <f t="shared" si="44"/>
        <v>2009.8300000000002</v>
      </c>
      <c r="AC46" s="400">
        <f t="shared" si="29"/>
        <v>6.9409716744928476E-4</v>
      </c>
      <c r="AD46" s="386"/>
      <c r="AE46" s="386"/>
    </row>
    <row r="47" spans="1:31" x14ac:dyDescent="0.3">
      <c r="A47" s="396" t="s">
        <v>157</v>
      </c>
      <c r="B47" s="396">
        <f>600+252</f>
        <v>852</v>
      </c>
      <c r="C47" s="397">
        <f t="shared" si="17"/>
        <v>3.7093367227034831E-3</v>
      </c>
      <c r="D47" s="396">
        <f>600+154.84</f>
        <v>754.84</v>
      </c>
      <c r="E47" s="397">
        <f t="shared" si="39"/>
        <v>4.2321074683039075E-3</v>
      </c>
      <c r="F47" s="396">
        <v>600</v>
      </c>
      <c r="G47" s="397">
        <f t="shared" si="19"/>
        <v>2.7518972037972513E-3</v>
      </c>
      <c r="H47" s="396">
        <v>1144.0999999999999</v>
      </c>
      <c r="I47" s="397">
        <f t="shared" si="31"/>
        <v>6.2460818679480785E-3</v>
      </c>
      <c r="J47" s="396">
        <v>750</v>
      </c>
      <c r="K47" s="397">
        <f t="shared" si="40"/>
        <v>2.6548645312895079E-3</v>
      </c>
      <c r="L47" s="396">
        <v>650</v>
      </c>
      <c r="M47" s="397">
        <f t="shared" si="32"/>
        <v>2.2381355573284651E-3</v>
      </c>
      <c r="N47" s="396">
        <v>1200.5999999999999</v>
      </c>
      <c r="O47" s="397">
        <f t="shared" si="33"/>
        <v>4.8460197995791789E-3</v>
      </c>
      <c r="P47" s="396">
        <f>415.8+1000</f>
        <v>1415.8</v>
      </c>
      <c r="Q47" s="397">
        <f t="shared" si="34"/>
        <v>5.3960859739268204E-3</v>
      </c>
      <c r="R47" s="396">
        <v>1262.0999999999999</v>
      </c>
      <c r="S47" s="397">
        <f t="shared" si="35"/>
        <v>5.707149564805539E-3</v>
      </c>
      <c r="T47" s="396">
        <v>1143.57</v>
      </c>
      <c r="U47" s="397">
        <f t="shared" si="41"/>
        <v>4.3477963325626772E-3</v>
      </c>
      <c r="V47" s="396">
        <v>800</v>
      </c>
      <c r="W47" s="397">
        <f t="shared" si="42"/>
        <v>3.1006014159051399E-3</v>
      </c>
      <c r="X47" s="396">
        <v>884.9</v>
      </c>
      <c r="Y47" s="397">
        <f t="shared" si="28"/>
        <v>3.3888200112636426E-3</v>
      </c>
      <c r="Z47" s="398">
        <f t="shared" si="30"/>
        <v>954.82583333333332</v>
      </c>
      <c r="AA47" s="397">
        <f t="shared" si="13"/>
        <v>3.9570027693331452E-3</v>
      </c>
      <c r="AB47" s="399">
        <f>L47+N47+P47+R47+T47+V47+X47+J47+H47+F47+D47+B47</f>
        <v>11457.91</v>
      </c>
      <c r="AC47" s="400">
        <f t="shared" si="29"/>
        <v>3.9570027693331443E-3</v>
      </c>
      <c r="AD47" s="386"/>
      <c r="AE47" s="386"/>
    </row>
    <row r="48" spans="1:31" x14ac:dyDescent="0.3">
      <c r="A48" s="396" t="s">
        <v>163</v>
      </c>
      <c r="B48" s="396">
        <f>44+502.08</f>
        <v>546.07999999999993</v>
      </c>
      <c r="C48" s="397">
        <f t="shared" si="17"/>
        <v>2.3774584478097626E-3</v>
      </c>
      <c r="D48" s="396"/>
      <c r="E48" s="397">
        <f t="shared" si="39"/>
        <v>0</v>
      </c>
      <c r="F48" s="396">
        <v>706.22</v>
      </c>
      <c r="G48" s="397">
        <f t="shared" si="19"/>
        <v>3.2390747387761581E-3</v>
      </c>
      <c r="H48" s="396"/>
      <c r="I48" s="397">
        <f t="shared" si="31"/>
        <v>0</v>
      </c>
      <c r="J48" s="396">
        <v>319.77999999999997</v>
      </c>
      <c r="K48" s="397">
        <f t="shared" si="40"/>
        <v>1.1319634397543451E-3</v>
      </c>
      <c r="L48" s="396">
        <v>672.86</v>
      </c>
      <c r="M48" s="397">
        <f t="shared" si="32"/>
        <v>2.3168490632369709E-3</v>
      </c>
      <c r="N48" s="396">
        <v>284.01</v>
      </c>
      <c r="O48" s="397">
        <f t="shared" si="33"/>
        <v>1.1463585567870087E-3</v>
      </c>
      <c r="P48" s="396">
        <v>550.51</v>
      </c>
      <c r="Q48" s="397">
        <f t="shared" si="34"/>
        <v>2.0981772068840612E-3</v>
      </c>
      <c r="R48" s="396"/>
      <c r="S48" s="397">
        <f t="shared" si="35"/>
        <v>0</v>
      </c>
      <c r="T48" s="396"/>
      <c r="U48" s="397">
        <f t="shared" si="41"/>
        <v>0</v>
      </c>
      <c r="V48" s="396"/>
      <c r="W48" s="397">
        <f t="shared" si="42"/>
        <v>0</v>
      </c>
      <c r="X48" s="396"/>
      <c r="Y48" s="397">
        <f t="shared" si="28"/>
        <v>0</v>
      </c>
      <c r="Z48" s="398">
        <f t="shared" si="30"/>
        <v>256.62166666666667</v>
      </c>
      <c r="AA48" s="397">
        <f t="shared" si="13"/>
        <v>1.0634951529598896E-3</v>
      </c>
      <c r="AB48" s="399">
        <f>L48+N48+P48+R48+T48+V48+X48+J48+H48+F48+D48+B48</f>
        <v>3079.46</v>
      </c>
      <c r="AC48" s="400">
        <f t="shared" si="29"/>
        <v>1.0634951529598894E-3</v>
      </c>
      <c r="AD48" s="386"/>
      <c r="AE48" s="386"/>
    </row>
    <row r="49" spans="1:31" x14ac:dyDescent="0.3">
      <c r="A49" s="396" t="s">
        <v>152</v>
      </c>
      <c r="B49" s="396">
        <v>354.48</v>
      </c>
      <c r="C49" s="397">
        <f t="shared" si="17"/>
        <v>1.543293053361421E-3</v>
      </c>
      <c r="D49" s="396"/>
      <c r="E49" s="397">
        <f t="shared" si="39"/>
        <v>0</v>
      </c>
      <c r="F49" s="396">
        <f>99.57</f>
        <v>99.57</v>
      </c>
      <c r="G49" s="397">
        <f t="shared" si="19"/>
        <v>4.5667734097015381E-4</v>
      </c>
      <c r="H49" s="396">
        <v>154.74</v>
      </c>
      <c r="I49" s="397">
        <f t="shared" si="31"/>
        <v>8.4478516584764077E-4</v>
      </c>
      <c r="J49" s="396">
        <v>1294.8399999999999</v>
      </c>
      <c r="K49" s="397">
        <f t="shared" si="40"/>
        <v>4.5834997195932084E-3</v>
      </c>
      <c r="L49" s="396">
        <v>430.63</v>
      </c>
      <c r="M49" s="397">
        <f t="shared" si="32"/>
        <v>1.4827820231574722E-3</v>
      </c>
      <c r="N49" s="396">
        <v>433.8</v>
      </c>
      <c r="O49" s="397">
        <f t="shared" si="33"/>
        <v>1.7509606772092689E-3</v>
      </c>
      <c r="P49" s="396"/>
      <c r="Q49" s="397">
        <f t="shared" si="34"/>
        <v>0</v>
      </c>
      <c r="R49" s="396">
        <v>11.5</v>
      </c>
      <c r="S49" s="397">
        <f t="shared" si="35"/>
        <v>5.2002392833581895E-5</v>
      </c>
      <c r="T49" s="396">
        <v>531.48</v>
      </c>
      <c r="U49" s="397">
        <f t="shared" si="41"/>
        <v>2.0206605584532755E-3</v>
      </c>
      <c r="V49" s="396"/>
      <c r="W49" s="397">
        <f t="shared" si="42"/>
        <v>0</v>
      </c>
      <c r="X49" s="396">
        <v>407.84</v>
      </c>
      <c r="Y49" s="397">
        <f t="shared" si="28"/>
        <v>1.5618672769734025E-3</v>
      </c>
      <c r="Z49" s="398">
        <f t="shared" si="30"/>
        <v>309.90666666666669</v>
      </c>
      <c r="AA49" s="397">
        <f t="shared" si="13"/>
        <v>1.2843196061775358E-3</v>
      </c>
      <c r="AB49" s="399">
        <f t="shared" si="44"/>
        <v>3718.88</v>
      </c>
      <c r="AC49" s="400">
        <f t="shared" si="29"/>
        <v>1.2843196061775354E-3</v>
      </c>
      <c r="AD49" s="386"/>
      <c r="AE49" s="386"/>
    </row>
    <row r="50" spans="1:31" x14ac:dyDescent="0.3">
      <c r="A50" s="396" t="s">
        <v>17</v>
      </c>
      <c r="B50" s="396">
        <v>577.75</v>
      </c>
      <c r="C50" s="397">
        <f t="shared" si="17"/>
        <v>2.5153395440633067E-3</v>
      </c>
      <c r="D50" s="396">
        <v>431.36</v>
      </c>
      <c r="E50" s="397">
        <f t="shared" si="39"/>
        <v>2.4184752762540051E-3</v>
      </c>
      <c r="F50" s="396">
        <v>909.61</v>
      </c>
      <c r="G50" s="397">
        <f t="shared" si="19"/>
        <v>4.17192202591003E-3</v>
      </c>
      <c r="H50" s="396">
        <v>789.19</v>
      </c>
      <c r="I50" s="397">
        <f t="shared" si="31"/>
        <v>4.3084916959758284E-3</v>
      </c>
      <c r="J50" s="396">
        <v>345.75</v>
      </c>
      <c r="K50" s="397">
        <f t="shared" si="40"/>
        <v>1.223892548924463E-3</v>
      </c>
      <c r="L50" s="396"/>
      <c r="M50" s="397">
        <f t="shared" si="32"/>
        <v>0</v>
      </c>
      <c r="N50" s="396">
        <v>865.84</v>
      </c>
      <c r="O50" s="397">
        <f t="shared" si="33"/>
        <v>3.4948174106843553E-3</v>
      </c>
      <c r="P50" s="396">
        <v>815.78</v>
      </c>
      <c r="Q50" s="397">
        <f t="shared" si="34"/>
        <v>3.1092096452959607E-3</v>
      </c>
      <c r="R50" s="396">
        <v>254.14</v>
      </c>
      <c r="S50" s="397">
        <f t="shared" si="35"/>
        <v>1.1492076621501307E-3</v>
      </c>
      <c r="T50" s="396">
        <v>656.72</v>
      </c>
      <c r="U50" s="397">
        <f t="shared" si="41"/>
        <v>2.496816817090831E-3</v>
      </c>
      <c r="V50" s="396">
        <v>198.63</v>
      </c>
      <c r="W50" s="397">
        <f t="shared" si="42"/>
        <v>7.6984057405154733E-4</v>
      </c>
      <c r="X50" s="396">
        <v>438.53</v>
      </c>
      <c r="Y50" s="397">
        <f t="shared" si="28"/>
        <v>1.6793979427499662E-3</v>
      </c>
      <c r="Z50" s="398">
        <f t="shared" si="30"/>
        <v>523.60833333333335</v>
      </c>
      <c r="AA50" s="397">
        <f t="shared" si="13"/>
        <v>2.1699450860192615E-3</v>
      </c>
      <c r="AB50" s="399">
        <f t="shared" si="44"/>
        <v>6283.2999999999993</v>
      </c>
      <c r="AC50" s="400">
        <f t="shared" si="29"/>
        <v>2.1699450860192602E-3</v>
      </c>
      <c r="AD50" s="386"/>
      <c r="AE50" s="386"/>
    </row>
    <row r="51" spans="1:31" x14ac:dyDescent="0.3">
      <c r="A51" s="396" t="s">
        <v>153</v>
      </c>
      <c r="B51" s="396"/>
      <c r="C51" s="397">
        <f t="shared" si="17"/>
        <v>0</v>
      </c>
      <c r="D51" s="396"/>
      <c r="E51" s="397">
        <f t="shared" si="39"/>
        <v>0</v>
      </c>
      <c r="F51" s="396"/>
      <c r="G51" s="397">
        <f t="shared" si="19"/>
        <v>0</v>
      </c>
      <c r="H51" s="396"/>
      <c r="I51" s="397">
        <f t="shared" si="31"/>
        <v>0</v>
      </c>
      <c r="J51" s="396"/>
      <c r="K51" s="397">
        <f t="shared" si="40"/>
        <v>0</v>
      </c>
      <c r="L51" s="396"/>
      <c r="M51" s="397">
        <f t="shared" si="32"/>
        <v>0</v>
      </c>
      <c r="N51" s="396"/>
      <c r="O51" s="397">
        <f t="shared" si="33"/>
        <v>0</v>
      </c>
      <c r="P51" s="396"/>
      <c r="Q51" s="397">
        <f t="shared" si="34"/>
        <v>0</v>
      </c>
      <c r="R51" s="396"/>
      <c r="S51" s="397">
        <f t="shared" si="35"/>
        <v>0</v>
      </c>
      <c r="T51" s="396">
        <v>12.3</v>
      </c>
      <c r="U51" s="397">
        <f t="shared" si="41"/>
        <v>4.6763988991072637E-5</v>
      </c>
      <c r="V51" s="396"/>
      <c r="W51" s="397">
        <f t="shared" si="42"/>
        <v>0</v>
      </c>
      <c r="X51" s="396">
        <v>60</v>
      </c>
      <c r="Y51" s="397">
        <f t="shared" si="28"/>
        <v>2.297764726814539E-4</v>
      </c>
      <c r="Z51" s="398">
        <f t="shared" si="30"/>
        <v>6.0249999999999995</v>
      </c>
      <c r="AA51" s="397">
        <f t="shared" si="13"/>
        <v>2.4968890506452434E-5</v>
      </c>
      <c r="AB51" s="399">
        <f t="shared" si="44"/>
        <v>72.3</v>
      </c>
      <c r="AC51" s="400">
        <f t="shared" si="29"/>
        <v>2.4968890506452427E-5</v>
      </c>
      <c r="AD51" s="386"/>
      <c r="AE51" s="386"/>
    </row>
    <row r="52" spans="1:31" x14ac:dyDescent="0.3">
      <c r="A52" s="396" t="s">
        <v>154</v>
      </c>
      <c r="B52" s="404"/>
      <c r="C52" s="397">
        <f t="shared" si="17"/>
        <v>0</v>
      </c>
      <c r="D52" s="404"/>
      <c r="E52" s="397">
        <f t="shared" si="39"/>
        <v>0</v>
      </c>
      <c r="F52" s="404">
        <v>406.4</v>
      </c>
      <c r="G52" s="397">
        <f t="shared" si="19"/>
        <v>1.8639517060386715E-3</v>
      </c>
      <c r="H52" s="404"/>
      <c r="I52" s="397">
        <f t="shared" si="31"/>
        <v>0</v>
      </c>
      <c r="J52" s="404"/>
      <c r="K52" s="397">
        <f t="shared" si="40"/>
        <v>0</v>
      </c>
      <c r="L52" s="404"/>
      <c r="M52" s="397">
        <f t="shared" si="32"/>
        <v>0</v>
      </c>
      <c r="N52" s="404">
        <v>460</v>
      </c>
      <c r="O52" s="397">
        <f t="shared" si="33"/>
        <v>1.8567125668885747E-3</v>
      </c>
      <c r="P52" s="404"/>
      <c r="Q52" s="397">
        <f t="shared" si="34"/>
        <v>0</v>
      </c>
      <c r="R52" s="404"/>
      <c r="S52" s="397">
        <f t="shared" si="35"/>
        <v>0</v>
      </c>
      <c r="T52" s="404"/>
      <c r="U52" s="397">
        <f t="shared" si="41"/>
        <v>0</v>
      </c>
      <c r="V52" s="404"/>
      <c r="W52" s="397">
        <f t="shared" si="42"/>
        <v>0</v>
      </c>
      <c r="X52" s="404">
        <f>174.5+657.99</f>
        <v>832.49</v>
      </c>
      <c r="Y52" s="397">
        <f t="shared" si="28"/>
        <v>3.1881102623763928E-3</v>
      </c>
      <c r="Z52" s="398">
        <f t="shared" si="30"/>
        <v>141.57416666666666</v>
      </c>
      <c r="AA52" s="397">
        <f t="shared" si="13"/>
        <v>5.8671367071240629E-4</v>
      </c>
      <c r="AB52" s="399">
        <f t="shared" si="44"/>
        <v>1698.8899999999999</v>
      </c>
      <c r="AC52" s="400">
        <f t="shared" si="29"/>
        <v>5.8671367071240618E-4</v>
      </c>
      <c r="AD52" s="386"/>
      <c r="AE52" s="386"/>
    </row>
    <row r="53" spans="1:31" x14ac:dyDescent="0.3">
      <c r="A53" s="386" t="s">
        <v>155</v>
      </c>
      <c r="B53" s="404">
        <v>41.57</v>
      </c>
      <c r="C53" s="397">
        <f t="shared" si="17"/>
        <v>1.809825440877744E-4</v>
      </c>
      <c r="D53" s="404">
        <v>62.08</v>
      </c>
      <c r="E53" s="397">
        <f t="shared" si="39"/>
        <v>3.4805949821459719E-4</v>
      </c>
      <c r="F53" s="404">
        <v>44.91</v>
      </c>
      <c r="G53" s="397">
        <f t="shared" si="19"/>
        <v>2.0597950570422425E-4</v>
      </c>
      <c r="H53" s="404"/>
      <c r="I53" s="397">
        <f t="shared" si="31"/>
        <v>0</v>
      </c>
      <c r="J53" s="404"/>
      <c r="K53" s="397">
        <f t="shared" si="40"/>
        <v>0</v>
      </c>
      <c r="L53" s="404"/>
      <c r="M53" s="397">
        <f t="shared" si="32"/>
        <v>0</v>
      </c>
      <c r="N53" s="404"/>
      <c r="O53" s="397">
        <f t="shared" si="33"/>
        <v>0</v>
      </c>
      <c r="P53" s="404"/>
      <c r="Q53" s="397">
        <f t="shared" si="34"/>
        <v>0</v>
      </c>
      <c r="R53" s="404"/>
      <c r="S53" s="397">
        <f t="shared" si="35"/>
        <v>0</v>
      </c>
      <c r="T53" s="404"/>
      <c r="U53" s="397">
        <f t="shared" si="41"/>
        <v>0</v>
      </c>
      <c r="V53" s="404">
        <v>33.799999999999997</v>
      </c>
      <c r="W53" s="397">
        <f t="shared" si="42"/>
        <v>1.3100040982199214E-4</v>
      </c>
      <c r="X53" s="404"/>
      <c r="Y53" s="397">
        <f t="shared" si="28"/>
        <v>0</v>
      </c>
      <c r="Z53" s="398">
        <f t="shared" si="30"/>
        <v>15.196666666666667</v>
      </c>
      <c r="AA53" s="397">
        <f t="shared" si="13"/>
        <v>6.2978241670216681E-5</v>
      </c>
      <c r="AB53" s="399">
        <f t="shared" si="44"/>
        <v>182.35999999999999</v>
      </c>
      <c r="AC53" s="400">
        <f t="shared" si="29"/>
        <v>6.2978241670216654E-5</v>
      </c>
      <c r="AD53" s="386"/>
      <c r="AE53" s="386"/>
    </row>
    <row r="54" spans="1:31" x14ac:dyDescent="0.3">
      <c r="A54" s="404" t="s">
        <v>28</v>
      </c>
      <c r="B54" s="396"/>
      <c r="C54" s="397">
        <f t="shared" si="17"/>
        <v>0</v>
      </c>
      <c r="D54" s="396"/>
      <c r="E54" s="397">
        <f t="shared" si="39"/>
        <v>0</v>
      </c>
      <c r="F54" s="396"/>
      <c r="G54" s="397">
        <f t="shared" si="19"/>
        <v>0</v>
      </c>
      <c r="H54" s="396"/>
      <c r="I54" s="397">
        <f t="shared" si="31"/>
        <v>0</v>
      </c>
      <c r="J54" s="396"/>
      <c r="K54" s="397">
        <f t="shared" si="40"/>
        <v>0</v>
      </c>
      <c r="L54" s="396"/>
      <c r="M54" s="397">
        <f t="shared" si="32"/>
        <v>0</v>
      </c>
      <c r="N54" s="396"/>
      <c r="O54" s="397">
        <f t="shared" si="33"/>
        <v>0</v>
      </c>
      <c r="P54" s="396"/>
      <c r="Q54" s="397">
        <f t="shared" si="34"/>
        <v>0</v>
      </c>
      <c r="R54" s="396"/>
      <c r="S54" s="397">
        <f t="shared" si="35"/>
        <v>0</v>
      </c>
      <c r="T54" s="396"/>
      <c r="U54" s="397">
        <f t="shared" si="41"/>
        <v>0</v>
      </c>
      <c r="V54" s="396"/>
      <c r="W54" s="397">
        <f t="shared" si="42"/>
        <v>0</v>
      </c>
      <c r="X54" s="396">
        <v>1243.3</v>
      </c>
      <c r="Y54" s="397">
        <f t="shared" si="28"/>
        <v>4.7613514747475274E-3</v>
      </c>
      <c r="Z54" s="398">
        <f t="shared" si="30"/>
        <v>103.60833333333333</v>
      </c>
      <c r="AA54" s="397">
        <f t="shared" si="13"/>
        <v>4.293751254034898E-4</v>
      </c>
      <c r="AB54" s="399">
        <f t="shared" si="44"/>
        <v>1243.3</v>
      </c>
      <c r="AC54" s="400">
        <f t="shared" si="29"/>
        <v>4.2937512540348969E-4</v>
      </c>
      <c r="AD54" s="386"/>
      <c r="AE54" s="386"/>
    </row>
    <row r="55" spans="1:31" x14ac:dyDescent="0.3">
      <c r="A55" s="396" t="s">
        <v>201</v>
      </c>
      <c r="B55" s="404">
        <v>1800</v>
      </c>
      <c r="C55" s="397">
        <f t="shared" si="17"/>
        <v>7.8366268789510207E-3</v>
      </c>
      <c r="D55" s="404">
        <v>1800</v>
      </c>
      <c r="E55" s="397">
        <f t="shared" si="39"/>
        <v>1.0091931327098501E-2</v>
      </c>
      <c r="F55" s="404">
        <v>1800</v>
      </c>
      <c r="G55" s="397">
        <f t="shared" si="19"/>
        <v>8.255691611391754E-3</v>
      </c>
      <c r="H55" s="404">
        <v>1800</v>
      </c>
      <c r="I55" s="397">
        <f t="shared" si="31"/>
        <v>9.8268921967542538E-3</v>
      </c>
      <c r="J55" s="404">
        <v>1800</v>
      </c>
      <c r="K55" s="397">
        <f t="shared" si="40"/>
        <v>6.3716748750948186E-3</v>
      </c>
      <c r="L55" s="404">
        <v>1800</v>
      </c>
      <c r="M55" s="397">
        <f t="shared" si="32"/>
        <v>6.1979138510634421E-3</v>
      </c>
      <c r="N55" s="404">
        <v>1800</v>
      </c>
      <c r="O55" s="397">
        <f t="shared" si="33"/>
        <v>7.2653970008683356E-3</v>
      </c>
      <c r="P55" s="404">
        <v>1800</v>
      </c>
      <c r="Q55" s="397">
        <f t="shared" si="34"/>
        <v>6.8604003058823819E-3</v>
      </c>
      <c r="R55" s="404">
        <v>1800</v>
      </c>
      <c r="S55" s="397">
        <f t="shared" si="35"/>
        <v>8.1395049652562973E-3</v>
      </c>
      <c r="T55" s="404">
        <v>1800</v>
      </c>
      <c r="U55" s="397">
        <f t="shared" si="41"/>
        <v>6.8435105840594099E-3</v>
      </c>
      <c r="V55" s="404">
        <f>800+1000</f>
        <v>1800</v>
      </c>
      <c r="W55" s="397">
        <f t="shared" si="42"/>
        <v>6.9763531857865643E-3</v>
      </c>
      <c r="X55" s="404">
        <v>1800</v>
      </c>
      <c r="Y55" s="397">
        <f t="shared" si="28"/>
        <v>6.893294180443617E-3</v>
      </c>
      <c r="Z55" s="398">
        <f t="shared" si="30"/>
        <v>1800</v>
      </c>
      <c r="AA55" s="397">
        <f t="shared" si="13"/>
        <v>7.4595855454961633E-3</v>
      </c>
      <c r="AB55" s="399">
        <f t="shared" si="44"/>
        <v>21600</v>
      </c>
      <c r="AC55" s="400">
        <f t="shared" si="29"/>
        <v>7.4595855454961616E-3</v>
      </c>
      <c r="AD55" s="386"/>
      <c r="AE55" s="386"/>
    </row>
    <row r="56" spans="1:31" x14ac:dyDescent="0.3">
      <c r="A56" s="396" t="s">
        <v>151</v>
      </c>
      <c r="B56" s="396">
        <f>512.43</f>
        <v>512.42999999999995</v>
      </c>
      <c r="C56" s="397">
        <f t="shared" si="17"/>
        <v>2.2309570619893728E-3</v>
      </c>
      <c r="D56" s="396">
        <v>636.4</v>
      </c>
      <c r="E56" s="397">
        <f t="shared" si="39"/>
        <v>3.5680583869808252E-3</v>
      </c>
      <c r="F56" s="396">
        <v>1164.3499999999999</v>
      </c>
      <c r="G56" s="397">
        <f t="shared" si="19"/>
        <v>5.340285848735549E-3</v>
      </c>
      <c r="H56" s="396">
        <v>771.64</v>
      </c>
      <c r="I56" s="397">
        <f t="shared" si="31"/>
        <v>4.2126794970574737E-3</v>
      </c>
      <c r="J56" s="396">
        <v>616.46</v>
      </c>
      <c r="K56" s="397">
        <f t="shared" si="40"/>
        <v>2.1821570519449736E-3</v>
      </c>
      <c r="L56" s="396">
        <v>691.48</v>
      </c>
      <c r="M56" s="397">
        <f t="shared" si="32"/>
        <v>2.3809630387407492E-3</v>
      </c>
      <c r="N56" s="396">
        <v>1024.19</v>
      </c>
      <c r="O56" s="397">
        <f t="shared" si="33"/>
        <v>4.1339705301774114E-3</v>
      </c>
      <c r="P56" s="396">
        <v>1207.8699999999999</v>
      </c>
      <c r="Q56" s="397">
        <f t="shared" si="34"/>
        <v>4.603595398592307E-3</v>
      </c>
      <c r="R56" s="396">
        <v>1073.2</v>
      </c>
      <c r="S56" s="397">
        <f t="shared" si="35"/>
        <v>4.8529537381739206E-3</v>
      </c>
      <c r="T56" s="396">
        <v>1479</v>
      </c>
      <c r="U56" s="397">
        <f t="shared" si="41"/>
        <v>5.6230845299021486E-3</v>
      </c>
      <c r="V56" s="396">
        <v>1157.73</v>
      </c>
      <c r="W56" s="397">
        <f t="shared" si="42"/>
        <v>4.4870740965448214E-3</v>
      </c>
      <c r="X56" s="396">
        <f>99+3553.97</f>
        <v>3652.97</v>
      </c>
      <c r="Y56" s="397">
        <f t="shared" si="28"/>
        <v>1.3989442690186177E-2</v>
      </c>
      <c r="Z56" s="398">
        <f t="shared" si="30"/>
        <v>1165.6433333333332</v>
      </c>
      <c r="AA56" s="397">
        <f t="shared" si="13"/>
        <v>4.8306756447429435E-3</v>
      </c>
      <c r="AB56" s="399">
        <f>L56+N56+P56+R56+T56+V56+X56+J56+H56+F56+D56+B56</f>
        <v>13987.719999999998</v>
      </c>
      <c r="AC56" s="400">
        <f t="shared" si="29"/>
        <v>4.8306756447429417E-3</v>
      </c>
      <c r="AD56" s="386"/>
      <c r="AE56" s="386"/>
    </row>
    <row r="57" spans="1:31" x14ac:dyDescent="0.3">
      <c r="A57" s="396" t="s">
        <v>181</v>
      </c>
      <c r="B57" s="396">
        <f>1297+3650</f>
        <v>4947</v>
      </c>
      <c r="C57" s="397">
        <f t="shared" si="17"/>
        <v>2.1537662872317054E-2</v>
      </c>
      <c r="D57" s="396">
        <f>1297+3650+335</f>
        <v>5282</v>
      </c>
      <c r="E57" s="397">
        <f t="shared" si="39"/>
        <v>2.9614211816519045E-2</v>
      </c>
      <c r="F57" s="396">
        <f>1297+3650</f>
        <v>4947</v>
      </c>
      <c r="G57" s="397">
        <f t="shared" si="19"/>
        <v>2.2689392445308338E-2</v>
      </c>
      <c r="H57" s="396">
        <f>1297+3650</f>
        <v>4947</v>
      </c>
      <c r="I57" s="397">
        <f t="shared" si="31"/>
        <v>2.7007575387412944E-2</v>
      </c>
      <c r="J57" s="396">
        <f>1297+3650</f>
        <v>4947</v>
      </c>
      <c r="K57" s="397">
        <f t="shared" si="40"/>
        <v>1.7511486448385596E-2</v>
      </c>
      <c r="L57" s="396">
        <f>1297+3650</f>
        <v>4947</v>
      </c>
      <c r="M57" s="397">
        <f t="shared" si="32"/>
        <v>1.7033933234006027E-2</v>
      </c>
      <c r="N57" s="396">
        <f>1297+3650</f>
        <v>4947</v>
      </c>
      <c r="O57" s="397">
        <f t="shared" si="33"/>
        <v>1.9967732757386475E-2</v>
      </c>
      <c r="P57" s="396">
        <f>1297+3650</f>
        <v>4947</v>
      </c>
      <c r="Q57" s="397">
        <f t="shared" si="34"/>
        <v>1.8854666840666747E-2</v>
      </c>
      <c r="R57" s="396">
        <f>1297+3650</f>
        <v>4947</v>
      </c>
      <c r="S57" s="397">
        <f t="shared" si="35"/>
        <v>2.2370072812846056E-2</v>
      </c>
      <c r="T57" s="396">
        <f>1297+3650</f>
        <v>4947</v>
      </c>
      <c r="U57" s="397">
        <f t="shared" si="41"/>
        <v>1.8808248255189945E-2</v>
      </c>
      <c r="V57" s="396">
        <f>1297+3650+500</f>
        <v>5447</v>
      </c>
      <c r="W57" s="397">
        <f t="shared" si="42"/>
        <v>2.1111219890544118E-2</v>
      </c>
      <c r="X57" s="396">
        <v>3887.87</v>
      </c>
      <c r="Y57" s="397">
        <f t="shared" si="28"/>
        <v>1.4889017580734069E-2</v>
      </c>
      <c r="Z57" s="398">
        <f t="shared" si="30"/>
        <v>4928.3225000000002</v>
      </c>
      <c r="AA57" s="397">
        <f t="shared" si="13"/>
        <v>2.0424024046968622E-2</v>
      </c>
      <c r="AB57" s="399">
        <f>L57+N57+P57+R57+T57+V57+X57+J57+H57+F57+D57+B57</f>
        <v>59139.87</v>
      </c>
      <c r="AC57" s="400">
        <f t="shared" si="29"/>
        <v>2.0424024046968615E-2</v>
      </c>
      <c r="AD57" s="386"/>
      <c r="AE57" s="386"/>
    </row>
    <row r="58" spans="1:31" x14ac:dyDescent="0.3">
      <c r="A58" s="388" t="s">
        <v>107</v>
      </c>
      <c r="B58" s="389">
        <f>SUM(B59:B68)</f>
        <v>6946.26</v>
      </c>
      <c r="C58" s="390">
        <f t="shared" si="17"/>
        <v>3.0241804346767955E-2</v>
      </c>
      <c r="D58" s="389">
        <f>SUM(D59:D68)</f>
        <v>9552.81</v>
      </c>
      <c r="E58" s="390">
        <f t="shared" si="39"/>
        <v>5.3559056944899902E-2</v>
      </c>
      <c r="F58" s="389">
        <f>SUM(F59:F68)</f>
        <v>844.02</v>
      </c>
      <c r="G58" s="390">
        <f t="shared" si="19"/>
        <v>3.8710937965815932E-3</v>
      </c>
      <c r="H58" s="389">
        <f>SUM(H59:H68)</f>
        <v>4115.57</v>
      </c>
      <c r="I58" s="390">
        <f t="shared" si="31"/>
        <v>2.2468479287886613E-2</v>
      </c>
      <c r="J58" s="389">
        <f>SUM(J59:J68)</f>
        <v>35624.410000000003</v>
      </c>
      <c r="K58" s="390">
        <f t="shared" si="40"/>
        <v>0.12610397674282037</v>
      </c>
      <c r="L58" s="389">
        <f>SUM(L59:L68)</f>
        <v>45284.95</v>
      </c>
      <c r="M58" s="390">
        <f t="shared" si="32"/>
        <v>0.15592901047206412</v>
      </c>
      <c r="N58" s="389">
        <f>SUM(N59:N68)</f>
        <v>19556.38</v>
      </c>
      <c r="O58" s="390">
        <f t="shared" si="33"/>
        <v>7.893603588880084E-2</v>
      </c>
      <c r="P58" s="389">
        <f>SUM(P59:P68)</f>
        <v>7177.4599999999991</v>
      </c>
      <c r="Q58" s="390">
        <f t="shared" si="34"/>
        <v>2.7355693766365864E-2</v>
      </c>
      <c r="R58" s="389">
        <f>SUM(R59:R68)</f>
        <v>3752.05</v>
      </c>
      <c r="S58" s="390">
        <f t="shared" si="35"/>
        <v>1.6966572002716604E-2</v>
      </c>
      <c r="T58" s="389">
        <f>SUM(T59:T68)</f>
        <v>12536.07</v>
      </c>
      <c r="U58" s="390">
        <f t="shared" si="41"/>
        <v>4.7661515404172024E-2</v>
      </c>
      <c r="V58" s="389">
        <f>SUM(V59:V68)</f>
        <v>3948.36</v>
      </c>
      <c r="W58" s="390">
        <f t="shared" si="42"/>
        <v>1.5302863258129022E-2</v>
      </c>
      <c r="X58" s="389">
        <f>SUM(X59:X68)</f>
        <v>16596.309999999998</v>
      </c>
      <c r="Y58" s="390">
        <f t="shared" si="28"/>
        <v>6.3557359522132331E-2</v>
      </c>
      <c r="Z58" s="406">
        <f>(B58+D58+F58+H58+J58+L58+N58+P58+R58+T58+V58+X58)/AE$2</f>
        <v>13827.887499999999</v>
      </c>
      <c r="AA58" s="413">
        <f t="shared" si="13"/>
        <v>5.7305727622081706E-2</v>
      </c>
      <c r="AB58" s="389">
        <f>SUM(AB59:AB68)</f>
        <v>165934.65</v>
      </c>
      <c r="AC58" s="402">
        <f>AB58/AB$2</f>
        <v>5.7305727622081692E-2</v>
      </c>
      <c r="AD58" s="386"/>
      <c r="AE58" s="386"/>
    </row>
    <row r="59" spans="1:31" x14ac:dyDescent="0.3">
      <c r="A59" s="396" t="s">
        <v>234</v>
      </c>
      <c r="B59" s="396">
        <v>750</v>
      </c>
      <c r="C59" s="397">
        <f t="shared" si="17"/>
        <v>3.265261199562925E-3</v>
      </c>
      <c r="D59" s="396"/>
      <c r="E59" s="397">
        <f t="shared" si="39"/>
        <v>0</v>
      </c>
      <c r="F59" s="396"/>
      <c r="G59" s="397">
        <f t="shared" si="19"/>
        <v>0</v>
      </c>
      <c r="H59" s="396"/>
      <c r="I59" s="397">
        <f t="shared" si="31"/>
        <v>0</v>
      </c>
      <c r="J59" s="396"/>
      <c r="K59" s="397">
        <f t="shared" si="40"/>
        <v>0</v>
      </c>
      <c r="L59" s="396"/>
      <c r="M59" s="397">
        <f t="shared" si="32"/>
        <v>0</v>
      </c>
      <c r="N59" s="396"/>
      <c r="O59" s="397">
        <f t="shared" si="33"/>
        <v>0</v>
      </c>
      <c r="P59" s="396"/>
      <c r="Q59" s="397">
        <f t="shared" si="34"/>
        <v>0</v>
      </c>
      <c r="R59" s="396"/>
      <c r="S59" s="397">
        <f t="shared" si="35"/>
        <v>0</v>
      </c>
      <c r="T59" s="396"/>
      <c r="U59" s="397">
        <f t="shared" si="41"/>
        <v>0</v>
      </c>
      <c r="V59" s="396"/>
      <c r="W59" s="397">
        <f t="shared" si="42"/>
        <v>0</v>
      </c>
      <c r="X59" s="396"/>
      <c r="Y59" s="397">
        <f t="shared" si="28"/>
        <v>0</v>
      </c>
      <c r="Z59" s="398">
        <f>(B59+D59+F59+H59+J59+L59+N59+P59+R59+T59+V59+X59)/AE$2</f>
        <v>62.5</v>
      </c>
      <c r="AA59" s="397">
        <f t="shared" si="13"/>
        <v>2.5901338699639456E-4</v>
      </c>
      <c r="AB59" s="399">
        <f>L59+N59+P59+R59+T59+V59+X59+J59+H59+F59+D59+B59</f>
        <v>750</v>
      </c>
      <c r="AC59" s="412">
        <f>AB59/AB$2</f>
        <v>2.5901338699639451E-4</v>
      </c>
      <c r="AD59" s="386"/>
      <c r="AE59" s="414"/>
    </row>
    <row r="60" spans="1:31" x14ac:dyDescent="0.3">
      <c r="A60" s="396" t="s">
        <v>15</v>
      </c>
      <c r="B60" s="396">
        <v>19.72</v>
      </c>
      <c r="C60" s="397">
        <f t="shared" si="17"/>
        <v>8.5854601140507837E-5</v>
      </c>
      <c r="D60" s="396">
        <v>20</v>
      </c>
      <c r="E60" s="397">
        <f t="shared" si="39"/>
        <v>1.1213257030109445E-4</v>
      </c>
      <c r="F60" s="396">
        <f>20-0.25</f>
        <v>19.75</v>
      </c>
      <c r="G60" s="397">
        <f t="shared" si="19"/>
        <v>9.0583282958326186E-5</v>
      </c>
      <c r="H60" s="396">
        <v>33.979999999999997</v>
      </c>
      <c r="I60" s="397">
        <f t="shared" si="31"/>
        <v>1.855098871365053E-4</v>
      </c>
      <c r="J60" s="396"/>
      <c r="K60" s="397">
        <f t="shared" si="40"/>
        <v>0</v>
      </c>
      <c r="L60" s="396"/>
      <c r="M60" s="397">
        <f t="shared" si="32"/>
        <v>0</v>
      </c>
      <c r="N60" s="396"/>
      <c r="O60" s="397">
        <f t="shared" si="33"/>
        <v>0</v>
      </c>
      <c r="P60" s="396"/>
      <c r="Q60" s="397">
        <f t="shared" si="34"/>
        <v>0</v>
      </c>
      <c r="R60" s="396"/>
      <c r="S60" s="397">
        <f t="shared" si="35"/>
        <v>0</v>
      </c>
      <c r="T60" s="396"/>
      <c r="U60" s="397">
        <f t="shared" si="41"/>
        <v>0</v>
      </c>
      <c r="V60" s="396">
        <v>20</v>
      </c>
      <c r="W60" s="397">
        <f t="shared" si="42"/>
        <v>7.7515035397628492E-5</v>
      </c>
      <c r="X60" s="396">
        <v>20</v>
      </c>
      <c r="Y60" s="397">
        <f t="shared" si="28"/>
        <v>7.6592157560484639E-5</v>
      </c>
      <c r="Z60" s="398">
        <f t="shared" si="30"/>
        <v>11.120833333333332</v>
      </c>
      <c r="AA60" s="397">
        <f t="shared" si="13"/>
        <v>4.6087115326225133E-5</v>
      </c>
      <c r="AB60" s="399">
        <f t="shared" ref="AB60:AB68" si="45">L60+N60+P60+R60+T60+V60+X60+J60+H60+F60+D60+B60</f>
        <v>133.44999999999999</v>
      </c>
      <c r="AC60" s="412">
        <f t="shared" ref="AC60:AC68" si="46">AB60/AB$2</f>
        <v>4.608711532622512E-5</v>
      </c>
      <c r="AD60" s="386"/>
      <c r="AE60" s="414"/>
    </row>
    <row r="61" spans="1:31" x14ac:dyDescent="0.3">
      <c r="A61" s="396" t="s">
        <v>122</v>
      </c>
      <c r="B61" s="396"/>
      <c r="C61" s="397">
        <f t="shared" si="17"/>
        <v>0</v>
      </c>
      <c r="D61" s="396">
        <f>3329.99+899.99+110</f>
        <v>4339.9799999999996</v>
      </c>
      <c r="E61" s="397">
        <f t="shared" si="39"/>
        <v>2.4332655622767194E-2</v>
      </c>
      <c r="F61" s="396"/>
      <c r="G61" s="397">
        <f t="shared" si="19"/>
        <v>0</v>
      </c>
      <c r="H61" s="396"/>
      <c r="I61" s="397">
        <f t="shared" si="31"/>
        <v>0</v>
      </c>
      <c r="J61" s="396">
        <v>836.1</v>
      </c>
      <c r="K61" s="397">
        <f t="shared" si="40"/>
        <v>2.9596429794815434E-3</v>
      </c>
      <c r="L61" s="396"/>
      <c r="M61" s="397">
        <f t="shared" si="32"/>
        <v>0</v>
      </c>
      <c r="N61" s="396">
        <f>852.5+33.9+3321.88</f>
        <v>4208.28</v>
      </c>
      <c r="O61" s="397">
        <f t="shared" si="33"/>
        <v>1.6986013828230111E-2</v>
      </c>
      <c r="P61" s="396">
        <v>4068.89</v>
      </c>
      <c r="Q61" s="397">
        <f t="shared" si="34"/>
        <v>1.5507896778112091E-2</v>
      </c>
      <c r="R61" s="396"/>
      <c r="S61" s="397">
        <f t="shared" si="35"/>
        <v>0</v>
      </c>
      <c r="T61" s="396"/>
      <c r="U61" s="397">
        <f t="shared" si="41"/>
        <v>0</v>
      </c>
      <c r="V61" s="396">
        <v>2943.46</v>
      </c>
      <c r="W61" s="397">
        <f t="shared" si="42"/>
        <v>1.1408120304575178E-2</v>
      </c>
      <c r="X61" s="396"/>
      <c r="Y61" s="397">
        <f t="shared" si="28"/>
        <v>0</v>
      </c>
      <c r="Z61" s="398">
        <f t="shared" si="30"/>
        <v>1366.3924999999999</v>
      </c>
      <c r="AA61" s="397">
        <f t="shared" si="13"/>
        <v>5.662623190263537E-3</v>
      </c>
      <c r="AB61" s="399">
        <f t="shared" si="45"/>
        <v>16396.71</v>
      </c>
      <c r="AC61" s="412">
        <f t="shared" si="46"/>
        <v>5.6626231902635353E-3</v>
      </c>
      <c r="AD61" s="386"/>
      <c r="AE61" s="386"/>
    </row>
    <row r="62" spans="1:31" x14ac:dyDescent="0.3">
      <c r="A62" s="396" t="s">
        <v>235</v>
      </c>
      <c r="B62" s="396">
        <f>1078.54+84.99</f>
        <v>1163.53</v>
      </c>
      <c r="C62" s="397">
        <f t="shared" si="17"/>
        <v>5.0656391513699333E-3</v>
      </c>
      <c r="D62" s="396">
        <v>184.64</v>
      </c>
      <c r="E62" s="397">
        <f t="shared" si="39"/>
        <v>1.035207889019704E-3</v>
      </c>
      <c r="F62" s="396"/>
      <c r="G62" s="397">
        <f t="shared" si="19"/>
        <v>0</v>
      </c>
      <c r="H62" s="396">
        <v>174.19</v>
      </c>
      <c r="I62" s="397">
        <f t="shared" si="31"/>
        <v>9.5097019541812427E-4</v>
      </c>
      <c r="J62" s="396">
        <v>790.22</v>
      </c>
      <c r="K62" s="397">
        <f t="shared" si="40"/>
        <v>2.7972360665541266E-3</v>
      </c>
      <c r="L62" s="396">
        <v>688.92</v>
      </c>
      <c r="M62" s="397">
        <f t="shared" si="32"/>
        <v>2.3721482279303479E-3</v>
      </c>
      <c r="N62" s="396">
        <v>290</v>
      </c>
      <c r="O62" s="397">
        <f t="shared" si="33"/>
        <v>1.1705361834732318E-3</v>
      </c>
      <c r="P62" s="396">
        <v>306.73</v>
      </c>
      <c r="Q62" s="397">
        <f t="shared" si="34"/>
        <v>1.1690503254573907E-3</v>
      </c>
      <c r="R62" s="396">
        <v>184.9</v>
      </c>
      <c r="S62" s="397">
        <f t="shared" si="35"/>
        <v>8.3610803781993849E-4</v>
      </c>
      <c r="T62" s="396">
        <v>183.82</v>
      </c>
      <c r="U62" s="397">
        <f t="shared" si="41"/>
        <v>6.9887450864544482E-4</v>
      </c>
      <c r="V62" s="396"/>
      <c r="W62" s="397">
        <f t="shared" si="42"/>
        <v>0</v>
      </c>
      <c r="X62" s="396">
        <f>3269.56+5039.73</f>
        <v>8309.2899999999991</v>
      </c>
      <c r="Y62" s="397">
        <f t="shared" si="28"/>
        <v>3.1821322444787963E-2</v>
      </c>
      <c r="Z62" s="398">
        <f t="shared" si="30"/>
        <v>1023.02</v>
      </c>
      <c r="AA62" s="397">
        <f t="shared" si="13"/>
        <v>4.2396140026408251E-3</v>
      </c>
      <c r="AB62" s="399">
        <f t="shared" si="45"/>
        <v>12276.24</v>
      </c>
      <c r="AC62" s="412">
        <f t="shared" si="46"/>
        <v>4.2396140026408234E-3</v>
      </c>
      <c r="AD62" s="386"/>
      <c r="AE62" s="386"/>
    </row>
    <row r="63" spans="1:31" x14ac:dyDescent="0.3">
      <c r="A63" s="396" t="s">
        <v>236</v>
      </c>
      <c r="B63" s="396">
        <v>4829.1000000000004</v>
      </c>
      <c r="C63" s="397">
        <f t="shared" si="17"/>
        <v>2.1024363811745765E-2</v>
      </c>
      <c r="D63" s="396"/>
      <c r="E63" s="397"/>
      <c r="F63" s="396"/>
      <c r="G63" s="397"/>
      <c r="H63" s="396">
        <v>184.9</v>
      </c>
      <c r="I63" s="397">
        <f t="shared" si="31"/>
        <v>1.0094402039888121E-3</v>
      </c>
      <c r="J63" s="396">
        <v>353</v>
      </c>
      <c r="K63" s="397"/>
      <c r="L63" s="396">
        <v>535</v>
      </c>
      <c r="M63" s="397"/>
      <c r="N63" s="396"/>
      <c r="O63" s="397"/>
      <c r="P63" s="396"/>
      <c r="Q63" s="397"/>
      <c r="R63" s="396"/>
      <c r="S63" s="397"/>
      <c r="T63" s="396">
        <f>1795.59+484.3</f>
        <v>2279.89</v>
      </c>
      <c r="U63" s="397"/>
      <c r="V63" s="396">
        <f>110+524.3+75+275.6</f>
        <v>984.9</v>
      </c>
      <c r="W63" s="397"/>
      <c r="X63" s="396">
        <f>5436.65+879.3+1638.5</f>
        <v>7954.45</v>
      </c>
      <c r="Y63" s="397">
        <f t="shared" si="28"/>
        <v>3.0462424385349851E-2</v>
      </c>
      <c r="Z63" s="398">
        <f t="shared" si="30"/>
        <v>1426.7699999999998</v>
      </c>
      <c r="AA63" s="397">
        <f t="shared" si="13"/>
        <v>5.9128404826375332E-3</v>
      </c>
      <c r="AB63" s="399">
        <f t="shared" si="45"/>
        <v>17121.239999999998</v>
      </c>
      <c r="AC63" s="412">
        <f t="shared" si="46"/>
        <v>5.9128404826375314E-3</v>
      </c>
      <c r="AD63" s="386"/>
      <c r="AE63" s="386"/>
    </row>
    <row r="64" spans="1:31" x14ac:dyDescent="0.3">
      <c r="A64" s="396" t="s">
        <v>202</v>
      </c>
      <c r="B64" s="396"/>
      <c r="C64" s="397"/>
      <c r="D64" s="396"/>
      <c r="E64" s="397"/>
      <c r="F64" s="396">
        <v>666</v>
      </c>
      <c r="G64" s="397"/>
      <c r="H64" s="396"/>
      <c r="I64" s="397">
        <f t="shared" si="31"/>
        <v>0</v>
      </c>
      <c r="J64" s="396"/>
      <c r="K64" s="397"/>
      <c r="L64" s="396"/>
      <c r="M64" s="397"/>
      <c r="N64" s="396"/>
      <c r="O64" s="397"/>
      <c r="P64" s="396"/>
      <c r="Q64" s="397"/>
      <c r="R64" s="396">
        <v>510</v>
      </c>
      <c r="S64" s="397">
        <f t="shared" si="35"/>
        <v>2.3061930734892839E-3</v>
      </c>
      <c r="T64" s="396"/>
      <c r="U64" s="397"/>
      <c r="V64" s="396"/>
      <c r="W64" s="397"/>
      <c r="X64" s="396">
        <v>312.57</v>
      </c>
      <c r="Y64" s="397">
        <f t="shared" si="28"/>
        <v>1.1970205344340342E-3</v>
      </c>
      <c r="Z64" s="398">
        <f t="shared" si="30"/>
        <v>124.0475</v>
      </c>
      <c r="AA64" s="397">
        <f t="shared" si="13"/>
        <v>5.140794099749641E-4</v>
      </c>
      <c r="AB64" s="399">
        <f t="shared" si="45"/>
        <v>1488.57</v>
      </c>
      <c r="AC64" s="412">
        <f t="shared" si="46"/>
        <v>5.1407940997496388E-4</v>
      </c>
      <c r="AD64" s="386"/>
      <c r="AE64" s="386"/>
    </row>
    <row r="65" spans="1:31" x14ac:dyDescent="0.3">
      <c r="A65" s="396" t="s">
        <v>150</v>
      </c>
      <c r="B65" s="396"/>
      <c r="C65" s="397">
        <f>B65/B$2</f>
        <v>0</v>
      </c>
      <c r="D65" s="396">
        <f>160+5.4+65.71</f>
        <v>231.11</v>
      </c>
      <c r="E65" s="397">
        <f>D65/D$2</f>
        <v>1.2957479161142971E-3</v>
      </c>
      <c r="F65" s="396">
        <v>158.27000000000001</v>
      </c>
      <c r="G65" s="397">
        <f>F65/F$2</f>
        <v>7.2590461740831835E-4</v>
      </c>
      <c r="H65" s="396">
        <f>3400+322.5</f>
        <v>3722.5</v>
      </c>
      <c r="I65" s="397">
        <f t="shared" si="31"/>
        <v>2.0322559001343173E-2</v>
      </c>
      <c r="J65" s="396">
        <v>367.5</v>
      </c>
      <c r="K65" s="397">
        <f>J65/J$2</f>
        <v>1.3008836203318589E-3</v>
      </c>
      <c r="L65" s="396"/>
      <c r="M65" s="397">
        <f>L65/L$2</f>
        <v>0</v>
      </c>
      <c r="N65" s="396"/>
      <c r="O65" s="397">
        <f>N65/N$2</f>
        <v>0</v>
      </c>
      <c r="P65" s="396">
        <v>374</v>
      </c>
      <c r="Q65" s="397">
        <f>P65/P$2</f>
        <v>1.4254387302222282E-3</v>
      </c>
      <c r="R65" s="396"/>
      <c r="S65" s="397">
        <f>R65/R$2</f>
        <v>0</v>
      </c>
      <c r="T65" s="396">
        <v>480</v>
      </c>
      <c r="U65" s="397">
        <f>T65/T$2</f>
        <v>1.824936155749176E-3</v>
      </c>
      <c r="V65" s="396"/>
      <c r="W65" s="397">
        <f>V65/V$2</f>
        <v>0</v>
      </c>
      <c r="X65" s="396"/>
      <c r="Y65" s="397">
        <f t="shared" si="28"/>
        <v>0</v>
      </c>
      <c r="Z65" s="398">
        <f>(B65+D65+F65+H65+J65+L65+N65+P65+R65+T65+V65+X65)/AE$2</f>
        <v>444.44833333333332</v>
      </c>
      <c r="AA65" s="397">
        <f t="shared" si="13"/>
        <v>1.8418890905851078E-3</v>
      </c>
      <c r="AB65" s="399">
        <f t="shared" si="45"/>
        <v>5333.38</v>
      </c>
      <c r="AC65" s="412">
        <f t="shared" si="46"/>
        <v>1.8418890905851073E-3</v>
      </c>
      <c r="AD65" s="386"/>
      <c r="AE65" s="414"/>
    </row>
    <row r="66" spans="1:31" x14ac:dyDescent="0.3">
      <c r="A66" s="396" t="s">
        <v>237</v>
      </c>
      <c r="B66" s="396">
        <v>50.66</v>
      </c>
      <c r="C66" s="397"/>
      <c r="D66" s="396">
        <f>1957.08+2820</f>
        <v>4777.08</v>
      </c>
      <c r="E66" s="397"/>
      <c r="F66" s="396"/>
      <c r="G66" s="397"/>
      <c r="H66" s="396"/>
      <c r="I66" s="397"/>
      <c r="J66" s="396"/>
      <c r="K66" s="397"/>
      <c r="L66" s="396"/>
      <c r="M66" s="397"/>
      <c r="N66" s="396"/>
      <c r="O66" s="397"/>
      <c r="P66" s="396"/>
      <c r="Q66" s="397"/>
      <c r="R66" s="396"/>
      <c r="S66" s="397"/>
      <c r="T66" s="396"/>
      <c r="U66" s="397"/>
      <c r="V66" s="396"/>
      <c r="W66" s="397"/>
      <c r="X66" s="396"/>
      <c r="Y66" s="397">
        <f t="shared" si="28"/>
        <v>0</v>
      </c>
      <c r="Z66" s="398">
        <f t="shared" ref="Z66" si="47">(B66+D66+F66+H66+J66+L66+N66+P66+R66+T66+V66+X66)/AE$2</f>
        <v>402.31166666666667</v>
      </c>
      <c r="AA66" s="397">
        <f t="shared" si="13"/>
        <v>1.6672657185839651E-3</v>
      </c>
      <c r="AB66" s="399">
        <f t="shared" si="45"/>
        <v>4827.74</v>
      </c>
      <c r="AC66" s="412">
        <f t="shared" si="46"/>
        <v>1.6672657185839647E-3</v>
      </c>
      <c r="AD66" s="386"/>
      <c r="AE66" s="414"/>
    </row>
    <row r="67" spans="1:31" x14ac:dyDescent="0.3">
      <c r="A67" s="396" t="s">
        <v>238</v>
      </c>
      <c r="B67" s="396"/>
      <c r="C67" s="397"/>
      <c r="D67" s="396"/>
      <c r="E67" s="397"/>
      <c r="F67" s="396"/>
      <c r="G67" s="397"/>
      <c r="H67" s="396"/>
      <c r="I67" s="397"/>
      <c r="J67" s="396">
        <v>3525</v>
      </c>
      <c r="K67" s="397"/>
      <c r="L67" s="396">
        <v>43501.85</v>
      </c>
      <c r="M67" s="397"/>
      <c r="N67" s="396">
        <f>8619+6439.1</f>
        <v>15058.1</v>
      </c>
      <c r="O67" s="397"/>
      <c r="P67" s="396">
        <f>31.2+2396.64</f>
        <v>2427.8399999999997</v>
      </c>
      <c r="Q67" s="397"/>
      <c r="R67" s="396">
        <f>2157.15+900</f>
        <v>3057.15</v>
      </c>
      <c r="S67" s="397"/>
      <c r="T67" s="396"/>
      <c r="U67" s="397"/>
      <c r="V67" s="396"/>
      <c r="W67" s="397"/>
      <c r="X67" s="396"/>
      <c r="Y67" s="397">
        <f t="shared" si="28"/>
        <v>0</v>
      </c>
      <c r="Z67" s="398">
        <f>(B67+D67+F67+H67+J67+L67+N67+P67+R67+T67+V67+X67)/AE$2</f>
        <v>5630.828333333332</v>
      </c>
      <c r="AA67" s="397">
        <f t="shared" si="13"/>
        <v>2.3335358691390876E-2</v>
      </c>
      <c r="AB67" s="399">
        <f>L67+N67+P67+R67+T67+V67+X67+J67+H67+F67+D67+B67</f>
        <v>67569.94</v>
      </c>
      <c r="AC67" s="412">
        <f t="shared" si="46"/>
        <v>2.3335358691390876E-2</v>
      </c>
      <c r="AD67" s="386"/>
      <c r="AE67" s="414"/>
    </row>
    <row r="68" spans="1:31" x14ac:dyDescent="0.3">
      <c r="A68" s="396" t="s">
        <v>120</v>
      </c>
      <c r="B68" s="396">
        <f>133.25</f>
        <v>133.25</v>
      </c>
      <c r="C68" s="397">
        <f>B68/B$2</f>
        <v>5.8012807312234635E-4</v>
      </c>
      <c r="D68" s="396"/>
      <c r="E68" s="397">
        <f>D68/D$2</f>
        <v>0</v>
      </c>
      <c r="F68" s="396"/>
      <c r="G68" s="397">
        <f>F68/F$2</f>
        <v>0</v>
      </c>
      <c r="H68" s="415"/>
      <c r="I68" s="397">
        <f t="shared" si="31"/>
        <v>0</v>
      </c>
      <c r="J68" s="396">
        <v>29752.59</v>
      </c>
      <c r="K68" s="397">
        <f>J68/J$2</f>
        <v>0.10531879453999854</v>
      </c>
      <c r="L68" s="396">
        <v>559.17999999999995</v>
      </c>
      <c r="M68" s="397">
        <f>L68/L$2</f>
        <v>1.9254163706875862E-3</v>
      </c>
      <c r="N68" s="396"/>
      <c r="O68" s="397">
        <f>N68/N$2</f>
        <v>0</v>
      </c>
      <c r="P68" s="396"/>
      <c r="Q68" s="397">
        <f>P68/P$2</f>
        <v>0</v>
      </c>
      <c r="R68" s="396"/>
      <c r="S68" s="397">
        <f>R68/R$2</f>
        <v>0</v>
      </c>
      <c r="T68" s="396">
        <f>6500+3051.84+40.52</f>
        <v>9592.36</v>
      </c>
      <c r="U68" s="397">
        <f>T68/T$2</f>
        <v>3.6469676214504518E-2</v>
      </c>
      <c r="V68" s="396"/>
      <c r="W68" s="397">
        <f>V68/V$2</f>
        <v>0</v>
      </c>
      <c r="X68" s="396"/>
      <c r="Y68" s="397">
        <f t="shared" si="28"/>
        <v>0</v>
      </c>
      <c r="Z68" s="398">
        <f>(B68+D68+F68+H68+J68+L68+N68+P68+R68+T68+V68+X68)/AE$2</f>
        <v>3336.4483333333337</v>
      </c>
      <c r="AA68" s="397">
        <f t="shared" si="13"/>
        <v>1.3826956533682279E-2</v>
      </c>
      <c r="AB68" s="399">
        <f t="shared" si="45"/>
        <v>40037.380000000005</v>
      </c>
      <c r="AC68" s="412">
        <f t="shared" si="46"/>
        <v>1.3826956533682275E-2</v>
      </c>
      <c r="AD68" s="386"/>
      <c r="AE68" s="414"/>
    </row>
    <row r="69" spans="1:31" x14ac:dyDescent="0.3">
      <c r="A69" s="388" t="s">
        <v>191</v>
      </c>
      <c r="B69" s="407">
        <f>B2-B6-B17-B58</f>
        <v>113343.41</v>
      </c>
      <c r="C69" s="390">
        <f>B69/B$2</f>
        <v>0.49346111853220326</v>
      </c>
      <c r="D69" s="407">
        <f>D2-D6-D17-D58</f>
        <v>41379.450000000041</v>
      </c>
      <c r="E69" s="390">
        <f>D69/D$2</f>
        <v>0.23199920430728138</v>
      </c>
      <c r="F69" s="407">
        <f>F2-F6-F17-F58</f>
        <v>90470.49</v>
      </c>
      <c r="G69" s="390">
        <f>F69/F$2</f>
        <v>0.41494248076194534</v>
      </c>
      <c r="H69" s="407">
        <f>H2-H6-H17-H58</f>
        <v>16456.619999999974</v>
      </c>
      <c r="I69" s="390">
        <f t="shared" si="31"/>
        <v>8.9843017034972078E-2</v>
      </c>
      <c r="J69" s="407">
        <f>J2-J6-J17-J58</f>
        <v>126813.99999999997</v>
      </c>
      <c r="K69" s="390">
        <f>J69/J$2</f>
        <v>0.44889865422793013</v>
      </c>
      <c r="L69" s="407">
        <f>L2-L6-L17-L58</f>
        <v>109056.83</v>
      </c>
      <c r="M69" s="390">
        <f>L69/L$2</f>
        <v>0.37551379845003952</v>
      </c>
      <c r="N69" s="407">
        <f>N2-N6-N17-N58</f>
        <v>73956.349999999991</v>
      </c>
      <c r="O69" s="390">
        <f>N69/N$2</f>
        <v>0.29851235749176047</v>
      </c>
      <c r="P69" s="407">
        <f>P2-P6-P17-P58</f>
        <v>116414.14000000001</v>
      </c>
      <c r="Q69" s="390">
        <f>P69/P$2</f>
        <v>0.44369311203613032</v>
      </c>
      <c r="R69" s="407">
        <f>R2-R6-R17-R58</f>
        <v>62819.779999999984</v>
      </c>
      <c r="S69" s="390">
        <f>R69/R$2</f>
        <v>0.28406772845906003</v>
      </c>
      <c r="T69" s="407">
        <f>T2-T6-T17-T58</f>
        <v>87234.800000000017</v>
      </c>
      <c r="U69" s="390">
        <f>T69/T$2</f>
        <v>0.33166237616572553</v>
      </c>
      <c r="V69" s="407">
        <f>V2-V6-V17-V58</f>
        <v>85272.26999999999</v>
      </c>
      <c r="W69" s="390">
        <f>V69/V$2</f>
        <v>0.33049415137430666</v>
      </c>
      <c r="X69" s="407">
        <f>X2-X6-X17-X58</f>
        <v>30768.47000000003</v>
      </c>
      <c r="Y69" s="390">
        <f>X69/X$2</f>
        <v>0.11783117510675235</v>
      </c>
      <c r="Z69" s="407">
        <f>Z2-Z6-Z17-Z58</f>
        <v>79498.884166666627</v>
      </c>
      <c r="AA69" s="390">
        <f>Z69/Z$2</f>
        <v>0.32946040400707788</v>
      </c>
      <c r="AB69" s="407">
        <f>AB2-AB6-AB17-AB58</f>
        <v>953986.60999999975</v>
      </c>
      <c r="AC69" s="416">
        <f>AB69/AB$2</f>
        <v>0.32946040400707788</v>
      </c>
      <c r="AD69" s="386"/>
      <c r="AE69" s="386"/>
    </row>
    <row r="70" spans="1:31" x14ac:dyDescent="0.3">
      <c r="A70" s="388" t="s">
        <v>200</v>
      </c>
      <c r="B70" s="593">
        <f>B69/B2</f>
        <v>0.49346111853220326</v>
      </c>
      <c r="C70" s="594"/>
      <c r="D70" s="593">
        <f>D69/D2</f>
        <v>0.23199920430728138</v>
      </c>
      <c r="E70" s="594"/>
      <c r="F70" s="593">
        <f>F69/F2</f>
        <v>0.41494248076194534</v>
      </c>
      <c r="G70" s="594"/>
      <c r="H70" s="593">
        <f>H69/H2</f>
        <v>8.9843017034972078E-2</v>
      </c>
      <c r="I70" s="594"/>
      <c r="J70" s="593">
        <f>J69/J2</f>
        <v>0.44889865422793013</v>
      </c>
      <c r="K70" s="594"/>
      <c r="L70" s="593">
        <f>L69/L2</f>
        <v>0.37551379845003952</v>
      </c>
      <c r="M70" s="594"/>
      <c r="N70" s="593">
        <f>N69/N2</f>
        <v>0.29851235749176047</v>
      </c>
      <c r="O70" s="594"/>
      <c r="P70" s="593">
        <f>P69/P2</f>
        <v>0.44369311203613032</v>
      </c>
      <c r="Q70" s="594"/>
      <c r="R70" s="593">
        <f>R69/R2</f>
        <v>0.28406772845906003</v>
      </c>
      <c r="S70" s="594"/>
      <c r="T70" s="593">
        <f>T69/T2</f>
        <v>0.33166237616572553</v>
      </c>
      <c r="U70" s="594"/>
      <c r="V70" s="593">
        <f>V69/V2</f>
        <v>0.33049415137430666</v>
      </c>
      <c r="W70" s="594"/>
      <c r="X70" s="593">
        <f>X69/X2</f>
        <v>0.11783117510675235</v>
      </c>
      <c r="Y70" s="594"/>
      <c r="Z70" s="593">
        <f>Z69/Z2</f>
        <v>0.32946040400707788</v>
      </c>
      <c r="AA70" s="594">
        <f t="shared" si="13"/>
        <v>1.3653544819691802E-6</v>
      </c>
      <c r="AB70" s="593">
        <f>AB69/AB2</f>
        <v>0.32946040400707788</v>
      </c>
      <c r="AC70" s="595">
        <f>AB70/AB$2</f>
        <v>1.1377954016409832E-7</v>
      </c>
      <c r="AD70" s="386"/>
      <c r="AE70" s="386"/>
    </row>
    <row r="71" spans="1:31" x14ac:dyDescent="0.3">
      <c r="A71" s="388" t="s">
        <v>189</v>
      </c>
      <c r="B71" s="417">
        <f>(B17+B58)/C16</f>
        <v>103720.68419366879</v>
      </c>
      <c r="C71" s="390">
        <f>B71/B$2</f>
        <v>0.4515668342529417</v>
      </c>
      <c r="D71" s="417">
        <f>(D17+D58)/E16</f>
        <v>127363.56405923078</v>
      </c>
      <c r="E71" s="390">
        <f>D71/D$2</f>
        <v>0.71408019003348211</v>
      </c>
      <c r="F71" s="417">
        <f>(F17+F58)/G16</f>
        <v>113956.63067775886</v>
      </c>
      <c r="G71" s="390">
        <f>F71/F$2</f>
        <v>0.52266155552713445</v>
      </c>
      <c r="H71" s="417">
        <f>(H17+H58)/I16</f>
        <v>162757.03970175376</v>
      </c>
      <c r="I71" s="390">
        <f>H71/H$2</f>
        <v>0.88855326856221473</v>
      </c>
      <c r="J71" s="417">
        <f>(J17+J58)/K16</f>
        <v>140858.06945093334</v>
      </c>
      <c r="K71" s="390">
        <f>J71/J$2</f>
        <v>0.49861212337492944</v>
      </c>
      <c r="L71" s="417">
        <f>(L17+L58)/M16</f>
        <v>160814.59135928724</v>
      </c>
      <c r="M71" s="390">
        <f>L71/L$2</f>
        <v>0.55373054624379647</v>
      </c>
      <c r="N71" s="417">
        <f>(N17+N58)/O16</f>
        <v>158382.32510763014</v>
      </c>
      <c r="O71" s="390">
        <f>N71/N$2</f>
        <v>0.63928359434862758</v>
      </c>
      <c r="P71" s="417">
        <f>(P17+P58)/Q16</f>
        <v>119303.99209663697</v>
      </c>
      <c r="Q71" s="390">
        <f>P71/P$2</f>
        <v>0.45470730215153199</v>
      </c>
      <c r="R71" s="417">
        <f>(R17+R58)/S16</f>
        <v>140556.21890001546</v>
      </c>
      <c r="S71" s="390">
        <f>R71/R$2</f>
        <v>0.6355878009079593</v>
      </c>
      <c r="T71" s="417">
        <f>(T17+T58)/U16</f>
        <v>157177.73327454008</v>
      </c>
      <c r="U71" s="390">
        <f>T71/T$2</f>
        <v>0.5975819340237678</v>
      </c>
      <c r="V71" s="417">
        <f>(V17+V58)/W16</f>
        <v>151387.59658078096</v>
      </c>
      <c r="W71" s="390">
        <f>V71/V$2</f>
        <v>0.58674074538605692</v>
      </c>
      <c r="X71" s="417">
        <f>(X17+X58)/Y16</f>
        <v>222678.98388762888</v>
      </c>
      <c r="Y71" s="390">
        <f>X71/X$2</f>
        <v>0.85277319096649451</v>
      </c>
      <c r="Z71" s="418">
        <f>(B71+D71+F71+H71+J71+L71+N71+P71+R71+T71+V71+X71)/AE$2</f>
        <v>146579.78577415543</v>
      </c>
      <c r="AA71" s="390">
        <f t="shared" si="13"/>
        <v>0.60745802845711894</v>
      </c>
      <c r="AB71" s="417">
        <f>(AB17+AB58)/AC16</f>
        <v>1748866.2918497019</v>
      </c>
      <c r="AC71" s="416">
        <f>AB71/AB$2</f>
        <v>0.60397304220775494</v>
      </c>
      <c r="AD71" s="386"/>
      <c r="AE71" s="386"/>
    </row>
    <row r="72" spans="1:31" x14ac:dyDescent="0.3">
      <c r="A72" s="419" t="s">
        <v>190</v>
      </c>
      <c r="B72" s="389">
        <f>B6+B17+B58</f>
        <v>116347.24999999999</v>
      </c>
      <c r="C72" s="390">
        <f>B72/B$2</f>
        <v>0.50653888146779669</v>
      </c>
      <c r="D72" s="389">
        <f>D6+D17+D58</f>
        <v>136980.85999999996</v>
      </c>
      <c r="E72" s="390">
        <f>D72/D$2</f>
        <v>0.76800079569271862</v>
      </c>
      <c r="F72" s="389">
        <f>F6+F17+F58</f>
        <v>127560.90999999999</v>
      </c>
      <c r="G72" s="390">
        <f>F72/F$2</f>
        <v>0.58505751923805471</v>
      </c>
      <c r="H72" s="389">
        <f>H58+H17+H6</f>
        <v>166714.21000000002</v>
      </c>
      <c r="I72" s="390">
        <f>H72/H$2</f>
        <v>0.91015698296502801</v>
      </c>
      <c r="J72" s="389">
        <f>J58+J17+J6</f>
        <v>155686.29</v>
      </c>
      <c r="K72" s="390">
        <f>J72/J$2</f>
        <v>0.55110134577206993</v>
      </c>
      <c r="L72" s="389">
        <f>L58+L17+L6</f>
        <v>181363.47</v>
      </c>
      <c r="M72" s="390">
        <f>L72/L$2</f>
        <v>0.6244862015499606</v>
      </c>
      <c r="N72" s="389">
        <f>N58+N17+N6</f>
        <v>173793.36000000004</v>
      </c>
      <c r="O72" s="390">
        <f>N72/N$2</f>
        <v>0.70148764250823958</v>
      </c>
      <c r="P72" s="389">
        <f>P58+P17+P6</f>
        <v>145961.21999999997</v>
      </c>
      <c r="Q72" s="390">
        <f>P72/P$2</f>
        <v>0.55630688796386973</v>
      </c>
      <c r="R72" s="389">
        <f>R58+R17+R6</f>
        <v>158323.89000000001</v>
      </c>
      <c r="S72" s="390">
        <f>R72/R$2</f>
        <v>0.71593227154093986</v>
      </c>
      <c r="T72" s="389">
        <f>T58+T17+T6</f>
        <v>175788.1</v>
      </c>
      <c r="U72" s="390">
        <f>T72/T$2</f>
        <v>0.66833762383427442</v>
      </c>
      <c r="V72" s="389">
        <f>V58+V17+V6</f>
        <v>172742.19</v>
      </c>
      <c r="W72" s="390">
        <f>V72/V$2</f>
        <v>0.66950584862569329</v>
      </c>
      <c r="X72" s="389">
        <f>X58+X17+X6</f>
        <v>230354.86999999997</v>
      </c>
      <c r="Y72" s="390">
        <f>X72/X$2</f>
        <v>0.88216882489324766</v>
      </c>
      <c r="Z72" s="420">
        <f>(B72+D72+F72+H72+J72+L72+N72+P72+R72+T72+V72+X72)/AE$2</f>
        <v>161801.38499999998</v>
      </c>
      <c r="AA72" s="390">
        <f t="shared" ref="AA72" si="48">Z72/Z$2</f>
        <v>0.67053959599292201</v>
      </c>
      <c r="AB72" s="389">
        <f>B72+D72+F72+H72+J72+L72+N72+P72+R72+T72+V72+X72</f>
        <v>1941616.6199999999</v>
      </c>
      <c r="AC72" s="416">
        <f>AB72/AB$2</f>
        <v>0.6705395959929219</v>
      </c>
      <c r="AD72" s="386"/>
      <c r="AE72" s="386"/>
    </row>
    <row r="73" spans="1:31" x14ac:dyDescent="0.3">
      <c r="A73" s="421" t="s">
        <v>180</v>
      </c>
      <c r="B73" s="417"/>
      <c r="C73" s="422"/>
      <c r="D73" s="417"/>
      <c r="E73" s="422"/>
      <c r="F73" s="417"/>
      <c r="G73" s="422"/>
      <c r="H73" s="417"/>
      <c r="I73" s="422"/>
      <c r="J73" s="417"/>
      <c r="K73" s="422"/>
      <c r="L73" s="417"/>
      <c r="M73" s="422"/>
      <c r="N73" s="417"/>
      <c r="O73" s="422"/>
      <c r="P73" s="417"/>
      <c r="Q73" s="422"/>
      <c r="R73" s="423"/>
      <c r="S73" s="422"/>
      <c r="T73" s="417"/>
      <c r="U73" s="422"/>
      <c r="V73" s="417"/>
      <c r="W73" s="422"/>
      <c r="X73" s="417"/>
      <c r="Y73" s="422"/>
      <c r="Z73" s="420">
        <f>(B73+D73+F73+H73+J73+L73+N73+P73+R73+T73+V73+X73)/AE$2</f>
        <v>0</v>
      </c>
      <c r="AA73" s="422"/>
      <c r="AB73" s="424"/>
      <c r="AC73" s="422"/>
      <c r="AD73" s="386"/>
      <c r="AE73" s="386"/>
    </row>
    <row r="74" spans="1:31" x14ac:dyDescent="0.3">
      <c r="A74" s="421" t="s">
        <v>211</v>
      </c>
      <c r="B74" s="425">
        <v>20000</v>
      </c>
      <c r="C74" s="397"/>
      <c r="D74" s="425">
        <v>80000</v>
      </c>
      <c r="E74" s="397"/>
      <c r="F74" s="425">
        <v>80000</v>
      </c>
      <c r="G74" s="397"/>
      <c r="H74" s="425">
        <v>26000</v>
      </c>
      <c r="I74" s="397"/>
      <c r="J74" s="425">
        <v>64000</v>
      </c>
      <c r="K74" s="397"/>
      <c r="L74" s="425">
        <v>91000</v>
      </c>
      <c r="M74" s="397"/>
      <c r="N74" s="425">
        <v>120000</v>
      </c>
      <c r="O74" s="397"/>
      <c r="P74" s="425">
        <v>34000</v>
      </c>
      <c r="Q74" s="397"/>
      <c r="R74" s="425">
        <v>40000</v>
      </c>
      <c r="S74" s="397">
        <f>R74/R$2</f>
        <v>0.18087788811680658</v>
      </c>
      <c r="T74" s="425">
        <v>60000</v>
      </c>
      <c r="U74" s="397"/>
      <c r="V74" s="425">
        <v>70000</v>
      </c>
      <c r="W74" s="397"/>
      <c r="X74" s="425">
        <v>55000</v>
      </c>
      <c r="Y74" s="397"/>
      <c r="Z74" s="398">
        <f>(B74+D74+F74+H74+J74+L74+N74+P74+R74+T74+V74+X74)/AE$2</f>
        <v>61666.666666666664</v>
      </c>
      <c r="AA74" s="397">
        <f>Z74/Z$2</f>
        <v>0.25555987516977596</v>
      </c>
      <c r="AB74" s="399">
        <f>L74+N74+P74+R74+T74+V74+X74+J74+H74+F74+D74+B74</f>
        <v>740000</v>
      </c>
      <c r="AC74" s="400">
        <f>AB74/AB$2</f>
        <v>0.25555987516977591</v>
      </c>
      <c r="AD74" s="386"/>
      <c r="AE74" s="386"/>
    </row>
    <row r="75" spans="1:31" ht="15" thickBot="1" x14ac:dyDescent="0.35">
      <c r="A75" s="426" t="s">
        <v>239</v>
      </c>
      <c r="B75" s="427">
        <f>B69-B73-B74</f>
        <v>93343.41</v>
      </c>
      <c r="C75" s="428"/>
      <c r="D75" s="427">
        <f>D69-D73-D74</f>
        <v>-38620.549999999959</v>
      </c>
      <c r="E75" s="428"/>
      <c r="F75" s="427">
        <f>F69-F73-F74</f>
        <v>10470.490000000005</v>
      </c>
      <c r="G75" s="429"/>
      <c r="H75" s="427">
        <f>H69-H73-H74</f>
        <v>-9543.3800000000265</v>
      </c>
      <c r="I75" s="429"/>
      <c r="J75" s="427">
        <f>J69-J73-J74</f>
        <v>62813.999999999971</v>
      </c>
      <c r="K75" s="429"/>
      <c r="L75" s="427">
        <f>L69-L73-L74</f>
        <v>18056.830000000002</v>
      </c>
      <c r="M75" s="429"/>
      <c r="N75" s="427">
        <f>N69-N73-N74</f>
        <v>-46043.650000000009</v>
      </c>
      <c r="O75" s="429"/>
      <c r="P75" s="427">
        <f>P69-P73-P74</f>
        <v>82414.140000000014</v>
      </c>
      <c r="Q75" s="429"/>
      <c r="R75" s="427">
        <f>R69-R73-R74</f>
        <v>22819.779999999984</v>
      </c>
      <c r="S75" s="429"/>
      <c r="T75" s="427">
        <f>T69-T73-T74</f>
        <v>27234.800000000017</v>
      </c>
      <c r="U75" s="429"/>
      <c r="V75" s="427">
        <f>V69-V73-V74</f>
        <v>15272.26999999999</v>
      </c>
      <c r="W75" s="429"/>
      <c r="X75" s="427">
        <f>X69-X73-X74</f>
        <v>-24231.52999999997</v>
      </c>
      <c r="Y75" s="428"/>
      <c r="Z75" s="420">
        <f>(B75+D75+F75+H75+J75+L75+N75+P75+R75+T75+V75+X75)/AE$2</f>
        <v>17832.217499999999</v>
      </c>
      <c r="AA75" s="428"/>
      <c r="AB75" s="427">
        <f>AB69-AB73-AB74</f>
        <v>213986.60999999975</v>
      </c>
      <c r="AC75" s="428"/>
      <c r="AD75" s="386"/>
      <c r="AE75" s="386"/>
    </row>
    <row r="76" spans="1:31" x14ac:dyDescent="0.3">
      <c r="A76" s="430" t="s">
        <v>213</v>
      </c>
      <c r="B76" s="431">
        <f>B75/B2</f>
        <v>0.40638748654385859</v>
      </c>
      <c r="C76" s="432"/>
      <c r="D76" s="431">
        <f>D75/D2</f>
        <v>-0.21653107689709644</v>
      </c>
      <c r="E76" s="432"/>
      <c r="F76" s="431">
        <f>F75/F2</f>
        <v>4.8022853588978495E-2</v>
      </c>
      <c r="G76" s="433"/>
      <c r="H76" s="431">
        <f>H75/H2</f>
        <v>-5.210098136258938E-2</v>
      </c>
      <c r="I76" s="433"/>
      <c r="J76" s="431">
        <f>J75/J2</f>
        <v>0.22235021422455875</v>
      </c>
      <c r="K76" s="433"/>
      <c r="L76" s="431">
        <f>L75/L2</f>
        <v>6.2174820424054388E-2</v>
      </c>
      <c r="M76" s="433"/>
      <c r="N76" s="434">
        <f>N75/N2</f>
        <v>-0.18584744256612856</v>
      </c>
      <c r="O76" s="433"/>
      <c r="P76" s="434">
        <f>P75/P2</f>
        <v>0.31410777292501862</v>
      </c>
      <c r="Q76" s="433"/>
      <c r="R76" s="434">
        <f>R75/R2</f>
        <v>0.10318984034225344</v>
      </c>
      <c r="S76" s="433"/>
      <c r="T76" s="434">
        <f>T75/T2</f>
        <v>0.10354535669707852</v>
      </c>
      <c r="U76" s="433"/>
      <c r="V76" s="434">
        <f>V75/V2</f>
        <v>5.9191527482606941E-2</v>
      </c>
      <c r="W76" s="433"/>
      <c r="X76" s="434">
        <f>X75/X2</f>
        <v>-9.27972581845804E-2</v>
      </c>
      <c r="Y76" s="432"/>
      <c r="Z76" s="435">
        <f>Z75/Z2</f>
        <v>7.3900528837302068E-2</v>
      </c>
      <c r="AA76" s="432"/>
      <c r="AB76" s="436">
        <f>AB75/AB2</f>
        <v>7.3900528837301971E-2</v>
      </c>
      <c r="AC76" s="437"/>
      <c r="AD76" s="386"/>
      <c r="AE76" s="386"/>
    </row>
    <row r="77" spans="1:31" x14ac:dyDescent="0.3">
      <c r="A77" s="438" t="s">
        <v>212</v>
      </c>
      <c r="B77" s="439">
        <f>(B17+B58+B74)/C16</f>
        <v>125948.70359176722</v>
      </c>
      <c r="C77" s="440"/>
      <c r="D77" s="439">
        <f>(D17+D58+D74)/E16</f>
        <v>225956.94012540695</v>
      </c>
      <c r="E77" s="441"/>
      <c r="F77" s="439">
        <f>(F17+F58+F74)/G16</f>
        <v>205986.43559844946</v>
      </c>
      <c r="G77" s="441"/>
      <c r="H77" s="439">
        <f>(H17+H58-H74)/I16</f>
        <v>130505.06160695651</v>
      </c>
      <c r="I77" s="441"/>
      <c r="J77" s="439">
        <f>(J17+J58-J74)/K16</f>
        <v>69374.620343261748</v>
      </c>
      <c r="K77" s="441"/>
      <c r="L77" s="439">
        <f>(L17+L58-L74)/M16</f>
        <v>52668.045321731748</v>
      </c>
      <c r="M77" s="441"/>
      <c r="N77" s="439">
        <f>(N17+N58-N74)/O16</f>
        <v>13376.707779511733</v>
      </c>
      <c r="O77" s="441"/>
      <c r="P77" s="439">
        <f>(P17+P58-P74)/Q16</f>
        <v>77518.462360177611</v>
      </c>
      <c r="Q77" s="441"/>
      <c r="R77" s="439">
        <f>(R17+R58-R74)/S16</f>
        <v>89242.794306688607</v>
      </c>
      <c r="S77" s="441"/>
      <c r="T77" s="439">
        <f>(T17+T58-T74)/U16</f>
        <v>84377.543401604096</v>
      </c>
      <c r="U77" s="441"/>
      <c r="V77" s="439">
        <f>(V17+V58-V74)/W16</f>
        <v>63857.612456453848</v>
      </c>
      <c r="W77" s="441"/>
      <c r="X77" s="439">
        <f>(X17+X58-X74)/Y16</f>
        <v>153957.99821039473</v>
      </c>
      <c r="Y77" s="440"/>
      <c r="Z77" s="442">
        <f>(B77+D77+F77+H77+J77+L77+N77+P77+R77+T77+V77+X77)/12</f>
        <v>107730.91042520036</v>
      </c>
      <c r="AA77" s="440"/>
      <c r="AB77" s="443">
        <f>(AB17+AB58+AB74)/AC16</f>
        <v>2638381.223543786</v>
      </c>
      <c r="AC77" s="444"/>
      <c r="AD77" s="386"/>
      <c r="AE77" s="386"/>
    </row>
    <row r="78" spans="1:31" ht="15" thickBot="1" x14ac:dyDescent="0.35">
      <c r="A78" s="445" t="s">
        <v>214</v>
      </c>
      <c r="B78" s="446">
        <f>B72+B74</f>
        <v>136347.25</v>
      </c>
      <c r="C78" s="447"/>
      <c r="D78" s="446">
        <f>D72+D74</f>
        <v>216980.85999999996</v>
      </c>
      <c r="E78" s="447"/>
      <c r="F78" s="446">
        <f>F72+F74</f>
        <v>207560.90999999997</v>
      </c>
      <c r="G78" s="448"/>
      <c r="H78" s="446">
        <f>H72+H74</f>
        <v>192714.21000000002</v>
      </c>
      <c r="I78" s="448"/>
      <c r="J78" s="446">
        <f>J72+J74</f>
        <v>219686.29</v>
      </c>
      <c r="K78" s="448"/>
      <c r="L78" s="446">
        <f>L72+L74</f>
        <v>272363.46999999997</v>
      </c>
      <c r="M78" s="448"/>
      <c r="N78" s="446">
        <f>N72+N74</f>
        <v>293793.36000000004</v>
      </c>
      <c r="O78" s="448"/>
      <c r="P78" s="446">
        <f>P72+P74</f>
        <v>179961.21999999997</v>
      </c>
      <c r="Q78" s="448"/>
      <c r="R78" s="446">
        <f>R72+R74</f>
        <v>198323.89</v>
      </c>
      <c r="S78" s="448"/>
      <c r="T78" s="446">
        <f>T72+T74</f>
        <v>235788.1</v>
      </c>
      <c r="U78" s="448"/>
      <c r="V78" s="446">
        <f>V72+V74</f>
        <v>242742.19</v>
      </c>
      <c r="W78" s="448"/>
      <c r="X78" s="446">
        <f>X72+X74</f>
        <v>285354.87</v>
      </c>
      <c r="Y78" s="447"/>
      <c r="Z78" s="449">
        <f>Z72+Z74</f>
        <v>223468.05166666664</v>
      </c>
      <c r="AA78" s="447"/>
      <c r="AB78" s="450">
        <f>AB72+AB74</f>
        <v>2681616.62</v>
      </c>
      <c r="AC78" s="451"/>
      <c r="AD78" s="386"/>
      <c r="AE78" s="386"/>
    </row>
    <row r="79" spans="1:31" x14ac:dyDescent="0.3">
      <c r="A79" s="452"/>
      <c r="B79" s="453"/>
      <c r="C79" s="454"/>
      <c r="D79" s="453"/>
      <c r="E79" s="454"/>
      <c r="F79" s="453"/>
      <c r="G79" s="453"/>
      <c r="H79" s="453"/>
      <c r="I79" s="453"/>
      <c r="J79" s="453"/>
      <c r="K79" s="453"/>
      <c r="L79" s="453"/>
      <c r="M79" s="453"/>
      <c r="N79" s="453"/>
      <c r="O79" s="453"/>
      <c r="P79" s="453"/>
      <c r="Q79" s="453"/>
      <c r="R79" s="453"/>
      <c r="S79" s="453"/>
      <c r="T79" s="453"/>
      <c r="U79" s="453"/>
      <c r="V79" s="453"/>
      <c r="W79" s="453"/>
      <c r="X79" s="453"/>
      <c r="Y79" s="454"/>
      <c r="Z79" s="455"/>
      <c r="AA79" s="454"/>
      <c r="AB79" s="456"/>
      <c r="AC79" s="386"/>
      <c r="AD79" s="386"/>
      <c r="AE79" s="386"/>
    </row>
    <row r="80" spans="1:31" x14ac:dyDescent="0.3">
      <c r="A80" s="457"/>
      <c r="B80" s="403"/>
      <c r="C80" s="386"/>
      <c r="D80" s="403"/>
      <c r="E80" s="386"/>
      <c r="F80" s="403"/>
      <c r="G80" s="403"/>
      <c r="H80" s="403"/>
      <c r="I80" s="403"/>
      <c r="J80" s="403"/>
      <c r="K80" s="403"/>
      <c r="L80" s="403"/>
      <c r="M80" s="403"/>
      <c r="N80" s="403"/>
      <c r="O80" s="403"/>
      <c r="P80" s="403"/>
      <c r="Q80" s="403"/>
      <c r="R80" s="403"/>
      <c r="S80" s="403"/>
      <c r="T80" s="403"/>
      <c r="U80" s="403"/>
      <c r="V80" s="403"/>
      <c r="W80" s="403"/>
      <c r="X80" s="403"/>
      <c r="Y80" s="386"/>
      <c r="Z80" s="458"/>
      <c r="AA80" s="386"/>
      <c r="AB80" s="459"/>
      <c r="AC80" s="386"/>
      <c r="AD80" s="386"/>
      <c r="AE80" s="386"/>
    </row>
    <row r="81" spans="1:31" x14ac:dyDescent="0.3">
      <c r="A81" s="386"/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86"/>
      <c r="AB81" s="386"/>
      <c r="AC81" s="386"/>
      <c r="AD81" s="386"/>
      <c r="AE81" s="386"/>
    </row>
    <row r="82" spans="1:31" x14ac:dyDescent="0.3">
      <c r="A82" s="460" t="s">
        <v>165</v>
      </c>
      <c r="B82" s="461">
        <f>SUM(B83:B86)</f>
        <v>188674.27999999997</v>
      </c>
      <c r="C82" s="462"/>
      <c r="D82" s="461">
        <f>SUM(D83:D86)</f>
        <v>300053.73</v>
      </c>
      <c r="E82" s="462"/>
      <c r="F82" s="461">
        <f>SUM(F83:F86)</f>
        <v>110524.21999999996</v>
      </c>
      <c r="G82" s="462"/>
      <c r="H82" s="461">
        <f>SUM(H83:H86)</f>
        <v>100980.83999999997</v>
      </c>
      <c r="I82" s="462"/>
      <c r="J82" s="461">
        <f>SUM(J83:J86)</f>
        <v>187637.11</v>
      </c>
      <c r="K82" s="462"/>
      <c r="L82" s="461">
        <f>SUM(L83:L86)</f>
        <v>205693.93999999997</v>
      </c>
      <c r="M82" s="462"/>
      <c r="N82" s="463">
        <f>SUM(N83:N86)</f>
        <v>159650.29</v>
      </c>
      <c r="O82" s="462"/>
      <c r="P82" s="461">
        <f>SUM(P83:P86)</f>
        <v>242064.43000000002</v>
      </c>
      <c r="Q82" s="462"/>
      <c r="R82" s="461">
        <f>SUM(R83:R86)</f>
        <v>124884.21000000002</v>
      </c>
      <c r="S82" s="462"/>
      <c r="T82" s="461">
        <f>SUM(T83:T86)</f>
        <v>152119.00000000003</v>
      </c>
      <c r="U82" s="462"/>
      <c r="V82" s="464">
        <f>SUM(V83:V86)</f>
        <v>142391.26999999999</v>
      </c>
      <c r="W82" s="462"/>
      <c r="X82" s="464">
        <f>SUM(X83:X86)</f>
        <v>118159.73999999999</v>
      </c>
      <c r="Y82" s="457"/>
      <c r="Z82" s="457"/>
      <c r="AA82" s="457"/>
      <c r="AB82" s="457"/>
      <c r="AC82" s="457"/>
      <c r="AD82" s="386"/>
      <c r="AE82" s="386"/>
    </row>
    <row r="83" spans="1:31" x14ac:dyDescent="0.3">
      <c r="A83" s="465" t="s">
        <v>166</v>
      </c>
      <c r="B83" s="466">
        <v>25000</v>
      </c>
      <c r="C83" s="603"/>
      <c r="D83" s="467">
        <v>25000</v>
      </c>
      <c r="E83" s="386"/>
      <c r="F83" s="467">
        <v>25000</v>
      </c>
      <c r="G83" s="386"/>
      <c r="H83" s="468">
        <v>11793.62</v>
      </c>
      <c r="I83" s="386"/>
      <c r="J83" s="468">
        <v>21822.400000000001</v>
      </c>
      <c r="K83" s="386"/>
      <c r="L83" s="467">
        <v>5161.8100000000004</v>
      </c>
      <c r="M83" s="386"/>
      <c r="N83" s="468">
        <v>23841.31</v>
      </c>
      <c r="O83" s="386"/>
      <c r="P83" s="468">
        <v>25000</v>
      </c>
      <c r="Q83" s="386"/>
      <c r="R83" s="468">
        <v>1939.58</v>
      </c>
      <c r="S83" s="386"/>
      <c r="T83" s="467">
        <v>23325.79</v>
      </c>
      <c r="U83" s="386"/>
      <c r="V83" s="469">
        <v>25000</v>
      </c>
      <c r="W83" s="386"/>
      <c r="X83" s="469">
        <v>23417.22</v>
      </c>
      <c r="Y83" s="386"/>
      <c r="Z83" s="386"/>
      <c r="AA83" s="386"/>
      <c r="AB83" s="386"/>
      <c r="AC83" s="386"/>
      <c r="AD83" s="386"/>
      <c r="AE83" s="386"/>
    </row>
    <row r="84" spans="1:31" x14ac:dyDescent="0.3">
      <c r="A84" s="470" t="s">
        <v>167</v>
      </c>
      <c r="B84" s="471">
        <v>79.510000000000005</v>
      </c>
      <c r="C84" s="603"/>
      <c r="D84" s="472">
        <v>239.51</v>
      </c>
      <c r="E84" s="386"/>
      <c r="F84" s="472">
        <v>1790.89</v>
      </c>
      <c r="G84" s="386"/>
      <c r="H84" s="473">
        <v>2155.6999999999998</v>
      </c>
      <c r="I84" s="386"/>
      <c r="J84" s="473">
        <v>2953.3</v>
      </c>
      <c r="K84" s="386"/>
      <c r="L84" s="472">
        <v>4043.59</v>
      </c>
      <c r="M84" s="386"/>
      <c r="N84" s="473">
        <v>1682.05</v>
      </c>
      <c r="O84" s="386"/>
      <c r="P84" s="473">
        <v>2059.6999999999998</v>
      </c>
      <c r="Q84" s="386"/>
      <c r="R84" s="473">
        <v>1708.7</v>
      </c>
      <c r="S84" s="386"/>
      <c r="T84" s="472">
        <v>1017.03</v>
      </c>
      <c r="U84" s="386"/>
      <c r="V84" s="474">
        <v>699.63</v>
      </c>
      <c r="W84" s="386"/>
      <c r="X84" s="474">
        <v>929.59</v>
      </c>
      <c r="Y84" s="386"/>
      <c r="Z84" s="386"/>
      <c r="AA84" s="386"/>
      <c r="AB84" s="386"/>
      <c r="AC84" s="386"/>
      <c r="AD84" s="386"/>
      <c r="AE84" s="386"/>
    </row>
    <row r="85" spans="1:31" x14ac:dyDescent="0.3">
      <c r="A85" s="470" t="s">
        <v>240</v>
      </c>
      <c r="B85" s="471">
        <v>436.1</v>
      </c>
      <c r="C85" s="603"/>
      <c r="D85" s="472">
        <v>3340.44</v>
      </c>
      <c r="E85" s="386"/>
      <c r="F85" s="472">
        <f>2857.16</f>
        <v>2857.16</v>
      </c>
      <c r="G85" s="386"/>
      <c r="H85" s="473">
        <v>2727.27</v>
      </c>
      <c r="I85" s="386"/>
      <c r="J85" s="473">
        <v>282.66000000000003</v>
      </c>
      <c r="K85" s="386"/>
      <c r="L85" s="472">
        <v>1249.6500000000001</v>
      </c>
      <c r="M85" s="386"/>
      <c r="N85" s="473">
        <v>2899.14</v>
      </c>
      <c r="O85" s="386"/>
      <c r="P85" s="473">
        <v>2825.56</v>
      </c>
      <c r="Q85" s="386"/>
      <c r="R85" s="473">
        <v>2825.56</v>
      </c>
      <c r="S85" s="386"/>
      <c r="T85" s="472">
        <v>0</v>
      </c>
      <c r="U85" s="386"/>
      <c r="V85" s="474">
        <v>0</v>
      </c>
      <c r="W85" s="386"/>
      <c r="X85" s="474">
        <v>0</v>
      </c>
      <c r="Y85" s="386"/>
      <c r="Z85" s="386"/>
      <c r="AA85" s="386"/>
      <c r="AB85" s="386"/>
      <c r="AC85" s="386"/>
      <c r="AD85" s="386"/>
      <c r="AE85" s="386"/>
    </row>
    <row r="86" spans="1:31" x14ac:dyDescent="0.3">
      <c r="A86" s="475" t="s">
        <v>215</v>
      </c>
      <c r="B86" s="476">
        <f>69152.04+135070.32-41063.69</f>
        <v>163158.66999999998</v>
      </c>
      <c r="C86" s="604"/>
      <c r="D86" s="477">
        <f>B86+238830.4-130515.29</f>
        <v>271473.77999999997</v>
      </c>
      <c r="E86" s="478"/>
      <c r="F86" s="477">
        <f>D86+61577.18-252174.79</f>
        <v>80876.169999999955</v>
      </c>
      <c r="G86" s="478"/>
      <c r="H86" s="479">
        <f>F86+69836.99-66408.91</f>
        <v>84304.249999999971</v>
      </c>
      <c r="I86" s="478"/>
      <c r="J86" s="479">
        <f>H86+169264.13-90989.63</f>
        <v>162578.74999999997</v>
      </c>
      <c r="K86" s="478"/>
      <c r="L86" s="480">
        <f>J86+190506.62-157846.48</f>
        <v>195238.88999999998</v>
      </c>
      <c r="M86" s="478"/>
      <c r="N86" s="480">
        <f>L86+134617.74-198628.84</f>
        <v>131227.79</v>
      </c>
      <c r="O86" s="478"/>
      <c r="P86" s="479">
        <f>N86+148692.53-67741.15</f>
        <v>212179.17</v>
      </c>
      <c r="Q86" s="478"/>
      <c r="R86" s="479">
        <f>P86+108146.11-201914.91</f>
        <v>118410.37000000002</v>
      </c>
      <c r="S86" s="478"/>
      <c r="T86" s="477">
        <f>R86+121430.15-112064.34</f>
        <v>127776.18000000002</v>
      </c>
      <c r="U86" s="478"/>
      <c r="V86" s="481">
        <f>T86+115552.76-126637.3</f>
        <v>116691.64</v>
      </c>
      <c r="W86" s="478"/>
      <c r="X86" s="481">
        <f>V86+121387.27-144265.98</f>
        <v>93812.93</v>
      </c>
      <c r="Y86" s="386"/>
      <c r="Z86" s="386"/>
      <c r="AA86" s="386"/>
      <c r="AB86" s="386"/>
      <c r="AC86" s="386"/>
      <c r="AD86" s="386"/>
      <c r="AE86" s="386"/>
    </row>
    <row r="87" spans="1:31" x14ac:dyDescent="0.3">
      <c r="A87" s="482"/>
      <c r="B87" s="482"/>
      <c r="C87" s="482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6"/>
      <c r="O87" s="386"/>
      <c r="P87" s="386"/>
      <c r="Q87" s="386"/>
      <c r="R87" s="386"/>
      <c r="S87" s="386"/>
      <c r="T87" s="386"/>
      <c r="U87" s="386"/>
      <c r="V87" s="386"/>
      <c r="W87" s="386"/>
      <c r="X87" s="386"/>
      <c r="Y87" s="386"/>
      <c r="Z87" s="386"/>
      <c r="AA87" s="386"/>
      <c r="AB87" s="386"/>
      <c r="AC87" s="386"/>
      <c r="AD87" s="386"/>
      <c r="AE87" s="386"/>
    </row>
    <row r="88" spans="1:31" x14ac:dyDescent="0.3">
      <c r="A88" s="386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86"/>
      <c r="AA88" s="386"/>
      <c r="AB88" s="386"/>
      <c r="AC88" s="386"/>
      <c r="AD88" s="386"/>
      <c r="AE88" s="386"/>
    </row>
    <row r="89" spans="1:31" ht="15" thickBot="1" x14ac:dyDescent="0.35">
      <c r="A89" s="457" t="s">
        <v>210</v>
      </c>
      <c r="B89" s="459">
        <f>SUM(B2)</f>
        <v>229690.66</v>
      </c>
      <c r="C89" s="457"/>
      <c r="D89" s="459">
        <f>SUM(D2)</f>
        <v>178360.31</v>
      </c>
      <c r="E89" s="457"/>
      <c r="F89" s="459">
        <f>SUM(F2)</f>
        <v>218031.4</v>
      </c>
      <c r="G89" s="457"/>
      <c r="H89" s="459">
        <f>SUM(H2)</f>
        <v>183170.83</v>
      </c>
      <c r="I89" s="457"/>
      <c r="J89" s="459">
        <f>SUM(J2)</f>
        <v>282500.28999999998</v>
      </c>
      <c r="K89" s="457"/>
      <c r="L89" s="459">
        <f>SUM(L2)</f>
        <v>290420.3</v>
      </c>
      <c r="M89" s="457"/>
      <c r="N89" s="459">
        <f>SUM(N2)</f>
        <v>247749.71000000002</v>
      </c>
      <c r="O89" s="457"/>
      <c r="P89" s="459">
        <f>SUM(P2)</f>
        <v>262375.36</v>
      </c>
      <c r="Q89" s="457"/>
      <c r="R89" s="459">
        <f>SUM(R2)</f>
        <v>221143.67</v>
      </c>
      <c r="S89" s="457"/>
      <c r="T89" s="459">
        <f>SUM(T2)</f>
        <v>263022.90000000002</v>
      </c>
      <c r="U89" s="457"/>
      <c r="V89" s="459">
        <f>SUM(V2)</f>
        <v>258014.46</v>
      </c>
      <c r="W89" s="457"/>
      <c r="X89" s="459">
        <f>SUM(X2)</f>
        <v>261123.34</v>
      </c>
      <c r="Y89" s="457"/>
      <c r="Z89" s="459">
        <f>SUM(Z2)</f>
        <v>241300.26916666664</v>
      </c>
      <c r="AA89" s="457"/>
      <c r="AB89" s="459">
        <f>SUM(AB2)</f>
        <v>2895603.2300000004</v>
      </c>
      <c r="AC89" s="457"/>
      <c r="AD89" s="457"/>
      <c r="AE89" s="457"/>
    </row>
    <row r="90" spans="1:31" x14ac:dyDescent="0.3">
      <c r="A90" s="483"/>
      <c r="B90" s="454"/>
      <c r="C90" s="454"/>
      <c r="D90" s="454"/>
      <c r="E90" s="454"/>
      <c r="F90" s="454"/>
      <c r="G90" s="454"/>
      <c r="H90" s="454"/>
      <c r="I90" s="454"/>
      <c r="J90" s="454"/>
      <c r="K90" s="454"/>
      <c r="L90" s="454"/>
      <c r="M90" s="454"/>
      <c r="N90" s="454"/>
      <c r="O90" s="454"/>
      <c r="P90" s="454"/>
      <c r="Q90" s="454"/>
      <c r="R90" s="454"/>
      <c r="S90" s="454"/>
      <c r="T90" s="454"/>
      <c r="U90" s="454"/>
      <c r="V90" s="454"/>
      <c r="W90" s="454"/>
      <c r="X90" s="454"/>
      <c r="Y90" s="454"/>
      <c r="Z90" s="454"/>
      <c r="AA90" s="454"/>
      <c r="AB90" s="454"/>
      <c r="AC90" s="386"/>
      <c r="AD90" s="386"/>
      <c r="AE90" s="386"/>
    </row>
    <row r="91" spans="1:31" x14ac:dyDescent="0.3">
      <c r="A91" s="386"/>
      <c r="B91" s="386"/>
      <c r="C91" s="386"/>
      <c r="D91" s="386"/>
      <c r="E91" s="386"/>
      <c r="F91" s="386"/>
      <c r="G91" s="386"/>
      <c r="H91" s="386"/>
      <c r="I91" s="386"/>
      <c r="J91" s="386"/>
      <c r="K91" s="386"/>
      <c r="L91" s="386"/>
      <c r="M91" s="386"/>
      <c r="N91" s="386"/>
      <c r="O91" s="386"/>
      <c r="P91" s="386"/>
      <c r="Q91" s="386"/>
      <c r="R91" s="386"/>
      <c r="S91" s="386"/>
      <c r="T91" s="386"/>
      <c r="U91" s="386"/>
      <c r="V91" s="386"/>
      <c r="W91" s="386"/>
      <c r="X91" s="386"/>
      <c r="Y91" s="386"/>
      <c r="Z91" s="386"/>
      <c r="AA91" s="386"/>
      <c r="AB91" s="386"/>
      <c r="AC91" s="386"/>
      <c r="AD91" s="386"/>
      <c r="AE91" s="386"/>
    </row>
    <row r="92" spans="1:31" x14ac:dyDescent="0.3">
      <c r="A92" s="386"/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86"/>
      <c r="M92" s="386"/>
      <c r="N92" s="386"/>
      <c r="O92" s="386"/>
      <c r="P92" s="386"/>
      <c r="Q92" s="386"/>
      <c r="R92" s="386"/>
      <c r="S92" s="386"/>
      <c r="T92" s="386"/>
      <c r="U92" s="386"/>
      <c r="V92" s="386"/>
      <c r="W92" s="386"/>
      <c r="X92" s="386"/>
      <c r="Y92" s="386"/>
      <c r="Z92" s="386"/>
      <c r="AA92" s="386"/>
      <c r="AB92" s="386"/>
      <c r="AC92" s="386"/>
      <c r="AD92" s="386"/>
      <c r="AE92" s="386"/>
    </row>
    <row r="93" spans="1:31" x14ac:dyDescent="0.3">
      <c r="A93" s="484" t="s">
        <v>241</v>
      </c>
      <c r="B93" s="485" t="s">
        <v>168</v>
      </c>
      <c r="C93" s="386"/>
      <c r="D93" s="485" t="s">
        <v>169</v>
      </c>
      <c r="E93" s="386"/>
      <c r="F93" s="485" t="s">
        <v>170</v>
      </c>
      <c r="G93" s="386"/>
      <c r="H93" s="485" t="s">
        <v>171</v>
      </c>
      <c r="I93" s="386"/>
      <c r="J93" s="485" t="s">
        <v>172</v>
      </c>
      <c r="K93" s="386"/>
      <c r="L93" s="485" t="s">
        <v>173</v>
      </c>
      <c r="M93" s="386"/>
      <c r="N93" s="485" t="s">
        <v>174</v>
      </c>
      <c r="O93" s="386"/>
      <c r="P93" s="485" t="s">
        <v>175</v>
      </c>
      <c r="Q93" s="386"/>
      <c r="R93" s="485" t="s">
        <v>176</v>
      </c>
      <c r="S93" s="386"/>
      <c r="T93" s="485" t="s">
        <v>177</v>
      </c>
      <c r="U93" s="386"/>
      <c r="V93" s="485" t="s">
        <v>178</v>
      </c>
      <c r="W93" s="386"/>
      <c r="X93" s="485" t="s">
        <v>179</v>
      </c>
      <c r="Y93" s="386"/>
      <c r="Z93" s="485" t="s">
        <v>132</v>
      </c>
      <c r="AA93" s="386"/>
      <c r="AB93" s="386"/>
      <c r="AC93" s="386"/>
      <c r="AD93" s="386"/>
      <c r="AE93" s="386"/>
    </row>
    <row r="94" spans="1:31" x14ac:dyDescent="0.3">
      <c r="A94" s="486" t="s">
        <v>242</v>
      </c>
      <c r="B94" s="487">
        <f>94911.54+419.33</f>
        <v>95330.87</v>
      </c>
      <c r="C94" s="386"/>
      <c r="D94" s="487">
        <f>B101</f>
        <v>188674.28000000006</v>
      </c>
      <c r="E94" s="386"/>
      <c r="F94" s="487">
        <f>D101</f>
        <v>300053.7300000001</v>
      </c>
      <c r="G94" s="386"/>
      <c r="H94" s="487">
        <f>F101</f>
        <v>110524.22000000009</v>
      </c>
      <c r="I94" s="386"/>
      <c r="J94" s="487">
        <f>H101</f>
        <v>100980.84000000003</v>
      </c>
      <c r="K94" s="386"/>
      <c r="L94" s="487">
        <f>J101</f>
        <v>187637.11</v>
      </c>
      <c r="M94" s="386"/>
      <c r="N94" s="487">
        <f>L101</f>
        <v>205693.93999999994</v>
      </c>
      <c r="O94" s="386"/>
      <c r="P94" s="487">
        <f>N101</f>
        <v>159650.28999999992</v>
      </c>
      <c r="Q94" s="386"/>
      <c r="R94" s="487">
        <f>P101</f>
        <v>242064.42999999993</v>
      </c>
      <c r="S94" s="386"/>
      <c r="T94" s="487">
        <f>R101</f>
        <v>124884.20999999996</v>
      </c>
      <c r="U94" s="386"/>
      <c r="V94" s="487">
        <f>T101</f>
        <v>152118.99999999997</v>
      </c>
      <c r="W94" s="386"/>
      <c r="X94" s="487">
        <f>V101</f>
        <v>142391.26999999996</v>
      </c>
      <c r="Y94" s="386"/>
      <c r="Z94" s="487"/>
      <c r="AA94" s="386"/>
      <c r="AB94" s="386"/>
      <c r="AC94" s="386"/>
      <c r="AD94" s="386"/>
      <c r="AE94" s="386"/>
    </row>
    <row r="95" spans="1:31" x14ac:dyDescent="0.3">
      <c r="A95" s="486" t="s">
        <v>224</v>
      </c>
      <c r="B95" s="487">
        <f>B2</f>
        <v>229690.66</v>
      </c>
      <c r="C95" s="386"/>
      <c r="D95" s="487">
        <f>D2+150000</f>
        <v>328360.31</v>
      </c>
      <c r="E95" s="386"/>
      <c r="F95" s="487">
        <f>F3</f>
        <v>218031.4</v>
      </c>
      <c r="G95" s="386"/>
      <c r="H95" s="377">
        <f>H3</f>
        <v>183170.83</v>
      </c>
      <c r="I95" s="386"/>
      <c r="J95" s="377">
        <f>J3</f>
        <v>282500.28999999998</v>
      </c>
      <c r="K95" s="386"/>
      <c r="L95" s="377">
        <f>L2</f>
        <v>290420.3</v>
      </c>
      <c r="M95" s="386"/>
      <c r="N95" s="377">
        <f>N2</f>
        <v>247749.71000000002</v>
      </c>
      <c r="O95" s="386"/>
      <c r="P95" s="377">
        <f>P3</f>
        <v>262375.36</v>
      </c>
      <c r="Q95" s="386"/>
      <c r="R95" s="377">
        <f>R3</f>
        <v>221143.67</v>
      </c>
      <c r="S95" s="386"/>
      <c r="T95" s="377">
        <f>T3</f>
        <v>263022.90000000002</v>
      </c>
      <c r="U95" s="386"/>
      <c r="V95" s="377">
        <f>V3+V4</f>
        <v>258014.46</v>
      </c>
      <c r="W95" s="386"/>
      <c r="X95" s="377">
        <f>X3</f>
        <v>261123.34</v>
      </c>
      <c r="Y95" s="386"/>
      <c r="Z95" s="487">
        <f>B95+D95+F95+H95+J95+L95+N95+P95+R95+T95+V95+X95</f>
        <v>3045603.2299999995</v>
      </c>
      <c r="AA95" s="386"/>
      <c r="AB95" s="386"/>
      <c r="AC95" s="386"/>
      <c r="AD95" s="386"/>
      <c r="AE95" s="386"/>
    </row>
    <row r="96" spans="1:31" x14ac:dyDescent="0.3">
      <c r="A96" s="486" t="s">
        <v>226</v>
      </c>
      <c r="B96" s="487">
        <f>B72-B40-B34</f>
        <v>88521.279999999984</v>
      </c>
      <c r="C96" s="386"/>
      <c r="D96" s="487">
        <f>D72-D40-D34</f>
        <v>108501.20999999996</v>
      </c>
      <c r="E96" s="386"/>
      <c r="F96" s="487">
        <f>F72-F40-F34</f>
        <v>99081.26</v>
      </c>
      <c r="G96" s="386"/>
      <c r="H96" s="487">
        <f>H72-H97-H98</f>
        <v>141271.82</v>
      </c>
      <c r="I96" s="386"/>
      <c r="J96" s="487">
        <f>J72-J97-J98</f>
        <v>130243.9</v>
      </c>
      <c r="K96" s="386"/>
      <c r="L96" s="487">
        <f>L72-L97-L98</f>
        <v>155921.07999999999</v>
      </c>
      <c r="M96" s="386"/>
      <c r="N96" s="487">
        <f>N72-N97-N98</f>
        <v>148350.97000000003</v>
      </c>
      <c r="O96" s="386"/>
      <c r="P96" s="487">
        <f>P72-P97-P98</f>
        <v>120518.82999999996</v>
      </c>
      <c r="Q96" s="386"/>
      <c r="R96" s="487">
        <f>R72-R97-R98</f>
        <v>132881.5</v>
      </c>
      <c r="S96" s="386"/>
      <c r="T96" s="487">
        <f>T72-T97-T98+0.01</f>
        <v>150345.72</v>
      </c>
      <c r="U96" s="386"/>
      <c r="V96" s="487">
        <f>V72-V97-V98</f>
        <v>147299.79999999999</v>
      </c>
      <c r="W96" s="386"/>
      <c r="X96" s="487">
        <f>X72-X97-X98</f>
        <v>204912.47999999995</v>
      </c>
      <c r="Y96" s="386"/>
      <c r="Z96" s="487">
        <f t="shared" ref="Z96:Z100" si="49">B96+D96+F96+H96+J96+L96+N96+P96+R96+T96+V96+X96</f>
        <v>1627849.85</v>
      </c>
      <c r="AA96" s="386"/>
      <c r="AB96" s="386"/>
      <c r="AC96" s="386"/>
      <c r="AD96" s="386"/>
      <c r="AE96" s="386"/>
    </row>
    <row r="97" spans="1:31" x14ac:dyDescent="0.3">
      <c r="A97" s="486" t="s">
        <v>243</v>
      </c>
      <c r="B97" s="487">
        <f>B34</f>
        <v>7825.9699999999993</v>
      </c>
      <c r="C97" s="386"/>
      <c r="D97" s="487">
        <f>D34</f>
        <v>8479.65</v>
      </c>
      <c r="E97" s="386"/>
      <c r="F97" s="487">
        <f>F34</f>
        <v>8479.65</v>
      </c>
      <c r="G97" s="386"/>
      <c r="H97" s="487">
        <f>H35</f>
        <v>5442.39</v>
      </c>
      <c r="I97" s="386"/>
      <c r="J97" s="487">
        <f>J35</f>
        <v>5442.39</v>
      </c>
      <c r="K97" s="386"/>
      <c r="L97" s="487">
        <f>L35</f>
        <v>5442.39</v>
      </c>
      <c r="M97" s="386"/>
      <c r="N97" s="487">
        <f>N35</f>
        <v>5442.39</v>
      </c>
      <c r="O97" s="386"/>
      <c r="P97" s="487">
        <f>P35</f>
        <v>5442.39</v>
      </c>
      <c r="Q97" s="386"/>
      <c r="R97" s="487">
        <f>R35</f>
        <v>5442.39</v>
      </c>
      <c r="S97" s="386"/>
      <c r="T97" s="487">
        <f>T35</f>
        <v>5442.39</v>
      </c>
      <c r="U97" s="386"/>
      <c r="V97" s="487">
        <f>V35</f>
        <v>5442.39</v>
      </c>
      <c r="W97" s="386"/>
      <c r="X97" s="487">
        <f>X35</f>
        <v>5442.39</v>
      </c>
      <c r="Y97" s="386"/>
      <c r="Z97" s="487">
        <f t="shared" si="49"/>
        <v>73766.78</v>
      </c>
      <c r="AA97" s="386"/>
      <c r="AB97" s="386"/>
      <c r="AC97" s="386"/>
      <c r="AD97" s="386"/>
      <c r="AE97" s="386"/>
    </row>
    <row r="98" spans="1:31" x14ac:dyDescent="0.3">
      <c r="A98" s="486" t="s">
        <v>244</v>
      </c>
      <c r="B98" s="487">
        <f>B40</f>
        <v>20000</v>
      </c>
      <c r="C98" s="386"/>
      <c r="D98" s="487">
        <f>D40</f>
        <v>20000</v>
      </c>
      <c r="E98" s="386"/>
      <c r="F98" s="487">
        <f>F40</f>
        <v>20000</v>
      </c>
      <c r="G98" s="386"/>
      <c r="H98" s="487">
        <f>H40</f>
        <v>20000</v>
      </c>
      <c r="I98" s="386"/>
      <c r="J98" s="487">
        <f>J40</f>
        <v>20000</v>
      </c>
      <c r="K98" s="386"/>
      <c r="L98" s="487">
        <f>L40</f>
        <v>20000</v>
      </c>
      <c r="M98" s="386"/>
      <c r="N98" s="487">
        <f>N40</f>
        <v>20000</v>
      </c>
      <c r="O98" s="386"/>
      <c r="P98" s="487">
        <f>P40</f>
        <v>20000</v>
      </c>
      <c r="Q98" s="386"/>
      <c r="R98" s="487">
        <f>R40</f>
        <v>20000</v>
      </c>
      <c r="S98" s="386"/>
      <c r="T98" s="487">
        <f>T40</f>
        <v>20000</v>
      </c>
      <c r="U98" s="386"/>
      <c r="V98" s="487">
        <f>V40</f>
        <v>20000</v>
      </c>
      <c r="W98" s="386"/>
      <c r="X98" s="487">
        <f>X40</f>
        <v>20000</v>
      </c>
      <c r="Y98" s="386"/>
      <c r="Z98" s="487">
        <f t="shared" si="49"/>
        <v>240000</v>
      </c>
      <c r="AA98" s="386"/>
      <c r="AB98" s="386"/>
      <c r="AC98" s="386"/>
      <c r="AD98" s="386"/>
      <c r="AE98" s="386"/>
    </row>
    <row r="99" spans="1:31" x14ac:dyDescent="0.3">
      <c r="A99" s="486" t="s">
        <v>220</v>
      </c>
      <c r="B99" s="487">
        <f>B74</f>
        <v>20000</v>
      </c>
      <c r="C99" s="386"/>
      <c r="D99" s="487">
        <f>D74</f>
        <v>80000</v>
      </c>
      <c r="E99" s="386"/>
      <c r="F99" s="487">
        <f>F74</f>
        <v>80000</v>
      </c>
      <c r="G99" s="386"/>
      <c r="H99" s="487">
        <f>H74</f>
        <v>26000</v>
      </c>
      <c r="I99" s="386"/>
      <c r="J99" s="487">
        <f>J74</f>
        <v>64000</v>
      </c>
      <c r="K99" s="386"/>
      <c r="L99" s="487">
        <f>L74</f>
        <v>91000</v>
      </c>
      <c r="M99" s="386"/>
      <c r="N99" s="487">
        <f>N74</f>
        <v>120000</v>
      </c>
      <c r="O99" s="386"/>
      <c r="P99" s="487">
        <f>P74</f>
        <v>34000</v>
      </c>
      <c r="Q99" s="386"/>
      <c r="R99" s="487">
        <f>R74</f>
        <v>40000</v>
      </c>
      <c r="S99" s="386"/>
      <c r="T99" s="487">
        <f>T74</f>
        <v>60000</v>
      </c>
      <c r="U99" s="386"/>
      <c r="V99" s="487">
        <f>V74</f>
        <v>70000</v>
      </c>
      <c r="W99" s="386"/>
      <c r="X99" s="487">
        <f>X74</f>
        <v>55000</v>
      </c>
      <c r="Y99" s="386"/>
      <c r="Z99" s="487">
        <f t="shared" si="49"/>
        <v>740000</v>
      </c>
      <c r="AA99" s="386"/>
      <c r="AB99" s="386"/>
      <c r="AC99" s="386"/>
      <c r="AD99" s="386"/>
      <c r="AE99" s="386"/>
    </row>
    <row r="100" spans="1:31" x14ac:dyDescent="0.3">
      <c r="A100" s="486" t="s">
        <v>245</v>
      </c>
      <c r="B100" s="487">
        <f>B73</f>
        <v>0</v>
      </c>
      <c r="C100" s="386"/>
      <c r="D100" s="487">
        <f>D73</f>
        <v>0</v>
      </c>
      <c r="E100" s="386"/>
      <c r="F100" s="487">
        <v>200000</v>
      </c>
      <c r="G100" s="386"/>
      <c r="H100" s="487">
        <f>H73</f>
        <v>0</v>
      </c>
      <c r="I100" s="386"/>
      <c r="J100" s="487">
        <v>-23842.27</v>
      </c>
      <c r="K100" s="386"/>
      <c r="L100" s="487">
        <f>L73</f>
        <v>0</v>
      </c>
      <c r="M100" s="386"/>
      <c r="N100" s="487">
        <f>N73</f>
        <v>0</v>
      </c>
      <c r="O100" s="386"/>
      <c r="P100" s="487">
        <f>P73</f>
        <v>0</v>
      </c>
      <c r="Q100" s="386"/>
      <c r="R100" s="487">
        <f>70000+70000</f>
        <v>140000</v>
      </c>
      <c r="S100" s="386"/>
      <c r="T100" s="487">
        <f>T73</f>
        <v>0</v>
      </c>
      <c r="U100" s="386"/>
      <c r="V100" s="487">
        <v>25000</v>
      </c>
      <c r="W100" s="386"/>
      <c r="X100" s="487">
        <f>X73</f>
        <v>0</v>
      </c>
      <c r="Y100" s="386"/>
      <c r="Z100" s="487">
        <f t="shared" si="49"/>
        <v>341157.73</v>
      </c>
      <c r="AA100" s="386"/>
      <c r="AB100" s="386"/>
      <c r="AC100" s="386"/>
      <c r="AD100" s="386"/>
      <c r="AE100" s="386"/>
    </row>
    <row r="101" spans="1:31" x14ac:dyDescent="0.3">
      <c r="A101" s="488" t="s">
        <v>246</v>
      </c>
      <c r="B101" s="489">
        <f>B94+B95-B96-B97-B98-B100-B99</f>
        <v>188674.28000000006</v>
      </c>
      <c r="C101" s="386"/>
      <c r="D101" s="489">
        <f>D94+D95-D96-D97-D98-D99-D100</f>
        <v>300053.7300000001</v>
      </c>
      <c r="E101" s="386"/>
      <c r="F101" s="489">
        <f>F94+F95-F96-F97-F98-F99-F100</f>
        <v>110524.22000000009</v>
      </c>
      <c r="G101" s="386"/>
      <c r="H101" s="489">
        <f>H94+H95-H96-H97-H98-H99-H100</f>
        <v>100980.84000000003</v>
      </c>
      <c r="I101" s="386"/>
      <c r="J101" s="489">
        <f>J94+J95-J96-J97-J98-J99-J100</f>
        <v>187637.11</v>
      </c>
      <c r="K101" s="386"/>
      <c r="L101" s="489">
        <f>L94+L95-L96-L97-L98-L99-L100</f>
        <v>205693.93999999994</v>
      </c>
      <c r="M101" s="386"/>
      <c r="N101" s="489">
        <f>N94+N95-N96-N97-N98-N99-N100</f>
        <v>159650.28999999992</v>
      </c>
      <c r="O101" s="386"/>
      <c r="P101" s="489">
        <f>P94+P95-P96-P97-P98-P99-P100</f>
        <v>242064.42999999993</v>
      </c>
      <c r="Q101" s="386"/>
      <c r="R101" s="489">
        <f>R94+R95-R96-R97-R98-R99-R100</f>
        <v>124884.20999999996</v>
      </c>
      <c r="S101" s="386"/>
      <c r="T101" s="489">
        <f>T94+T95-T96-T97-T98-T99-T100</f>
        <v>152118.99999999997</v>
      </c>
      <c r="U101" s="386"/>
      <c r="V101" s="489">
        <f>V94+V95-V96-V97-V98-V99-V100</f>
        <v>142391.26999999996</v>
      </c>
      <c r="W101" s="386"/>
      <c r="X101" s="489">
        <f>X94+X95-X96-X97-X98-X99-X100</f>
        <v>118159.74000000002</v>
      </c>
      <c r="Y101" s="386"/>
      <c r="Z101" s="489">
        <f>Z94+Z95-Z96-Z97-Z98-Z99-Z100</f>
        <v>22828.869999999413</v>
      </c>
      <c r="AA101" s="386"/>
      <c r="AB101" s="386"/>
      <c r="AC101" s="386"/>
      <c r="AD101" s="386"/>
      <c r="AE101" s="386"/>
    </row>
    <row r="102" spans="1:31" x14ac:dyDescent="0.3">
      <c r="A102" s="386"/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86"/>
      <c r="AB102" s="386"/>
      <c r="AC102" s="386"/>
      <c r="AD102" s="386"/>
      <c r="AE102" s="386"/>
    </row>
    <row r="103" spans="1:31" x14ac:dyDescent="0.3">
      <c r="V103" s="490">
        <f>V101-V82</f>
        <v>0</v>
      </c>
    </row>
  </sheetData>
  <protectedRanges>
    <protectedRange algorithmName="SHA-512" hashValue="KiP8vB2P0y7yMy9S7nNcjUu9byIf+jQ/6dXJiUCJBkcoOq/dvHzW+F8dBDUPpOUaErAMTbnnddRa1jMvEiSlAQ==" saltValue="7TY3ln36oRVa6uwwWG8evw==" spinCount="100000" sqref="A2:AE2" name="Intervalo1"/>
  </protectedRanges>
  <mergeCells count="2">
    <mergeCell ref="AG1:AM1"/>
    <mergeCell ref="C83:C86"/>
  </mergeCells>
  <conditionalFormatting sqref="F75:X76 B75:B80 D75:D80 E77:X77 F78:X80">
    <cfRule type="cellIs" dxfId="10" priority="3" operator="lessThan">
      <formula>0</formula>
    </cfRule>
  </conditionalFormatting>
  <conditionalFormatting sqref="Z69:AC70 B69:Y72 AB71:AC72">
    <cfRule type="cellIs" dxfId="9" priority="4" operator="lessThan">
      <formula>0</formula>
    </cfRule>
  </conditionalFormatting>
  <conditionalFormatting sqref="AA69:AA70">
    <cfRule type="cellIs" dxfId="8" priority="1" operator="greaterThan">
      <formula>0.9961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4258-8090-4E2A-BBDD-FAC7AAD3D2EC}">
  <sheetPr>
    <tabColor theme="4" tint="0.39997558519241921"/>
  </sheetPr>
  <dimension ref="A1:DZ113"/>
  <sheetViews>
    <sheetView workbookViewId="0">
      <pane xSplit="1" ySplit="1" topLeftCell="P61" activePane="bottomRight" state="frozen"/>
      <selection pane="topRight" activeCell="B1" sqref="B1"/>
      <selection pane="bottomLeft" activeCell="A2" sqref="A2"/>
      <selection pane="bottomRight" activeCell="T84" sqref="T84"/>
    </sheetView>
  </sheetViews>
  <sheetFormatPr defaultRowHeight="13.2" x14ac:dyDescent="0.25"/>
  <cols>
    <col min="1" max="1" width="31.88671875" bestFit="1" customWidth="1"/>
    <col min="2" max="2" width="11.44140625" bestFit="1" customWidth="1"/>
    <col min="3" max="3" width="6.33203125" bestFit="1" customWidth="1"/>
    <col min="4" max="4" width="11.44140625" bestFit="1" customWidth="1"/>
    <col min="5" max="5" width="6.33203125" bestFit="1" customWidth="1"/>
    <col min="6" max="6" width="11.44140625" bestFit="1" customWidth="1"/>
    <col min="7" max="7" width="8" bestFit="1" customWidth="1"/>
    <col min="8" max="8" width="10.44140625" bestFit="1" customWidth="1"/>
    <col min="9" max="9" width="8" bestFit="1" customWidth="1"/>
    <col min="10" max="10" width="11.5546875" bestFit="1" customWidth="1"/>
    <col min="11" max="11" width="8" bestFit="1" customWidth="1"/>
    <col min="12" max="12" width="11.5546875" customWidth="1"/>
    <col min="13" max="13" width="8" bestFit="1" customWidth="1"/>
    <col min="14" max="14" width="10.6640625" bestFit="1" customWidth="1"/>
    <col min="15" max="15" width="8" bestFit="1" customWidth="1"/>
    <col min="16" max="16" width="11.5546875" bestFit="1" customWidth="1"/>
    <col min="17" max="17" width="8" bestFit="1" customWidth="1"/>
    <col min="18" max="18" width="11.5546875" bestFit="1" customWidth="1"/>
    <col min="19" max="19" width="8" bestFit="1" customWidth="1"/>
    <col min="20" max="20" width="10.6640625" bestFit="1" customWidth="1"/>
    <col min="21" max="21" width="8" bestFit="1" customWidth="1"/>
    <col min="22" max="22" width="11.33203125" bestFit="1" customWidth="1"/>
    <col min="23" max="23" width="8" bestFit="1" customWidth="1"/>
    <col min="24" max="24" width="10.6640625" bestFit="1" customWidth="1"/>
    <col min="25" max="25" width="6.33203125" bestFit="1" customWidth="1"/>
    <col min="26" max="26" width="11.5546875" bestFit="1" customWidth="1"/>
    <col min="27" max="27" width="9.109375" hidden="1" customWidth="1"/>
    <col min="28" max="28" width="11.6640625" bestFit="1" customWidth="1"/>
    <col min="32" max="32" width="73" customWidth="1"/>
  </cols>
  <sheetData>
    <row r="1" spans="1:130" ht="14.4" x14ac:dyDescent="0.3">
      <c r="A1" s="492"/>
      <c r="B1" s="493" t="s">
        <v>31</v>
      </c>
      <c r="C1" s="162" t="s">
        <v>32</v>
      </c>
      <c r="D1" s="493" t="s">
        <v>33</v>
      </c>
      <c r="E1" s="162" t="s">
        <v>32</v>
      </c>
      <c r="F1" s="493" t="s">
        <v>34</v>
      </c>
      <c r="G1" s="162" t="s">
        <v>32</v>
      </c>
      <c r="H1" s="493" t="s">
        <v>35</v>
      </c>
      <c r="I1" s="162" t="s">
        <v>32</v>
      </c>
      <c r="J1" s="493" t="s">
        <v>36</v>
      </c>
      <c r="K1" s="187" t="s">
        <v>32</v>
      </c>
      <c r="L1" s="493" t="s">
        <v>37</v>
      </c>
      <c r="M1" s="187" t="s">
        <v>32</v>
      </c>
      <c r="N1" s="493" t="s">
        <v>38</v>
      </c>
      <c r="O1" s="187" t="s">
        <v>32</v>
      </c>
      <c r="P1" s="493" t="s">
        <v>39</v>
      </c>
      <c r="Q1" s="187" t="s">
        <v>32</v>
      </c>
      <c r="R1" s="493" t="s">
        <v>40</v>
      </c>
      <c r="S1" s="187" t="s">
        <v>32</v>
      </c>
      <c r="T1" s="493" t="s">
        <v>41</v>
      </c>
      <c r="U1" s="187" t="s">
        <v>32</v>
      </c>
      <c r="V1" s="493" t="s">
        <v>101</v>
      </c>
      <c r="W1" s="187" t="s">
        <v>32</v>
      </c>
      <c r="X1" s="493" t="s">
        <v>102</v>
      </c>
      <c r="Y1" s="187" t="s">
        <v>32</v>
      </c>
      <c r="Z1" s="494" t="s">
        <v>43</v>
      </c>
      <c r="AA1" s="188" t="s">
        <v>32</v>
      </c>
      <c r="AB1" s="495" t="s">
        <v>132</v>
      </c>
      <c r="AC1" s="164"/>
      <c r="AD1" s="165"/>
      <c r="AE1" s="496" t="s">
        <v>45</v>
      </c>
      <c r="AF1" s="497" t="s">
        <v>248</v>
      </c>
    </row>
    <row r="2" spans="1:130" ht="14.4" x14ac:dyDescent="0.3">
      <c r="A2" s="156" t="s">
        <v>6</v>
      </c>
      <c r="B2" s="167">
        <f>SUM(B3:B5)</f>
        <v>229527.2</v>
      </c>
      <c r="C2" s="186">
        <v>1</v>
      </c>
      <c r="D2" s="167">
        <f>SUM(D3:D4)</f>
        <v>188623.23</v>
      </c>
      <c r="E2" s="186">
        <v>1</v>
      </c>
      <c r="F2" s="167">
        <f>SUM(F3:F5)</f>
        <v>278893.03999999998</v>
      </c>
      <c r="G2" s="186">
        <v>1</v>
      </c>
      <c r="H2" s="167">
        <f>SUM(H3:H5)</f>
        <v>196481.05</v>
      </c>
      <c r="I2" s="186">
        <v>1</v>
      </c>
      <c r="J2" s="167">
        <f>SUM(J3:J5)</f>
        <v>268338.62</v>
      </c>
      <c r="K2" s="186">
        <v>1</v>
      </c>
      <c r="L2" s="167">
        <f>SUM(L3:L5)</f>
        <v>218717.39</v>
      </c>
      <c r="M2" s="186">
        <v>1</v>
      </c>
      <c r="N2" s="167">
        <f>SUM(N3:N5)</f>
        <v>195052.15</v>
      </c>
      <c r="O2" s="186">
        <v>1</v>
      </c>
      <c r="P2" s="167">
        <f>SUM(P3:P5)</f>
        <v>221816.35</v>
      </c>
      <c r="Q2" s="186">
        <v>1</v>
      </c>
      <c r="R2" s="167">
        <f>SUM(R3:R5)</f>
        <v>307620.64</v>
      </c>
      <c r="S2" s="186">
        <v>1</v>
      </c>
      <c r="T2" s="167">
        <f>SUM(T3:T5)</f>
        <v>235135.62</v>
      </c>
      <c r="U2" s="186">
        <v>1</v>
      </c>
      <c r="V2" s="167">
        <f>SUM(V3:V5)</f>
        <v>233020.98</v>
      </c>
      <c r="W2" s="186">
        <v>1</v>
      </c>
      <c r="X2" s="167">
        <f>SUM(X3:X5)</f>
        <v>233964.05</v>
      </c>
      <c r="Y2" s="186">
        <v>1</v>
      </c>
      <c r="Z2" s="195">
        <f t="shared" ref="Z2:Z21" si="0">(B2+D2+F2+H2+J2+L2+N2+P2+R2+T2+V2+X2)/AE$2</f>
        <v>233932.5266666667</v>
      </c>
      <c r="AA2" s="272">
        <v>1</v>
      </c>
      <c r="AB2" s="167">
        <f>SUM(AB3:AB5)</f>
        <v>2807190.32</v>
      </c>
      <c r="AC2" s="169">
        <v>1</v>
      </c>
      <c r="AD2" s="170"/>
      <c r="AE2" s="194">
        <f>COUNTIF(B2:Y2,"&gt;1")</f>
        <v>12</v>
      </c>
    </row>
    <row r="3" spans="1:130" ht="14.4" x14ac:dyDescent="0.3">
      <c r="A3" s="157" t="s">
        <v>27</v>
      </c>
      <c r="B3" s="157">
        <v>229527.2</v>
      </c>
      <c r="C3" s="185">
        <f t="shared" ref="C3:C66" si="1">B3/B$2</f>
        <v>1</v>
      </c>
      <c r="D3" s="157">
        <f>188623.23</f>
        <v>188623.23</v>
      </c>
      <c r="E3" s="185">
        <f t="shared" ref="E3:E15" si="2">D3/D$2</f>
        <v>1</v>
      </c>
      <c r="F3" s="157">
        <v>278893.03999999998</v>
      </c>
      <c r="G3" s="185">
        <f t="shared" ref="G3:G66" si="3">F3/F$2</f>
        <v>1</v>
      </c>
      <c r="H3" s="157">
        <v>196481.05</v>
      </c>
      <c r="I3" s="185">
        <f t="shared" ref="I3:I66" si="4">H3/H$2</f>
        <v>1</v>
      </c>
      <c r="J3" s="157">
        <v>268338.62</v>
      </c>
      <c r="K3" s="185">
        <f t="shared" ref="K3:K25" si="5">J3/J$2</f>
        <v>1</v>
      </c>
      <c r="L3" s="157">
        <v>218717.39</v>
      </c>
      <c r="M3" s="185">
        <f t="shared" ref="M3:M15" si="6">L3/L$2</f>
        <v>1</v>
      </c>
      <c r="N3" s="157">
        <v>195052.15</v>
      </c>
      <c r="O3" s="185">
        <f t="shared" ref="O3:O66" si="7">N3/N$2</f>
        <v>1</v>
      </c>
      <c r="P3" s="157">
        <v>215316.35</v>
      </c>
      <c r="Q3" s="185">
        <f t="shared" ref="Q3:Q66" si="8">P3/P$2</f>
        <v>0.97069647931723702</v>
      </c>
      <c r="R3" s="157">
        <v>203838.63</v>
      </c>
      <c r="S3" s="185">
        <f t="shared" ref="S3:S66" si="9">R3/R$2</f>
        <v>0.66262988725333904</v>
      </c>
      <c r="T3" s="157">
        <v>235135.62</v>
      </c>
      <c r="U3" s="185">
        <f t="shared" ref="U3:U66" si="10">T3/T$2</f>
        <v>1</v>
      </c>
      <c r="V3" s="157">
        <v>233020.98</v>
      </c>
      <c r="W3" s="185">
        <f t="shared" ref="W3:W66" si="11">V3/V$2</f>
        <v>1</v>
      </c>
      <c r="X3" s="157">
        <v>233964.05</v>
      </c>
      <c r="Y3" s="185">
        <f t="shared" ref="Y3:Y66" si="12">X3/X$2</f>
        <v>1</v>
      </c>
      <c r="Z3" s="191">
        <f t="shared" si="0"/>
        <v>224742.35916666666</v>
      </c>
      <c r="AA3" s="185">
        <f t="shared" ref="AA3:AA76" si="13">Z3/Z$2</f>
        <v>0.9607144520219062</v>
      </c>
      <c r="AB3" s="172">
        <f>L3+N3+P3+R3+T3+V3+X3+J3+H3+F3+D3+B3</f>
        <v>2696908.31</v>
      </c>
      <c r="AC3" s="173">
        <f>AB3/AB$2</f>
        <v>0.96071445202190642</v>
      </c>
      <c r="AD3" s="165"/>
      <c r="AE3" s="159"/>
    </row>
    <row r="4" spans="1:130" ht="14.4" x14ac:dyDescent="0.3">
      <c r="A4" s="157" t="s">
        <v>230</v>
      </c>
      <c r="B4" s="157"/>
      <c r="C4" s="185">
        <f t="shared" si="1"/>
        <v>0</v>
      </c>
      <c r="D4" s="157"/>
      <c r="E4" s="185">
        <f t="shared" si="2"/>
        <v>0</v>
      </c>
      <c r="F4" s="157"/>
      <c r="G4" s="185">
        <f t="shared" si="3"/>
        <v>0</v>
      </c>
      <c r="H4" s="157"/>
      <c r="I4" s="185">
        <f t="shared" si="4"/>
        <v>0</v>
      </c>
      <c r="J4" s="157"/>
      <c r="K4" s="185">
        <f t="shared" si="5"/>
        <v>0</v>
      </c>
      <c r="L4" s="157"/>
      <c r="M4" s="185">
        <f t="shared" si="6"/>
        <v>0</v>
      </c>
      <c r="N4" s="157"/>
      <c r="O4" s="185">
        <f t="shared" si="7"/>
        <v>0</v>
      </c>
      <c r="P4" s="157"/>
      <c r="Q4" s="185">
        <f t="shared" si="8"/>
        <v>0</v>
      </c>
      <c r="R4" s="157">
        <v>103782.01</v>
      </c>
      <c r="S4" s="185">
        <f t="shared" si="9"/>
        <v>0.3373701127466609</v>
      </c>
      <c r="T4" s="157"/>
      <c r="U4" s="185">
        <f t="shared" si="10"/>
        <v>0</v>
      </c>
      <c r="V4" s="157"/>
      <c r="W4" s="185">
        <f t="shared" si="11"/>
        <v>0</v>
      </c>
      <c r="X4" s="157"/>
      <c r="Y4" s="185">
        <f t="shared" si="12"/>
        <v>0</v>
      </c>
      <c r="Z4" s="191">
        <f t="shared" si="0"/>
        <v>8648.5008333333335</v>
      </c>
      <c r="AA4" s="185">
        <f t="shared" si="13"/>
        <v>3.6970065499513399E-2</v>
      </c>
      <c r="AB4" s="172">
        <f>L4+N4+P4+R4+T4+V4+X4+J4+H4+F4+D4+B4</f>
        <v>103782.01</v>
      </c>
      <c r="AC4" s="173">
        <f>AB4/AB$2</f>
        <v>3.6970065499513406E-2</v>
      </c>
      <c r="AD4" s="165"/>
      <c r="AE4" s="159"/>
    </row>
    <row r="5" spans="1:130" ht="14.4" x14ac:dyDescent="0.3">
      <c r="A5" s="157" t="s">
        <v>195</v>
      </c>
      <c r="B5" s="157"/>
      <c r="C5" s="185">
        <f t="shared" si="1"/>
        <v>0</v>
      </c>
      <c r="D5" s="157"/>
      <c r="E5" s="185">
        <f t="shared" si="2"/>
        <v>0</v>
      </c>
      <c r="F5" s="157"/>
      <c r="G5" s="185">
        <f t="shared" si="3"/>
        <v>0</v>
      </c>
      <c r="H5" s="157"/>
      <c r="I5" s="185">
        <f t="shared" si="4"/>
        <v>0</v>
      </c>
      <c r="J5" s="157"/>
      <c r="K5" s="185">
        <f t="shared" si="5"/>
        <v>0</v>
      </c>
      <c r="L5" s="157"/>
      <c r="M5" s="185">
        <f t="shared" si="6"/>
        <v>0</v>
      </c>
      <c r="N5" s="157"/>
      <c r="O5" s="185">
        <f t="shared" si="7"/>
        <v>0</v>
      </c>
      <c r="P5" s="157">
        <v>6500</v>
      </c>
      <c r="Q5" s="185">
        <f t="shared" si="8"/>
        <v>2.9303520682763016E-2</v>
      </c>
      <c r="R5" s="157"/>
      <c r="S5" s="185">
        <f t="shared" si="9"/>
        <v>0</v>
      </c>
      <c r="T5" s="157"/>
      <c r="U5" s="185">
        <f t="shared" si="10"/>
        <v>0</v>
      </c>
      <c r="V5" s="157"/>
      <c r="W5" s="185">
        <f t="shared" si="11"/>
        <v>0</v>
      </c>
      <c r="X5" s="157"/>
      <c r="Y5" s="185">
        <f t="shared" si="12"/>
        <v>0</v>
      </c>
      <c r="Z5" s="191">
        <f t="shared" si="0"/>
        <v>541.66666666666663</v>
      </c>
      <c r="AA5" s="185">
        <f t="shared" si="13"/>
        <v>2.3154824785802191E-3</v>
      </c>
      <c r="AB5" s="172">
        <f>L5+N5+P5+R5+T5+V5+X5+J5+H5+F5+D5+B5</f>
        <v>6500</v>
      </c>
      <c r="AC5" s="173">
        <f>AB5/AB$2</f>
        <v>2.3154824785802199E-3</v>
      </c>
      <c r="AD5" s="165"/>
      <c r="AE5" s="159"/>
    </row>
    <row r="6" spans="1:130" ht="14.4" x14ac:dyDescent="0.3">
      <c r="A6" s="156" t="s">
        <v>105</v>
      </c>
      <c r="B6" s="167">
        <f>SUBTOTAL(9,B7:B15)</f>
        <v>51135.47</v>
      </c>
      <c r="C6" s="186">
        <f t="shared" si="1"/>
        <v>0.22278610116796616</v>
      </c>
      <c r="D6" s="167">
        <f>SUBTOTAL(9,D7:D15)</f>
        <v>52894.95</v>
      </c>
      <c r="E6" s="186">
        <f t="shared" si="2"/>
        <v>0.28042648829627187</v>
      </c>
      <c r="F6" s="167">
        <f>SUBTOTAL(9,F7:F15)</f>
        <v>43595.17</v>
      </c>
      <c r="G6" s="186">
        <f t="shared" si="3"/>
        <v>0.15631501596454325</v>
      </c>
      <c r="H6" s="167">
        <f>SUBTOTAL(9,H7:H15)</f>
        <v>59034.8</v>
      </c>
      <c r="I6" s="186">
        <f t="shared" si="4"/>
        <v>0.30046052787278982</v>
      </c>
      <c r="J6" s="167">
        <f>SUBTOTAL(9,J7:J15)</f>
        <v>47977.75</v>
      </c>
      <c r="K6" s="186">
        <f t="shared" si="5"/>
        <v>0.17879554571757134</v>
      </c>
      <c r="L6" s="167">
        <f>SUBTOTAL(9,L7:L15)</f>
        <v>59129.200000000004</v>
      </c>
      <c r="M6" s="186">
        <f t="shared" si="6"/>
        <v>0.27034521580565679</v>
      </c>
      <c r="N6" s="167">
        <f>SUBTOTAL(9,N7:N15)</f>
        <v>49716.13</v>
      </c>
      <c r="O6" s="186">
        <f t="shared" si="7"/>
        <v>0.25488634706154223</v>
      </c>
      <c r="P6" s="167">
        <f>SUBTOTAL(9,P7:P15)</f>
        <v>40240.239999999998</v>
      </c>
      <c r="Q6" s="186">
        <f t="shared" si="8"/>
        <v>0.1814124161722073</v>
      </c>
      <c r="R6" s="167">
        <f>SUBTOTAL(9,R7:R15)</f>
        <v>43556.539999999994</v>
      </c>
      <c r="S6" s="186">
        <f t="shared" si="9"/>
        <v>0.14159173454681062</v>
      </c>
      <c r="T6" s="167">
        <f>SUBTOTAL(9,T7:T15)</f>
        <v>59258.89</v>
      </c>
      <c r="U6" s="186">
        <f t="shared" si="10"/>
        <v>0.25202004698394909</v>
      </c>
      <c r="V6" s="167">
        <f>SUBTOTAL(9,V7:V15)</f>
        <v>44469.450000000004</v>
      </c>
      <c r="W6" s="186">
        <f t="shared" si="11"/>
        <v>0.19083882489894258</v>
      </c>
      <c r="X6" s="167">
        <f>SUBTOTAL(9,X7:X15)</f>
        <v>40291.9</v>
      </c>
      <c r="Y6" s="186">
        <f t="shared" si="12"/>
        <v>0.17221406451119309</v>
      </c>
      <c r="Z6" s="195">
        <f t="shared" si="0"/>
        <v>49275.040833333333</v>
      </c>
      <c r="AA6" s="186">
        <f>Z6/Z$2</f>
        <v>0.21063783448783049</v>
      </c>
      <c r="AB6" s="167">
        <f>SUBTOTAL(9,AB7:AB15)</f>
        <v>591300.49</v>
      </c>
      <c r="AC6" s="174">
        <f>AB6/AB$2</f>
        <v>0.21063783448783052</v>
      </c>
      <c r="AD6" s="373"/>
      <c r="AE6" s="175"/>
    </row>
    <row r="7" spans="1:130" ht="14.4" x14ac:dyDescent="0.3">
      <c r="A7" s="176" t="s">
        <v>162</v>
      </c>
      <c r="B7" s="176">
        <v>39254.160000000003</v>
      </c>
      <c r="C7" s="185">
        <f t="shared" si="1"/>
        <v>0.17102182225026055</v>
      </c>
      <c r="D7" s="176">
        <v>33740.83</v>
      </c>
      <c r="E7" s="185">
        <f t="shared" si="2"/>
        <v>0.17887950492630203</v>
      </c>
      <c r="F7" s="176">
        <v>28795.9</v>
      </c>
      <c r="G7" s="185">
        <f t="shared" si="3"/>
        <v>0.10325069424464664</v>
      </c>
      <c r="H7" s="176">
        <v>41360.959999999999</v>
      </c>
      <c r="I7" s="185">
        <f t="shared" si="4"/>
        <v>0.2105086470171042</v>
      </c>
      <c r="J7" s="176">
        <v>31172.57</v>
      </c>
      <c r="K7" s="185">
        <f t="shared" si="5"/>
        <v>0.11616877958156005</v>
      </c>
      <c r="L7" s="176">
        <v>39975.760000000002</v>
      </c>
      <c r="M7" s="185">
        <f t="shared" si="6"/>
        <v>0.18277357826919935</v>
      </c>
      <c r="N7" s="176">
        <v>34106.239999999998</v>
      </c>
      <c r="O7" s="185">
        <f t="shared" si="7"/>
        <v>0.17485703182456588</v>
      </c>
      <c r="P7" s="176">
        <v>31517.75</v>
      </c>
      <c r="Q7" s="185">
        <f t="shared" si="8"/>
        <v>0.14208939061525447</v>
      </c>
      <c r="R7" s="157">
        <v>31971.75</v>
      </c>
      <c r="S7" s="185">
        <f t="shared" si="9"/>
        <v>0.10393239543354438</v>
      </c>
      <c r="T7" s="176">
        <v>48275.39</v>
      </c>
      <c r="U7" s="185">
        <f>T7/T$2</f>
        <v>0.20530870652434541</v>
      </c>
      <c r="V7" s="176">
        <v>36508.99</v>
      </c>
      <c r="W7" s="185">
        <f t="shared" si="11"/>
        <v>0.15667683656638984</v>
      </c>
      <c r="X7" s="157">
        <v>36602.46</v>
      </c>
      <c r="Y7" s="185">
        <f>X7/X$2</f>
        <v>0.15644480423381285</v>
      </c>
      <c r="Z7" s="191">
        <f t="shared" si="0"/>
        <v>36106.896666666675</v>
      </c>
      <c r="AA7" s="185">
        <f t="shared" si="13"/>
        <v>0.15434748293090439</v>
      </c>
      <c r="AB7" s="172">
        <f>L7+N7+P7+R7+T7+V7+X7+J7+H7+F7+D7+B7</f>
        <v>433282.76</v>
      </c>
      <c r="AC7" s="173">
        <f>AB7/AB$2</f>
        <v>0.15434748293090439</v>
      </c>
      <c r="AD7" s="165"/>
      <c r="AE7" s="165"/>
    </row>
    <row r="8" spans="1:130" ht="14.4" x14ac:dyDescent="0.3">
      <c r="A8" s="176" t="s">
        <v>26</v>
      </c>
      <c r="B8" s="176">
        <f>SUBTOTAL(9,B9:B15)</f>
        <v>11881.310000000001</v>
      </c>
      <c r="C8" s="185">
        <f t="shared" si="1"/>
        <v>5.1764278917705617E-2</v>
      </c>
      <c r="D8" s="176">
        <f>SUBTOTAL(9,D9:D15)</f>
        <v>19154.12</v>
      </c>
      <c r="E8" s="185">
        <f t="shared" si="2"/>
        <v>0.10154698336996985</v>
      </c>
      <c r="F8" s="176">
        <f>SUBTOTAL(9,F9:F15)</f>
        <v>14799.27</v>
      </c>
      <c r="G8" s="185">
        <f t="shared" si="3"/>
        <v>5.306432171989664E-2</v>
      </c>
      <c r="H8" s="176">
        <f>SUBTOTAL(9,H9:H15)</f>
        <v>17673.84</v>
      </c>
      <c r="I8" s="185">
        <f t="shared" si="4"/>
        <v>8.9951880855685576E-2</v>
      </c>
      <c r="J8" s="176">
        <f>SUBTOTAL(9,J9:J15)</f>
        <v>16805.18</v>
      </c>
      <c r="K8" s="185">
        <f t="shared" si="5"/>
        <v>6.2626766136011286E-2</v>
      </c>
      <c r="L8" s="176">
        <f>SUBTOTAL(9,L9:L15)</f>
        <v>19153.439999999999</v>
      </c>
      <c r="M8" s="185">
        <f t="shared" si="6"/>
        <v>8.7571637536457428E-2</v>
      </c>
      <c r="N8" s="176">
        <f>SUBTOTAL(9,N9:N15)</f>
        <v>15609.89</v>
      </c>
      <c r="O8" s="185">
        <f t="shared" si="7"/>
        <v>8.0029315236976373E-2</v>
      </c>
      <c r="P8" s="176">
        <f>SUBTOTAL(9,P9:P15)</f>
        <v>8722.49</v>
      </c>
      <c r="Q8" s="185">
        <f t="shared" si="8"/>
        <v>3.9323025556952856E-2</v>
      </c>
      <c r="R8" s="157">
        <f>SUBTOTAL(9,R9:R15)</f>
        <v>11584.79</v>
      </c>
      <c r="S8" s="185">
        <f t="shared" si="9"/>
        <v>3.7659339113266264E-2</v>
      </c>
      <c r="T8" s="176">
        <f>SUBTOTAL(9,T9:T15)</f>
        <v>10983.5</v>
      </c>
      <c r="U8" s="185">
        <f t="shared" si="10"/>
        <v>4.6711340459603699E-2</v>
      </c>
      <c r="V8" s="176">
        <f>SUBTOTAL(9,V9:V15)</f>
        <v>7960.4600000000009</v>
      </c>
      <c r="W8" s="185">
        <f t="shared" si="11"/>
        <v>3.4161988332552719E-2</v>
      </c>
      <c r="X8" s="157">
        <f>SUBTOTAL(9,X9:X15)</f>
        <v>3689.44</v>
      </c>
      <c r="Y8" s="185">
        <f t="shared" si="12"/>
        <v>1.5769260277380223E-2</v>
      </c>
      <c r="Z8" s="191">
        <f t="shared" si="0"/>
        <v>13168.144166666667</v>
      </c>
      <c r="AA8" s="185">
        <f t="shared" si="13"/>
        <v>5.629035155692614E-2</v>
      </c>
      <c r="AB8" s="172">
        <f>SUBTOTAL(9,AB9:AB15)</f>
        <v>158017.73000000001</v>
      </c>
      <c r="AC8" s="173">
        <f t="shared" ref="AC8:AC15" si="14">AB8/AB$2</f>
        <v>5.6290351556926153E-2</v>
      </c>
      <c r="AD8" s="373"/>
      <c r="AE8" s="165"/>
    </row>
    <row r="9" spans="1:130" s="498" customFormat="1" ht="14.4" x14ac:dyDescent="0.3">
      <c r="A9" s="157" t="s">
        <v>231</v>
      </c>
      <c r="B9" s="157">
        <v>8049.84</v>
      </c>
      <c r="C9" s="185">
        <f t="shared" si="1"/>
        <v>3.5071398945310181E-2</v>
      </c>
      <c r="D9" s="157">
        <v>8014.64</v>
      </c>
      <c r="E9" s="185">
        <f t="shared" si="2"/>
        <v>4.249020653500632E-2</v>
      </c>
      <c r="F9" s="157">
        <v>7441.41</v>
      </c>
      <c r="G9" s="185">
        <f t="shared" si="3"/>
        <v>2.6681949467078851E-2</v>
      </c>
      <c r="H9" s="157">
        <v>7974.3</v>
      </c>
      <c r="I9" s="185">
        <f t="shared" si="4"/>
        <v>4.0585593368927947E-2</v>
      </c>
      <c r="J9" s="157">
        <v>9211.0400000000009</v>
      </c>
      <c r="K9" s="185">
        <f t="shared" si="5"/>
        <v>3.4326180853132514E-2</v>
      </c>
      <c r="L9" s="157">
        <v>9294</v>
      </c>
      <c r="M9" s="185">
        <f t="shared" si="6"/>
        <v>4.2493191785070217E-2</v>
      </c>
      <c r="N9" s="157">
        <v>6495.72</v>
      </c>
      <c r="O9" s="185">
        <f t="shared" si="7"/>
        <v>3.3302478337203671E-2</v>
      </c>
      <c r="P9" s="157">
        <v>936.02</v>
      </c>
      <c r="Q9" s="185">
        <f t="shared" si="8"/>
        <v>4.2197971429968981E-3</v>
      </c>
      <c r="R9" s="157">
        <v>4216.24</v>
      </c>
      <c r="S9" s="185">
        <f t="shared" si="9"/>
        <v>1.3705972395090263E-2</v>
      </c>
      <c r="T9" s="157">
        <v>3036.27</v>
      </c>
      <c r="U9" s="185">
        <f t="shared" si="10"/>
        <v>1.291284578661455E-2</v>
      </c>
      <c r="V9" s="157">
        <v>0</v>
      </c>
      <c r="W9" s="185">
        <f t="shared" si="11"/>
        <v>0</v>
      </c>
      <c r="X9" s="157">
        <v>0</v>
      </c>
      <c r="Y9" s="185">
        <f t="shared" si="12"/>
        <v>0</v>
      </c>
      <c r="Z9" s="191">
        <f t="shared" si="0"/>
        <v>5389.1233333333321</v>
      </c>
      <c r="AA9" s="185">
        <f t="shared" si="13"/>
        <v>2.3037084282906753E-2</v>
      </c>
      <c r="AB9" s="172">
        <f t="shared" ref="AB9:AB15" si="15">L9+N9+P9+R9+T9+V9+X9+J9+H9+F9+D9+B9</f>
        <v>64669.48000000001</v>
      </c>
      <c r="AC9" s="173">
        <f t="shared" si="14"/>
        <v>2.3037084282906767E-2</v>
      </c>
      <c r="AD9" s="165"/>
      <c r="AE9" s="165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</row>
    <row r="10" spans="1:130" ht="14.4" x14ac:dyDescent="0.3">
      <c r="A10" s="176" t="s">
        <v>232</v>
      </c>
      <c r="B10" s="176">
        <v>500</v>
      </c>
      <c r="C10" s="185">
        <f t="shared" si="1"/>
        <v>2.1783910577918434E-3</v>
      </c>
      <c r="D10" s="176">
        <v>500</v>
      </c>
      <c r="E10" s="185">
        <f t="shared" si="2"/>
        <v>2.6507869682859315E-3</v>
      </c>
      <c r="F10" s="176">
        <f>254.2+42.37</f>
        <v>296.57</v>
      </c>
      <c r="G10" s="185">
        <f t="shared" si="3"/>
        <v>1.0633825784967599E-3</v>
      </c>
      <c r="H10" s="176">
        <v>844.36</v>
      </c>
      <c r="I10" s="185">
        <f t="shared" si="4"/>
        <v>4.2974118878131001E-3</v>
      </c>
      <c r="J10" s="176">
        <f>316.62+79.16</f>
        <v>395.78</v>
      </c>
      <c r="K10" s="185">
        <f t="shared" si="5"/>
        <v>1.4749274629197989E-3</v>
      </c>
      <c r="L10" s="176">
        <f>1644.05+316.16</f>
        <v>1960.21</v>
      </c>
      <c r="M10" s="185">
        <f t="shared" si="6"/>
        <v>8.9622960478816967E-3</v>
      </c>
      <c r="N10" s="176">
        <f>503.95+77.53</f>
        <v>581.48</v>
      </c>
      <c r="O10" s="185">
        <f t="shared" si="7"/>
        <v>2.9811514510350184E-3</v>
      </c>
      <c r="P10" s="176">
        <f>505.73+97.26</f>
        <v>602.99</v>
      </c>
      <c r="Q10" s="185">
        <f t="shared" si="8"/>
        <v>2.7184199902306572E-3</v>
      </c>
      <c r="R10" s="157">
        <f>504.94+74.81</f>
        <v>579.75</v>
      </c>
      <c r="S10" s="185">
        <f t="shared" si="9"/>
        <v>1.8846264671967393E-3</v>
      </c>
      <c r="T10" s="176">
        <f>666.05+133.21</f>
        <v>799.26</v>
      </c>
      <c r="U10" s="185">
        <f t="shared" si="10"/>
        <v>3.3991447148671054E-3</v>
      </c>
      <c r="V10" s="176">
        <f>455.25+109.26+3138.38+784.06</f>
        <v>4486.9500000000007</v>
      </c>
      <c r="W10" s="185">
        <f t="shared" si="11"/>
        <v>1.9255562310312148E-2</v>
      </c>
      <c r="X10" s="157"/>
      <c r="Y10" s="185">
        <f t="shared" si="12"/>
        <v>0</v>
      </c>
      <c r="Z10" s="191">
        <f t="shared" si="0"/>
        <v>962.2791666666667</v>
      </c>
      <c r="AA10" s="185">
        <f t="shared" si="13"/>
        <v>4.1134902460051226E-3</v>
      </c>
      <c r="AB10" s="172">
        <f t="shared" si="15"/>
        <v>11547.350000000002</v>
      </c>
      <c r="AC10" s="173">
        <f t="shared" si="14"/>
        <v>4.1134902460051243E-3</v>
      </c>
      <c r="AD10" s="165"/>
      <c r="AE10" s="165"/>
    </row>
    <row r="11" spans="1:130" ht="14.4" x14ac:dyDescent="0.3">
      <c r="A11" s="176" t="s">
        <v>209</v>
      </c>
      <c r="B11" s="176">
        <f>988.71+146.48</f>
        <v>1135.19</v>
      </c>
      <c r="C11" s="185">
        <f t="shared" si="1"/>
        <v>4.9457754897894455E-3</v>
      </c>
      <c r="D11" s="176">
        <f>1865.48+358.75</f>
        <v>2224.23</v>
      </c>
      <c r="E11" s="185">
        <f t="shared" si="2"/>
        <v>1.1791919796941235E-2</v>
      </c>
      <c r="F11" s="176">
        <f>1825.69+304.28</f>
        <v>2129.9700000000003</v>
      </c>
      <c r="G11" s="185">
        <f t="shared" si="3"/>
        <v>7.6372289534367742E-3</v>
      </c>
      <c r="H11" s="176">
        <v>1649.1</v>
      </c>
      <c r="I11" s="185">
        <f t="shared" si="4"/>
        <v>8.3931758304426809E-3</v>
      </c>
      <c r="J11" s="176">
        <f>338.04+84.51</f>
        <v>422.55</v>
      </c>
      <c r="K11" s="185">
        <f t="shared" si="5"/>
        <v>1.5746894725775962E-3</v>
      </c>
      <c r="L11" s="176">
        <f>1773.55+341.07</f>
        <v>2114.62</v>
      </c>
      <c r="M11" s="185">
        <f t="shared" si="6"/>
        <v>9.6682755769900135E-3</v>
      </c>
      <c r="N11" s="176">
        <f>224.18+34.49</f>
        <v>258.67</v>
      </c>
      <c r="O11" s="185">
        <f t="shared" si="7"/>
        <v>1.3261581582156364E-3</v>
      </c>
      <c r="P11" s="176">
        <f>428.72+82.45</f>
        <v>511.17</v>
      </c>
      <c r="Q11" s="185">
        <f t="shared" si="8"/>
        <v>2.3044739488319956E-3</v>
      </c>
      <c r="R11" s="157">
        <f>688.28+98.33</f>
        <v>786.61</v>
      </c>
      <c r="S11" s="185">
        <f t="shared" si="9"/>
        <v>2.5570780946298009E-3</v>
      </c>
      <c r="T11" s="176">
        <f>1001.91+200.38</f>
        <v>1202.29</v>
      </c>
      <c r="U11" s="185">
        <f t="shared" si="10"/>
        <v>5.1131768125986183E-3</v>
      </c>
      <c r="V11" s="176">
        <f>897.12+215.31</f>
        <v>1112.43</v>
      </c>
      <c r="W11" s="185">
        <f t="shared" si="11"/>
        <v>4.7739478222089699E-3</v>
      </c>
      <c r="X11" s="157">
        <f>878.63+219.66</f>
        <v>1098.29</v>
      </c>
      <c r="Y11" s="185">
        <f t="shared" si="12"/>
        <v>4.6942682006060332E-3</v>
      </c>
      <c r="Z11" s="191">
        <f t="shared" si="0"/>
        <v>1220.426666666667</v>
      </c>
      <c r="AA11" s="185">
        <f t="shared" si="13"/>
        <v>5.2170028856468849E-3</v>
      </c>
      <c r="AB11" s="172">
        <f t="shared" si="15"/>
        <v>14645.12</v>
      </c>
      <c r="AC11" s="173">
        <f t="shared" si="14"/>
        <v>5.2170028856468849E-3</v>
      </c>
      <c r="AD11" s="165"/>
      <c r="AE11" s="165"/>
    </row>
    <row r="12" spans="1:130" ht="14.4" x14ac:dyDescent="0.3">
      <c r="A12" s="176" t="s">
        <v>205</v>
      </c>
      <c r="B12" s="176">
        <f>1646.76+290.6</f>
        <v>1937.3600000000001</v>
      </c>
      <c r="C12" s="185">
        <f t="shared" si="1"/>
        <v>8.4406553994472115E-3</v>
      </c>
      <c r="D12" s="176">
        <f>2088.17+334.11</f>
        <v>2422.2800000000002</v>
      </c>
      <c r="E12" s="185">
        <f t="shared" si="2"/>
        <v>1.2841896515079294E-2</v>
      </c>
      <c r="F12" s="176">
        <f>1722+287</f>
        <v>2009</v>
      </c>
      <c r="G12" s="185">
        <f t="shared" si="3"/>
        <v>7.2034784374683577E-3</v>
      </c>
      <c r="H12" s="176">
        <v>3181.58</v>
      </c>
      <c r="I12" s="185">
        <f t="shared" si="4"/>
        <v>1.6192808415875223E-2</v>
      </c>
      <c r="J12" s="176">
        <f>3062.16+765.54</f>
        <v>3827.7</v>
      </c>
      <c r="K12" s="185">
        <f t="shared" si="5"/>
        <v>1.426443946085733E-2</v>
      </c>
      <c r="L12" s="176">
        <f>2506.48+482.02</f>
        <v>2988.5</v>
      </c>
      <c r="M12" s="185">
        <f t="shared" si="6"/>
        <v>1.3663751199664552E-2</v>
      </c>
      <c r="N12" s="176">
        <f>2407.12+370.33</f>
        <v>2777.45</v>
      </c>
      <c r="O12" s="185">
        <f t="shared" si="7"/>
        <v>1.4239525173139592E-2</v>
      </c>
      <c r="P12" s="176">
        <f>3091.87+594.59</f>
        <v>3686.46</v>
      </c>
      <c r="Q12" s="185">
        <f t="shared" si="8"/>
        <v>1.6619424131719775E-2</v>
      </c>
      <c r="R12" s="157">
        <f>2702.01+400.3</f>
        <v>3102.3100000000004</v>
      </c>
      <c r="S12" s="185">
        <f t="shared" si="9"/>
        <v>1.0084856464767774E-2</v>
      </c>
      <c r="T12" s="176">
        <f>2848.22+569.64</f>
        <v>3417.8599999999997</v>
      </c>
      <c r="U12" s="185">
        <f t="shared" si="10"/>
        <v>1.4535696463173039E-2</v>
      </c>
      <c r="V12" s="176"/>
      <c r="W12" s="185">
        <f t="shared" si="11"/>
        <v>0</v>
      </c>
      <c r="X12" s="157"/>
      <c r="Y12" s="185">
        <f t="shared" si="12"/>
        <v>0</v>
      </c>
      <c r="Z12" s="191">
        <f t="shared" si="0"/>
        <v>2445.8750000000005</v>
      </c>
      <c r="AA12" s="185">
        <f t="shared" si="13"/>
        <v>1.0455472075010576E-2</v>
      </c>
      <c r="AB12" s="172">
        <f t="shared" si="15"/>
        <v>29350.5</v>
      </c>
      <c r="AC12" s="173">
        <f t="shared" si="14"/>
        <v>1.0455472075010576E-2</v>
      </c>
      <c r="AD12" s="165"/>
      <c r="AE12" s="165"/>
    </row>
    <row r="13" spans="1:130" ht="14.4" x14ac:dyDescent="0.3">
      <c r="A13" s="176" t="s">
        <v>233</v>
      </c>
      <c r="B13" s="176">
        <f>221.93+36.99</f>
        <v>258.92</v>
      </c>
      <c r="C13" s="185">
        <f t="shared" si="1"/>
        <v>1.1280580253669281E-3</v>
      </c>
      <c r="D13" s="176">
        <f>871.76+134.12</f>
        <v>1005.88</v>
      </c>
      <c r="E13" s="185">
        <f t="shared" si="2"/>
        <v>5.3327471913189057E-3</v>
      </c>
      <c r="F13" s="176">
        <f>365.83+60.97</f>
        <v>426.79999999999995</v>
      </c>
      <c r="G13" s="185">
        <f t="shared" si="3"/>
        <v>1.5303357875119435E-3</v>
      </c>
      <c r="H13" s="176">
        <v>794.25</v>
      </c>
      <c r="I13" s="185">
        <f t="shared" si="4"/>
        <v>4.04237456996489E-3</v>
      </c>
      <c r="J13" s="176">
        <f>416.4+104.1</f>
        <v>520.5</v>
      </c>
      <c r="K13" s="185">
        <f t="shared" si="5"/>
        <v>1.939713336827923E-3</v>
      </c>
      <c r="L13" s="176"/>
      <c r="M13" s="185">
        <f t="shared" si="6"/>
        <v>0</v>
      </c>
      <c r="N13" s="176"/>
      <c r="O13" s="185">
        <f t="shared" si="7"/>
        <v>0</v>
      </c>
      <c r="P13" s="176"/>
      <c r="Q13" s="185">
        <f t="shared" si="8"/>
        <v>0</v>
      </c>
      <c r="R13" s="157"/>
      <c r="S13" s="185">
        <f t="shared" si="9"/>
        <v>0</v>
      </c>
      <c r="T13" s="176"/>
      <c r="U13" s="185">
        <f t="shared" si="10"/>
        <v>0</v>
      </c>
      <c r="V13" s="176"/>
      <c r="W13" s="185">
        <f t="shared" si="11"/>
        <v>0</v>
      </c>
      <c r="X13" s="176"/>
      <c r="Y13" s="185">
        <f t="shared" si="12"/>
        <v>0</v>
      </c>
      <c r="Z13" s="191">
        <f t="shared" si="0"/>
        <v>250.52916666666667</v>
      </c>
      <c r="AA13" s="185">
        <f t="shared" si="13"/>
        <v>1.0709462691507142E-3</v>
      </c>
      <c r="AB13" s="172">
        <f t="shared" si="15"/>
        <v>3006.35</v>
      </c>
      <c r="AC13" s="173">
        <f t="shared" si="14"/>
        <v>1.0709462691507144E-3</v>
      </c>
      <c r="AD13" s="165"/>
      <c r="AE13" s="165"/>
    </row>
    <row r="14" spans="1:130" ht="14.4" x14ac:dyDescent="0.3">
      <c r="A14" s="176" t="s">
        <v>249</v>
      </c>
      <c r="B14" s="176"/>
      <c r="C14" s="185">
        <f t="shared" si="1"/>
        <v>0</v>
      </c>
      <c r="D14" s="176"/>
      <c r="E14" s="185">
        <f t="shared" si="2"/>
        <v>0</v>
      </c>
      <c r="F14" s="176"/>
      <c r="G14" s="185">
        <f t="shared" si="3"/>
        <v>0</v>
      </c>
      <c r="H14" s="176"/>
      <c r="I14" s="185">
        <f t="shared" si="4"/>
        <v>0</v>
      </c>
      <c r="J14" s="176"/>
      <c r="K14" s="185">
        <f t="shared" si="5"/>
        <v>0</v>
      </c>
      <c r="L14" s="176">
        <v>13.46</v>
      </c>
      <c r="M14" s="185">
        <f t="shared" si="6"/>
        <v>6.154060269281743E-5</v>
      </c>
      <c r="N14" s="176">
        <f>60.03+6</f>
        <v>66.03</v>
      </c>
      <c r="O14" s="185">
        <f t="shared" si="7"/>
        <v>3.3852485091807503E-4</v>
      </c>
      <c r="P14" s="176">
        <f>170.32+32.75</f>
        <v>203.07</v>
      </c>
      <c r="Q14" s="185">
        <f t="shared" si="8"/>
        <v>9.154870684690285E-4</v>
      </c>
      <c r="R14" s="157"/>
      <c r="S14" s="185">
        <f t="shared" si="9"/>
        <v>0</v>
      </c>
      <c r="T14" s="176"/>
      <c r="U14" s="185">
        <f t="shared" si="10"/>
        <v>0</v>
      </c>
      <c r="V14" s="176"/>
      <c r="W14" s="185">
        <f t="shared" si="11"/>
        <v>0</v>
      </c>
      <c r="X14" s="176"/>
      <c r="Y14" s="185">
        <f t="shared" si="12"/>
        <v>0</v>
      </c>
      <c r="Z14" s="191">
        <f t="shared" si="0"/>
        <v>23.546666666666667</v>
      </c>
      <c r="AA14" s="185">
        <f t="shared" si="13"/>
        <v>1.0065580448425027E-4</v>
      </c>
      <c r="AB14" s="172">
        <f t="shared" si="15"/>
        <v>282.56</v>
      </c>
      <c r="AC14" s="173">
        <f t="shared" si="14"/>
        <v>1.006558044842503E-4</v>
      </c>
      <c r="AD14" s="165"/>
      <c r="AE14" s="165"/>
    </row>
    <row r="15" spans="1:130" ht="14.4" x14ac:dyDescent="0.3">
      <c r="A15" s="499" t="s">
        <v>187</v>
      </c>
      <c r="B15" s="176"/>
      <c r="C15" s="185">
        <f t="shared" si="1"/>
        <v>0</v>
      </c>
      <c r="D15" s="176">
        <f>2332.98+2654.11</f>
        <v>4987.09</v>
      </c>
      <c r="E15" s="185">
        <f t="shared" si="2"/>
        <v>2.6439426363338174E-2</v>
      </c>
      <c r="F15" s="176">
        <v>2495.52</v>
      </c>
      <c r="G15" s="185">
        <f t="shared" si="3"/>
        <v>8.9479464959039499E-3</v>
      </c>
      <c r="H15" s="176">
        <v>3230.25</v>
      </c>
      <c r="I15" s="185">
        <f t="shared" si="4"/>
        <v>1.644051678266174E-2</v>
      </c>
      <c r="J15" s="176">
        <v>2427.61</v>
      </c>
      <c r="K15" s="185">
        <f t="shared" si="5"/>
        <v>9.0468155496961269E-3</v>
      </c>
      <c r="L15" s="176">
        <v>2782.65</v>
      </c>
      <c r="M15" s="185">
        <f t="shared" si="6"/>
        <v>1.2722582324158129E-2</v>
      </c>
      <c r="N15" s="176">
        <v>5430.54</v>
      </c>
      <c r="O15" s="185">
        <f t="shared" si="7"/>
        <v>2.7841477266464378E-2</v>
      </c>
      <c r="P15" s="176">
        <v>2782.78</v>
      </c>
      <c r="Q15" s="185">
        <f t="shared" si="8"/>
        <v>1.2545423274704502E-2</v>
      </c>
      <c r="R15" s="176">
        <v>2899.88</v>
      </c>
      <c r="S15" s="185">
        <f t="shared" si="9"/>
        <v>9.4268056915816825E-3</v>
      </c>
      <c r="T15" s="176">
        <v>2527.8200000000002</v>
      </c>
      <c r="U15" s="185">
        <f t="shared" si="10"/>
        <v>1.0750476682350383E-2</v>
      </c>
      <c r="V15" s="176">
        <v>2361.08</v>
      </c>
      <c r="W15" s="185">
        <f t="shared" si="11"/>
        <v>1.0132478200031601E-2</v>
      </c>
      <c r="X15" s="157">
        <v>2591.15</v>
      </c>
      <c r="Y15" s="185">
        <f t="shared" si="12"/>
        <v>1.107499207677419E-2</v>
      </c>
      <c r="Z15" s="191">
        <f t="shared" si="0"/>
        <v>2876.3641666666667</v>
      </c>
      <c r="AA15" s="185">
        <f t="shared" si="13"/>
        <v>1.2295699993721834E-2</v>
      </c>
      <c r="AB15" s="172">
        <f t="shared" si="15"/>
        <v>34516.370000000003</v>
      </c>
      <c r="AC15" s="173">
        <f t="shared" si="14"/>
        <v>1.2295699993721838E-2</v>
      </c>
      <c r="AD15" s="165"/>
      <c r="AE15" s="165"/>
    </row>
    <row r="16" spans="1:130" ht="14.4" x14ac:dyDescent="0.3">
      <c r="A16" s="156" t="s">
        <v>8</v>
      </c>
      <c r="B16" s="167">
        <f>B2-B6</f>
        <v>178391.73</v>
      </c>
      <c r="C16" s="186">
        <f t="shared" si="1"/>
        <v>0.77721389883203384</v>
      </c>
      <c r="D16" s="167">
        <f>D2-D6</f>
        <v>135728.28000000003</v>
      </c>
      <c r="E16" s="186">
        <f>D16/D$2</f>
        <v>0.71957351170372819</v>
      </c>
      <c r="F16" s="167">
        <f>F2-F6</f>
        <v>235297.87</v>
      </c>
      <c r="G16" s="186">
        <f t="shared" si="3"/>
        <v>0.84368498403545678</v>
      </c>
      <c r="H16" s="167">
        <f>H2-H6</f>
        <v>137446.25</v>
      </c>
      <c r="I16" s="186">
        <f t="shared" si="4"/>
        <v>0.69953947212721024</v>
      </c>
      <c r="J16" s="167">
        <f>J2-J6</f>
        <v>220360.87</v>
      </c>
      <c r="K16" s="186">
        <f t="shared" si="5"/>
        <v>0.82120445428242872</v>
      </c>
      <c r="L16" s="167">
        <f>L2-L6</f>
        <v>159588.19</v>
      </c>
      <c r="M16" s="186">
        <f>L16/L$2</f>
        <v>0.72965478419434315</v>
      </c>
      <c r="N16" s="167">
        <f>N2-N6</f>
        <v>145336.01999999999</v>
      </c>
      <c r="O16" s="186">
        <f t="shared" si="7"/>
        <v>0.74511365293845766</v>
      </c>
      <c r="P16" s="167">
        <f>P2-P6</f>
        <v>181576.11000000002</v>
      </c>
      <c r="Q16" s="186">
        <f t="shared" si="8"/>
        <v>0.81858758382779273</v>
      </c>
      <c r="R16" s="167">
        <f>R2-R6</f>
        <v>264064.10000000003</v>
      </c>
      <c r="S16" s="186">
        <f t="shared" si="9"/>
        <v>0.85840826545318938</v>
      </c>
      <c r="T16" s="167">
        <f>T2-T6</f>
        <v>175876.72999999998</v>
      </c>
      <c r="U16" s="186">
        <f t="shared" si="10"/>
        <v>0.7479799530160508</v>
      </c>
      <c r="V16" s="167">
        <f>V2-V6</f>
        <v>188551.53</v>
      </c>
      <c r="W16" s="186">
        <f t="shared" si="11"/>
        <v>0.80916117510105734</v>
      </c>
      <c r="X16" s="167">
        <f>X2-X6</f>
        <v>193672.15</v>
      </c>
      <c r="Y16" s="186">
        <f t="shared" si="12"/>
        <v>0.82778593548880697</v>
      </c>
      <c r="Z16" s="189">
        <f t="shared" si="0"/>
        <v>184657.48583333334</v>
      </c>
      <c r="AA16" s="186">
        <f t="shared" si="13"/>
        <v>0.78936216551216942</v>
      </c>
      <c r="AB16" s="167">
        <f>SUM(AB2-AB6)</f>
        <v>2215889.83</v>
      </c>
      <c r="AC16" s="174">
        <f>AB16/AB$2</f>
        <v>0.78936216551216953</v>
      </c>
      <c r="AD16" s="165"/>
      <c r="AE16" s="165"/>
    </row>
    <row r="17" spans="1:31" ht="14.4" x14ac:dyDescent="0.3">
      <c r="A17" s="156" t="s">
        <v>106</v>
      </c>
      <c r="B17" s="167">
        <f>SUBTOTAL(9,B18:B62)</f>
        <v>87698.810000000012</v>
      </c>
      <c r="C17" s="186">
        <f t="shared" si="1"/>
        <v>0.3820846069659718</v>
      </c>
      <c r="D17" s="167">
        <f>SUBTOTAL(9,D18:D62)</f>
        <v>100542.69000000002</v>
      </c>
      <c r="E17" s="186">
        <f t="shared" ref="E17:E73" si="16">D17/D$2</f>
        <v>0.53303450481682457</v>
      </c>
      <c r="F17" s="167">
        <f>SUBTOTAL(9,F18:F62)</f>
        <v>100691.08999999998</v>
      </c>
      <c r="G17" s="186">
        <f t="shared" si="3"/>
        <v>0.36103837514195403</v>
      </c>
      <c r="H17" s="167">
        <f>SUBTOTAL(9,H18:H62)</f>
        <v>107701.63000000002</v>
      </c>
      <c r="I17" s="186">
        <f t="shared" si="4"/>
        <v>0.54815276078787256</v>
      </c>
      <c r="J17" s="167">
        <f>SUBTOTAL(9,J18:J62)</f>
        <v>111878.41999999997</v>
      </c>
      <c r="K17" s="186">
        <f t="shared" si="5"/>
        <v>0.41692999688229732</v>
      </c>
      <c r="L17" s="167">
        <f>SUBTOTAL(9,L18:L62)</f>
        <v>121455.88</v>
      </c>
      <c r="M17" s="186">
        <f t="shared" ref="M17:M73" si="17">L17/L$2</f>
        <v>0.55530966239127122</v>
      </c>
      <c r="N17" s="167">
        <f>SUBTOTAL(9,N18:N62)</f>
        <v>106539.13000000002</v>
      </c>
      <c r="O17" s="186">
        <f t="shared" si="7"/>
        <v>0.54620843707695621</v>
      </c>
      <c r="P17" s="167">
        <f>SUBTOTAL(9,P18:P62)</f>
        <v>112169.94000000002</v>
      </c>
      <c r="Q17" s="186">
        <f t="shared" si="8"/>
        <v>0.5056883318114288</v>
      </c>
      <c r="R17" s="167">
        <f>SUBTOTAL(9,R18:R62)</f>
        <v>96541.919999999955</v>
      </c>
      <c r="S17" s="186">
        <f t="shared" si="9"/>
        <v>0.31383433829407531</v>
      </c>
      <c r="T17" s="167">
        <f>SUBTOTAL(9,T18:T62)</f>
        <v>122702.33999999998</v>
      </c>
      <c r="U17" s="186">
        <f t="shared" si="10"/>
        <v>0.52183646186826127</v>
      </c>
      <c r="V17" s="167">
        <f>SUBTOTAL(9,V18:V62)</f>
        <v>115757.51999999999</v>
      </c>
      <c r="W17" s="186">
        <f t="shared" si="11"/>
        <v>0.49676866005799125</v>
      </c>
      <c r="X17" s="167">
        <f>SUBTOTAL(9,X18:X62)</f>
        <v>125142.21000000002</v>
      </c>
      <c r="Y17" s="186">
        <f t="shared" si="12"/>
        <v>0.53487794385504961</v>
      </c>
      <c r="Z17" s="189">
        <f>(B17+D17+F17+H17+J17+L17+N17+P17+R17+T17+V17+X17)/AE$2</f>
        <v>109068.46500000001</v>
      </c>
      <c r="AA17" s="186">
        <f t="shared" si="13"/>
        <v>0.46623899016579679</v>
      </c>
      <c r="AB17" s="177">
        <f>SUBTOTAL(9,AB18:AB62)</f>
        <v>1308821.58</v>
      </c>
      <c r="AC17" s="168">
        <f>AB17/AB$2</f>
        <v>0.46623899016579684</v>
      </c>
      <c r="AD17" s="373"/>
      <c r="AE17" s="165"/>
    </row>
    <row r="18" spans="1:31" ht="14.4" x14ac:dyDescent="0.3">
      <c r="A18" s="157" t="s">
        <v>19</v>
      </c>
      <c r="B18" s="157">
        <v>1543.45</v>
      </c>
      <c r="C18" s="185">
        <f t="shared" si="1"/>
        <v>6.7244753562976413E-3</v>
      </c>
      <c r="D18" s="157">
        <v>1615.9</v>
      </c>
      <c r="E18" s="185">
        <f t="shared" si="16"/>
        <v>8.5668133241064738E-3</v>
      </c>
      <c r="F18" s="157">
        <v>1615.9</v>
      </c>
      <c r="G18" s="185">
        <f t="shared" si="3"/>
        <v>5.7939775047810447E-3</v>
      </c>
      <c r="H18" s="157">
        <v>1983.7</v>
      </c>
      <c r="I18" s="185">
        <f t="shared" si="4"/>
        <v>1.009613904241656E-2</v>
      </c>
      <c r="J18" s="157">
        <v>2004.72</v>
      </c>
      <c r="K18" s="185">
        <f t="shared" si="5"/>
        <v>7.4708590213365487E-3</v>
      </c>
      <c r="L18" s="157">
        <v>2027.17</v>
      </c>
      <c r="M18" s="185">
        <f t="shared" si="17"/>
        <v>9.268444543892921E-3</v>
      </c>
      <c r="N18" s="157">
        <v>1954.72</v>
      </c>
      <c r="O18" s="185">
        <f t="shared" si="7"/>
        <v>1.002152501266969E-2</v>
      </c>
      <c r="P18" s="157">
        <v>2012.68</v>
      </c>
      <c r="Q18" s="185">
        <f t="shared" si="8"/>
        <v>9.0736323088897643E-3</v>
      </c>
      <c r="R18" s="157">
        <v>1940.23</v>
      </c>
      <c r="S18" s="185">
        <f t="shared" si="9"/>
        <v>6.3072165768850875E-3</v>
      </c>
      <c r="T18" s="157">
        <v>2296.91</v>
      </c>
      <c r="U18" s="185">
        <f t="shared" si="10"/>
        <v>9.7684476728791669E-3</v>
      </c>
      <c r="V18" s="157">
        <v>1717.75</v>
      </c>
      <c r="W18" s="185">
        <f t="shared" si="11"/>
        <v>7.3716538313417096E-3</v>
      </c>
      <c r="X18" s="157">
        <v>1596.05</v>
      </c>
      <c r="Y18" s="185">
        <f t="shared" si="12"/>
        <v>6.8217745418580333E-3</v>
      </c>
      <c r="Z18" s="191">
        <f t="shared" si="0"/>
        <v>1859.0983333333334</v>
      </c>
      <c r="AA18" s="185">
        <f t="shared" si="13"/>
        <v>7.9471562156141935E-3</v>
      </c>
      <c r="AB18" s="172">
        <f>L18+N18+P18+R18+T18+V18+X18+J18+H18+F18+D18+B18</f>
        <v>22309.180000000004</v>
      </c>
      <c r="AC18" s="173">
        <f>AB18/AB$2</f>
        <v>7.947156215614197E-3</v>
      </c>
      <c r="AD18" s="165"/>
      <c r="AE18" s="165"/>
    </row>
    <row r="19" spans="1:31" ht="14.4" x14ac:dyDescent="0.3">
      <c r="A19" s="157" t="s">
        <v>160</v>
      </c>
      <c r="B19" s="176">
        <v>641.04</v>
      </c>
      <c r="C19" s="185">
        <f t="shared" si="1"/>
        <v>2.7928716073737665E-3</v>
      </c>
      <c r="D19" s="176">
        <v>679.05</v>
      </c>
      <c r="E19" s="185">
        <f t="shared" si="16"/>
        <v>3.6000337816291233E-3</v>
      </c>
      <c r="F19" s="176">
        <v>679.05</v>
      </c>
      <c r="G19" s="500">
        <f t="shared" si="3"/>
        <v>2.4348043966963104E-3</v>
      </c>
      <c r="H19" s="176">
        <v>679.05</v>
      </c>
      <c r="I19" s="185">
        <f t="shared" si="4"/>
        <v>3.4560584850294724E-3</v>
      </c>
      <c r="J19" s="176">
        <v>679.05</v>
      </c>
      <c r="K19" s="185">
        <f t="shared" si="5"/>
        <v>2.5305712610432297E-3</v>
      </c>
      <c r="L19" s="176">
        <v>679.05</v>
      </c>
      <c r="M19" s="185">
        <f t="shared" si="17"/>
        <v>3.1046914010815505E-3</v>
      </c>
      <c r="N19" s="176">
        <v>679.05</v>
      </c>
      <c r="O19" s="185">
        <f t="shared" si="7"/>
        <v>3.4813766472197305E-3</v>
      </c>
      <c r="P19" s="157">
        <v>679.05</v>
      </c>
      <c r="Q19" s="185">
        <f t="shared" si="8"/>
        <v>3.0613162645584959E-3</v>
      </c>
      <c r="R19" s="157">
        <v>679.05</v>
      </c>
      <c r="S19" s="185">
        <f t="shared" si="9"/>
        <v>2.2074266538162066E-3</v>
      </c>
      <c r="T19" s="176">
        <v>679.05</v>
      </c>
      <c r="U19" s="185">
        <f t="shared" si="10"/>
        <v>2.88790783803832E-3</v>
      </c>
      <c r="V19" s="176">
        <v>679.05</v>
      </c>
      <c r="W19" s="185">
        <f t="shared" si="11"/>
        <v>2.9141152869582815E-3</v>
      </c>
      <c r="X19" s="157">
        <v>1358.05</v>
      </c>
      <c r="Y19" s="185">
        <f t="shared" si="12"/>
        <v>5.8045242420790713E-3</v>
      </c>
      <c r="Z19" s="191">
        <f>(B19+D19+F19+H19+J19+L19+N19+P19+R19+T19+V19+X19)/AE$2</f>
        <v>732.46583333333331</v>
      </c>
      <c r="AA19" s="185">
        <f t="shared" si="13"/>
        <v>3.1310987136775243E-3</v>
      </c>
      <c r="AB19" s="172">
        <f>L19+N19+P19+R19+T19+V19+X19+J19+H19+F19+D19+B19</f>
        <v>8789.59</v>
      </c>
      <c r="AC19" s="173">
        <f t="shared" ref="AC19:AC62" si="18">AB19/AB$2</f>
        <v>3.1310987136775252E-3</v>
      </c>
      <c r="AD19" s="165"/>
      <c r="AE19" s="165"/>
    </row>
    <row r="20" spans="1:31" ht="14.4" x14ac:dyDescent="0.3">
      <c r="A20" s="157" t="s">
        <v>250</v>
      </c>
      <c r="B20" s="176"/>
      <c r="C20" s="185">
        <f t="shared" si="1"/>
        <v>0</v>
      </c>
      <c r="D20" s="176">
        <v>950</v>
      </c>
      <c r="E20" s="185">
        <f t="shared" si="16"/>
        <v>5.0364952397432697E-3</v>
      </c>
      <c r="F20" s="176">
        <v>950</v>
      </c>
      <c r="G20" s="500">
        <f t="shared" si="3"/>
        <v>3.4063238006943452E-3</v>
      </c>
      <c r="H20" s="176">
        <v>950</v>
      </c>
      <c r="I20" s="185">
        <f t="shared" si="4"/>
        <v>4.8350718809778348E-3</v>
      </c>
      <c r="J20" s="176">
        <v>950</v>
      </c>
      <c r="K20" s="185">
        <f t="shared" si="5"/>
        <v>3.540302920243087E-3</v>
      </c>
      <c r="L20" s="176">
        <v>950</v>
      </c>
      <c r="M20" s="185">
        <f t="shared" si="17"/>
        <v>4.3435046477099965E-3</v>
      </c>
      <c r="N20" s="176">
        <v>950</v>
      </c>
      <c r="O20" s="185">
        <f t="shared" si="7"/>
        <v>4.8704923273083633E-3</v>
      </c>
      <c r="P20" s="157">
        <v>950</v>
      </c>
      <c r="Q20" s="185">
        <f t="shared" si="8"/>
        <v>4.2828222536345946E-3</v>
      </c>
      <c r="R20" s="157">
        <v>950</v>
      </c>
      <c r="S20" s="185">
        <f t="shared" si="9"/>
        <v>3.0882193080412289E-3</v>
      </c>
      <c r="T20" s="176">
        <v>950</v>
      </c>
      <c r="U20" s="185">
        <f t="shared" si="10"/>
        <v>4.0402215538419915E-3</v>
      </c>
      <c r="V20" s="176">
        <v>950</v>
      </c>
      <c r="W20" s="185">
        <f t="shared" si="11"/>
        <v>4.0768861241592923E-3</v>
      </c>
      <c r="X20" s="157">
        <v>950</v>
      </c>
      <c r="Y20" s="185">
        <f t="shared" si="12"/>
        <v>4.0604528772689649E-3</v>
      </c>
      <c r="Z20" s="191">
        <f>(B20+D20+F20+H20+J20+L20+N20+P20+R20+T20+V20+X20)/AE$2</f>
        <v>870.83333333333337</v>
      </c>
      <c r="AA20" s="185"/>
      <c r="AB20" s="172">
        <f>L20+N20+P20+R20+T20+V20+X20+J20+H20+F20+D20+B20</f>
        <v>10450</v>
      </c>
      <c r="AC20" s="173">
        <f t="shared" si="18"/>
        <v>3.7225833694097378E-3</v>
      </c>
      <c r="AD20" s="165"/>
      <c r="AE20" s="165"/>
    </row>
    <row r="21" spans="1:31" ht="14.4" x14ac:dyDescent="0.3">
      <c r="A21" s="176" t="s">
        <v>14</v>
      </c>
      <c r="B21" s="157">
        <v>605.36</v>
      </c>
      <c r="C21" s="185">
        <f t="shared" si="1"/>
        <v>2.6374216214897408E-3</v>
      </c>
      <c r="D21" s="157">
        <v>645.39</v>
      </c>
      <c r="E21" s="185">
        <f t="shared" si="16"/>
        <v>3.4215828029241146E-3</v>
      </c>
      <c r="F21" s="157">
        <v>438.11</v>
      </c>
      <c r="G21" s="500">
        <f t="shared" si="3"/>
        <v>1.5708889687602102E-3</v>
      </c>
      <c r="H21" s="157">
        <v>885.64</v>
      </c>
      <c r="I21" s="185">
        <f t="shared" si="4"/>
        <v>4.5075084849149575E-3</v>
      </c>
      <c r="J21" s="157">
        <v>425.25</v>
      </c>
      <c r="K21" s="185">
        <f t="shared" si="5"/>
        <v>1.5847513861403924E-3</v>
      </c>
      <c r="L21" s="157">
        <v>737.98</v>
      </c>
      <c r="M21" s="185">
        <f t="shared" si="17"/>
        <v>3.3741258525442352E-3</v>
      </c>
      <c r="N21" s="157">
        <v>355.04</v>
      </c>
      <c r="O21" s="185">
        <f t="shared" si="7"/>
        <v>1.8202311535658541E-3</v>
      </c>
      <c r="P21" s="157">
        <v>278.52999999999997</v>
      </c>
      <c r="Q21" s="185">
        <f t="shared" si="8"/>
        <v>1.2556784024261511E-3</v>
      </c>
      <c r="R21" s="157">
        <v>270.86</v>
      </c>
      <c r="S21" s="185">
        <f t="shared" si="9"/>
        <v>8.8050008608004976E-4</v>
      </c>
      <c r="T21" s="157">
        <v>214.49</v>
      </c>
      <c r="U21" s="185">
        <f t="shared" si="10"/>
        <v>9.1219696956165133E-4</v>
      </c>
      <c r="V21" s="157">
        <v>241.73</v>
      </c>
      <c r="W21" s="185">
        <f t="shared" si="11"/>
        <v>1.037374402940027E-3</v>
      </c>
      <c r="X21" s="157">
        <v>297.57</v>
      </c>
      <c r="Y21" s="185">
        <f t="shared" si="12"/>
        <v>1.2718620659883432E-3</v>
      </c>
      <c r="Z21" s="191">
        <f t="shared" si="0"/>
        <v>449.66249999999991</v>
      </c>
      <c r="AA21" s="185">
        <f t="shared" si="13"/>
        <v>1.922188873891528E-3</v>
      </c>
      <c r="AB21" s="172">
        <f>L21+N21+P21+R21+T21+V21+X21+J21+H21+F21+D21+B21</f>
        <v>5395.95</v>
      </c>
      <c r="AC21" s="173">
        <f t="shared" si="18"/>
        <v>1.9221888738915286E-3</v>
      </c>
      <c r="AD21" s="165"/>
      <c r="AE21" s="165"/>
    </row>
    <row r="22" spans="1:31" ht="14.4" x14ac:dyDescent="0.3">
      <c r="A22" s="157" t="s">
        <v>123</v>
      </c>
      <c r="B22" s="157">
        <f>SUBTOTAL(9,B23:B36)</f>
        <v>44472.169999999991</v>
      </c>
      <c r="C22" s="185">
        <f t="shared" si="1"/>
        <v>0.19375555489719731</v>
      </c>
      <c r="D22" s="157">
        <f>SUBTOTAL(9,D23:E37)</f>
        <v>55651.77504043591</v>
      </c>
      <c r="E22" s="185">
        <f t="shared" si="16"/>
        <v>0.29504200007833559</v>
      </c>
      <c r="F22" s="157">
        <f>SUBTOTAL(9,F23:F36)</f>
        <v>54287.41</v>
      </c>
      <c r="G22" s="500">
        <f t="shared" si="3"/>
        <v>0.19465315448531811</v>
      </c>
      <c r="H22" s="157">
        <f>SUBTOTAL(9,H23:H36)</f>
        <v>59313.21</v>
      </c>
      <c r="I22" s="185">
        <f t="shared" si="4"/>
        <v>0.30187750930687718</v>
      </c>
      <c r="J22" s="157">
        <f>SUBTOTAL(9,J23:J36)</f>
        <v>61444.01999999999</v>
      </c>
      <c r="K22" s="500">
        <f t="shared" si="5"/>
        <v>0.2289794141447101</v>
      </c>
      <c r="L22" s="157">
        <f>SUBTOTAL(9,L23:L36)</f>
        <v>70047.28</v>
      </c>
      <c r="M22" s="185">
        <f t="shared" si="17"/>
        <v>0.32026388025204577</v>
      </c>
      <c r="N22" s="157">
        <f>SUBTOTAL(9,N23:N37)</f>
        <v>57018.62</v>
      </c>
      <c r="O22" s="185">
        <f t="shared" si="7"/>
        <v>0.29232500128811706</v>
      </c>
      <c r="P22" s="157">
        <f>SUBTOTAL(9,P23:P37)</f>
        <v>59251.94</v>
      </c>
      <c r="Q22" s="185">
        <f t="shared" si="8"/>
        <v>0.26712160758212822</v>
      </c>
      <c r="R22" s="157">
        <f>SUBTOTAL(9,R23:R36)</f>
        <v>48675.039999999994</v>
      </c>
      <c r="S22" s="185">
        <f t="shared" si="9"/>
        <v>0.15823073510282012</v>
      </c>
      <c r="T22" s="157">
        <f>SUBTOTAL(9,T23:T36)</f>
        <v>72228.239999999991</v>
      </c>
      <c r="U22" s="185">
        <f t="shared" si="10"/>
        <v>0.30717693899376025</v>
      </c>
      <c r="V22" s="157">
        <f>SUBTOTAL(9,V23:V36)</f>
        <v>67550.319999999992</v>
      </c>
      <c r="W22" s="185">
        <f t="shared" si="11"/>
        <v>0.28988943399002093</v>
      </c>
      <c r="X22" s="157">
        <f>SUBTOTAL(9,X23:X36)</f>
        <v>75783.81</v>
      </c>
      <c r="Y22" s="185">
        <f t="shared" si="12"/>
        <v>0.32391219933147852</v>
      </c>
      <c r="Z22" s="191">
        <f>(B22+D22+F22+H22+J22+L22+N22+P22+R22+T22+V22+X22)/AE$2</f>
        <v>60476.986253369658</v>
      </c>
      <c r="AA22" s="185">
        <f t="shared" si="13"/>
        <v>0.25852320374218013</v>
      </c>
      <c r="AB22" s="172">
        <f>SUBTOTAL(9,AB23:AB36)</f>
        <v>725339.54</v>
      </c>
      <c r="AC22" s="173">
        <f t="shared" si="18"/>
        <v>0.25838630706022103</v>
      </c>
      <c r="AD22" s="165"/>
      <c r="AE22" s="165"/>
    </row>
    <row r="23" spans="1:31" ht="14.4" x14ac:dyDescent="0.3">
      <c r="A23" s="157" t="s">
        <v>145</v>
      </c>
      <c r="B23" s="157">
        <f>1511.44+2255.17+975.64+2770.06+1500.97+2481.98+2165.27+1478.41+1648.9</f>
        <v>16787.84</v>
      </c>
      <c r="C23" s="185">
        <f t="shared" si="1"/>
        <v>7.3140961071280444E-2</v>
      </c>
      <c r="D23" s="157">
        <f>700+2100.55+1871.34+2524.01+3138.73+2310.09+1960.37+1775.04+1981.79+2182.42</f>
        <v>20544.340000000004</v>
      </c>
      <c r="E23" s="185">
        <f t="shared" si="16"/>
        <v>0.10891733748807081</v>
      </c>
      <c r="F23" s="157">
        <f>2772.29+500+4126.51+4323.82+344.34+3449.8+2787.7+4686.27+2351.99+2490.68+221+1400+2742.14+121.82+355-426.8-2129.97-2009-296.57</f>
        <v>27811.02</v>
      </c>
      <c r="G23" s="500">
        <f t="shared" si="3"/>
        <v>9.9719304576406792E-2</v>
      </c>
      <c r="H23" s="157">
        <f>4724.63+2351.99+2529.04+1400+3209.9+3767.65+2510.43+3449.8+2633.42+3017.69+1656.53+5099.67-844.36-1649.1-3181.58-794.25</f>
        <v>29881.46</v>
      </c>
      <c r="I23" s="185">
        <f t="shared" si="4"/>
        <v>0.15208316527217255</v>
      </c>
      <c r="J23" s="157">
        <f>1400+754.42+2308.02+2331.69+2686.58+4729.61+2508.74+1656.53+3148.3+2305.79+1690.43+2526.03+2416.48</f>
        <v>30462.619999999995</v>
      </c>
      <c r="K23" s="500">
        <f t="shared" si="5"/>
        <v>0.11352305530974258</v>
      </c>
      <c r="L23" s="157">
        <f>1400+2367.84+2981.38+4681.9+2544.89+3534.41+2017.47+2006.58+2562.41+2057.64+6676.49+3384.59+2509.25+130</f>
        <v>38854.850000000006</v>
      </c>
      <c r="M23" s="185">
        <f t="shared" si="17"/>
        <v>0.17764865427481558</v>
      </c>
      <c r="N23" s="157">
        <f>2013.61+2154.53+1029.69+2359.89+2193.44+1400+2666.48+4557.01+3306.36+2080.09+2000</f>
        <v>25761.100000000002</v>
      </c>
      <c r="O23" s="185">
        <f t="shared" si="7"/>
        <v>0.13207288409791948</v>
      </c>
      <c r="P23" s="157">
        <f>2503.41+2358.65+2741.54+3448.08+1792.52+3637.61+1749.61+2600.04+2433.68+1120+239.47</f>
        <v>24624.610000000004</v>
      </c>
      <c r="Q23" s="185">
        <f t="shared" si="8"/>
        <v>0.11101350283691894</v>
      </c>
      <c r="R23" s="157">
        <f>1400+1551.34+4366.02+2491.24+3303.19+971.38+1897.11+2482.82+2184.69+2104.69</f>
        <v>22752.48</v>
      </c>
      <c r="S23" s="185">
        <f t="shared" si="9"/>
        <v>7.3962787412444095E-2</v>
      </c>
      <c r="T23" s="157">
        <f>1400+2104.69+4246.98+2512.64+3128.64+2127.35+1745.29+2543.22+2129.37-2104.69+24762.6</f>
        <v>44596.09</v>
      </c>
      <c r="U23" s="185">
        <f t="shared" si="10"/>
        <v>0.18966114108955504</v>
      </c>
      <c r="V23" s="157">
        <f>1400+4254.21+2512.64+3350.5+2153.41+2491.69+2192.69+5955.95+2721.14</f>
        <v>27032.23</v>
      </c>
      <c r="W23" s="185">
        <f t="shared" si="11"/>
        <v>0.11600770883377109</v>
      </c>
      <c r="X23" s="157">
        <f>1400+4445.76+2890.99+3354.55+2099.35+2373.6+406+6388.28</f>
        <v>23358.53</v>
      </c>
      <c r="Y23" s="185">
        <f t="shared" si="12"/>
        <v>9.9838116155024678E-2</v>
      </c>
      <c r="Z23" s="191">
        <f t="shared" ref="Z23:Z69" si="19">(B23+D23+F23+H23+J23+L23+N23+P23+R23+T23+V23+X23)/AE$2</f>
        <v>27705.597500000003</v>
      </c>
      <c r="AA23" s="185">
        <f t="shared" si="13"/>
        <v>0.11843413951356173</v>
      </c>
      <c r="AB23" s="172">
        <f>L23+N23+P23+R23+T23+V23+X23+J23+H23+F23+D23+B23</f>
        <v>332467.1700000001</v>
      </c>
      <c r="AC23" s="173">
        <f t="shared" si="18"/>
        <v>0.11843413951356177</v>
      </c>
      <c r="AD23" s="165"/>
      <c r="AE23" s="165"/>
    </row>
    <row r="24" spans="1:31" ht="14.4" x14ac:dyDescent="0.3">
      <c r="A24" s="157" t="s">
        <v>199</v>
      </c>
      <c r="B24" s="157">
        <f>542.06+2910+12.71+3933.33+1200</f>
        <v>8598.1</v>
      </c>
      <c r="C24" s="185">
        <f t="shared" si="1"/>
        <v>3.74600483080001E-2</v>
      </c>
      <c r="D24" s="157">
        <f>500+2652+3000</f>
        <v>6152</v>
      </c>
      <c r="E24" s="185">
        <f t="shared" si="16"/>
        <v>3.2615282857790105E-2</v>
      </c>
      <c r="F24" s="157">
        <v>3492</v>
      </c>
      <c r="G24" s="185">
        <f t="shared" si="3"/>
        <v>1.2520929170552267E-2</v>
      </c>
      <c r="H24" s="157">
        <f>F24</f>
        <v>3492</v>
      </c>
      <c r="I24" s="185">
        <f t="shared" si="4"/>
        <v>1.7772706324604842E-2</v>
      </c>
      <c r="J24" s="157">
        <f>3588.38</f>
        <v>3588.38</v>
      </c>
      <c r="K24" s="500">
        <f t="shared" si="5"/>
        <v>1.3372581255728305E-2</v>
      </c>
      <c r="L24" s="157">
        <v>3750</v>
      </c>
      <c r="M24" s="500">
        <f t="shared" si="17"/>
        <v>1.7145413083065775E-2</v>
      </c>
      <c r="N24" s="157">
        <f>L24</f>
        <v>3750</v>
      </c>
      <c r="O24" s="185">
        <f t="shared" si="7"/>
        <v>1.9225627607796173E-2</v>
      </c>
      <c r="P24" s="157">
        <f>N24</f>
        <v>3750</v>
      </c>
      <c r="Q24" s="185">
        <f t="shared" si="8"/>
        <v>1.6905877316978662E-2</v>
      </c>
      <c r="R24" s="157">
        <f>P24</f>
        <v>3750</v>
      </c>
      <c r="S24" s="185">
        <f t="shared" si="9"/>
        <v>1.2190339373846957E-2</v>
      </c>
      <c r="T24" s="157">
        <f>R24</f>
        <v>3750</v>
      </c>
      <c r="U24" s="185">
        <f t="shared" si="10"/>
        <v>1.594824297569207E-2</v>
      </c>
      <c r="V24" s="157">
        <f>T24</f>
        <v>3750</v>
      </c>
      <c r="W24" s="185">
        <f t="shared" si="11"/>
        <v>1.609297154273405E-2</v>
      </c>
      <c r="X24" s="157">
        <f>V24</f>
        <v>3750</v>
      </c>
      <c r="Y24" s="185">
        <f t="shared" si="12"/>
        <v>1.6028103462903811E-2</v>
      </c>
      <c r="Z24" s="191">
        <f t="shared" si="19"/>
        <v>4297.706666666666</v>
      </c>
      <c r="AA24" s="185">
        <f t="shared" si="13"/>
        <v>1.8371565202604426E-2</v>
      </c>
      <c r="AB24" s="172">
        <f>L24+N24+P24+R24+T24+V24+X24+J24+H24+F24+D24+B24</f>
        <v>51572.480000000003</v>
      </c>
      <c r="AC24" s="173">
        <f t="shared" si="18"/>
        <v>1.8371565202604433E-2</v>
      </c>
      <c r="AD24" s="165"/>
      <c r="AE24" s="165"/>
    </row>
    <row r="25" spans="1:31" ht="14.4" x14ac:dyDescent="0.3">
      <c r="A25" s="157" t="s">
        <v>251</v>
      </c>
      <c r="B25" s="157"/>
      <c r="C25" s="185">
        <f t="shared" si="1"/>
        <v>0</v>
      </c>
      <c r="D25" s="157">
        <f>945+1200+1350+1440+1350+1162.5+1200+1200+1245</f>
        <v>11092.5</v>
      </c>
      <c r="E25" s="185">
        <f t="shared" si="16"/>
        <v>5.8807708891423394E-2</v>
      </c>
      <c r="F25" s="157"/>
      <c r="G25" s="185">
        <f t="shared" si="3"/>
        <v>0</v>
      </c>
      <c r="H25" s="157"/>
      <c r="I25" s="500">
        <f t="shared" si="4"/>
        <v>0</v>
      </c>
      <c r="J25" s="157"/>
      <c r="K25" s="500">
        <f t="shared" si="5"/>
        <v>0</v>
      </c>
      <c r="L25" s="157"/>
      <c r="M25" s="500">
        <f t="shared" si="17"/>
        <v>0</v>
      </c>
      <c r="N25" s="157"/>
      <c r="O25" s="185">
        <f t="shared" si="7"/>
        <v>0</v>
      </c>
      <c r="P25" s="157">
        <f>1053+1134+1188+1215+1242+1215+1053+1053</f>
        <v>9153</v>
      </c>
      <c r="Q25" s="185">
        <f t="shared" si="8"/>
        <v>4.1263865355281516E-2</v>
      </c>
      <c r="R25" s="157"/>
      <c r="S25" s="185">
        <f t="shared" si="9"/>
        <v>0</v>
      </c>
      <c r="T25" s="157"/>
      <c r="U25" s="185">
        <f t="shared" si="10"/>
        <v>0</v>
      </c>
      <c r="V25" s="157">
        <v>1410</v>
      </c>
      <c r="W25" s="185">
        <f t="shared" si="11"/>
        <v>6.0509573000680026E-3</v>
      </c>
      <c r="X25" s="157">
        <v>6335</v>
      </c>
      <c r="Y25" s="185">
        <f t="shared" si="12"/>
        <v>2.7076809449998837E-2</v>
      </c>
      <c r="Z25" s="191">
        <f t="shared" si="19"/>
        <v>2332.5416666666665</v>
      </c>
      <c r="AA25" s="185">
        <f t="shared" si="13"/>
        <v>9.9710018948768655E-3</v>
      </c>
      <c r="AB25" s="172">
        <f>L25+N25+P25+R25+T25+V25+X25+J25+H25+F25+D25+B25</f>
        <v>27990.5</v>
      </c>
      <c r="AC25" s="173">
        <f t="shared" si="18"/>
        <v>9.9710018948768672E-3</v>
      </c>
      <c r="AD25" s="165"/>
      <c r="AE25" s="165"/>
    </row>
    <row r="26" spans="1:31" ht="14.4" x14ac:dyDescent="0.3">
      <c r="A26" s="157" t="s">
        <v>183</v>
      </c>
      <c r="B26" s="157"/>
      <c r="C26" s="185">
        <f t="shared" si="1"/>
        <v>0</v>
      </c>
      <c r="D26" s="157"/>
      <c r="E26" s="185">
        <f t="shared" si="16"/>
        <v>0</v>
      </c>
      <c r="F26" s="157"/>
      <c r="G26" s="185">
        <f t="shared" si="3"/>
        <v>0</v>
      </c>
      <c r="H26" s="157"/>
      <c r="I26" s="185">
        <f t="shared" si="4"/>
        <v>0</v>
      </c>
      <c r="J26" s="157">
        <v>4337.3500000000004</v>
      </c>
      <c r="K26" s="185">
        <f>J26/J$2</f>
        <v>1.6163718811701425E-2</v>
      </c>
      <c r="L26" s="157">
        <v>1622.21</v>
      </c>
      <c r="M26" s="185">
        <f t="shared" si="17"/>
        <v>7.4169228153280354E-3</v>
      </c>
      <c r="N26" s="157">
        <f>280+785.04+1565.28+3407.72</f>
        <v>6038.0399999999991</v>
      </c>
      <c r="O26" s="185">
        <f t="shared" si="7"/>
        <v>3.0956028938927356E-2</v>
      </c>
      <c r="P26" s="157">
        <v>966.63</v>
      </c>
      <c r="Q26" s="185">
        <f t="shared" si="8"/>
        <v>4.3577941842429559E-3</v>
      </c>
      <c r="R26" s="157"/>
      <c r="S26" s="185">
        <f t="shared" si="9"/>
        <v>0</v>
      </c>
      <c r="T26" s="157">
        <v>3594.13</v>
      </c>
      <c r="U26" s="185">
        <f t="shared" si="10"/>
        <v>1.5285348940326439E-2</v>
      </c>
      <c r="V26" s="157"/>
      <c r="W26" s="185">
        <f t="shared" si="11"/>
        <v>0</v>
      </c>
      <c r="X26" s="157">
        <f>5265.18+338+288</f>
        <v>5891.18</v>
      </c>
      <c r="Y26" s="185">
        <f t="shared" si="12"/>
        <v>2.5179851348957245E-2</v>
      </c>
      <c r="Z26" s="191">
        <f t="shared" si="19"/>
        <v>1870.7949999999998</v>
      </c>
      <c r="AA26" s="185">
        <f t="shared" si="13"/>
        <v>7.9971563880285798E-3</v>
      </c>
      <c r="AB26" s="172">
        <f>L26+N26+P26+R26+T26+V26+X26+J26+H26+F26+D26+B26</f>
        <v>22449.54</v>
      </c>
      <c r="AC26" s="173">
        <f t="shared" si="18"/>
        <v>7.9971563880285833E-3</v>
      </c>
      <c r="AD26" s="165"/>
      <c r="AE26" s="165"/>
    </row>
    <row r="27" spans="1:31" ht="14.4" x14ac:dyDescent="0.3">
      <c r="A27" s="157" t="s">
        <v>186</v>
      </c>
      <c r="B27" s="157"/>
      <c r="C27" s="185">
        <f t="shared" si="1"/>
        <v>0</v>
      </c>
      <c r="D27" s="157"/>
      <c r="E27" s="185">
        <f t="shared" si="16"/>
        <v>0</v>
      </c>
      <c r="F27" s="157"/>
      <c r="G27" s="185">
        <f t="shared" si="3"/>
        <v>0</v>
      </c>
      <c r="H27" s="157"/>
      <c r="I27" s="185">
        <f t="shared" si="4"/>
        <v>0</v>
      </c>
      <c r="J27" s="157"/>
      <c r="K27" s="185">
        <f>J27/J$2</f>
        <v>0</v>
      </c>
      <c r="L27" s="157"/>
      <c r="M27" s="185">
        <f t="shared" si="17"/>
        <v>0</v>
      </c>
      <c r="N27" s="157"/>
      <c r="O27" s="185">
        <f t="shared" si="7"/>
        <v>0</v>
      </c>
      <c r="P27" s="157"/>
      <c r="Q27" s="185">
        <f t="shared" si="8"/>
        <v>0</v>
      </c>
      <c r="R27" s="157"/>
      <c r="S27" s="185">
        <f t="shared" si="9"/>
        <v>0</v>
      </c>
      <c r="T27" s="157"/>
      <c r="U27" s="185">
        <f t="shared" si="10"/>
        <v>0</v>
      </c>
      <c r="V27" s="157">
        <f>925+950+2150+1072.17+1415+1981.47+3002.83</f>
        <v>11496.47</v>
      </c>
      <c r="W27" s="185">
        <f t="shared" si="11"/>
        <v>4.9336630547172182E-2</v>
      </c>
      <c r="X27" s="157">
        <f>177.3+2043.95+1536.45+1715.63+1714.32+177.3+254.38+950+925+1110.81</f>
        <v>10605.14</v>
      </c>
      <c r="Y27" s="185">
        <f t="shared" si="12"/>
        <v>4.5328074975621253E-2</v>
      </c>
      <c r="Z27" s="191">
        <f t="shared" si="19"/>
        <v>1841.8008333333335</v>
      </c>
      <c r="AA27" s="185">
        <f t="shared" si="13"/>
        <v>7.8732139543712873E-3</v>
      </c>
      <c r="AB27" s="172">
        <f t="shared" ref="AB27" si="20">L27+N27+P27+R27+T27+V27+X27+J27+H27+F27+D27+B27</f>
        <v>22101.61</v>
      </c>
      <c r="AC27" s="173">
        <f t="shared" si="18"/>
        <v>7.873213954371289E-3</v>
      </c>
      <c r="AD27" s="165"/>
      <c r="AE27" s="165"/>
    </row>
    <row r="28" spans="1:31" ht="14.4" x14ac:dyDescent="0.3">
      <c r="A28" s="157" t="s">
        <v>146</v>
      </c>
      <c r="B28" s="157">
        <v>6840</v>
      </c>
      <c r="C28" s="185">
        <f t="shared" si="1"/>
        <v>2.9800389670592415E-2</v>
      </c>
      <c r="D28" s="157">
        <v>9110</v>
      </c>
      <c r="E28" s="185">
        <f t="shared" si="16"/>
        <v>4.8297338562169674E-2</v>
      </c>
      <c r="F28" s="157">
        <v>11090</v>
      </c>
      <c r="G28" s="500">
        <f t="shared" si="3"/>
        <v>3.9764348368105565E-2</v>
      </c>
      <c r="H28" s="157">
        <v>12120</v>
      </c>
      <c r="I28" s="500">
        <f t="shared" si="4"/>
        <v>6.1685338102580381E-2</v>
      </c>
      <c r="J28" s="157">
        <v>8525</v>
      </c>
      <c r="K28" s="500">
        <f>J28/J$2</f>
        <v>3.1769560415865594E-2</v>
      </c>
      <c r="L28" s="157">
        <v>8505</v>
      </c>
      <c r="M28" s="500">
        <f t="shared" si="17"/>
        <v>3.8885796872393179E-2</v>
      </c>
      <c r="N28" s="157">
        <v>9325</v>
      </c>
      <c r="O28" s="500">
        <f t="shared" si="7"/>
        <v>4.7807727318053148E-2</v>
      </c>
      <c r="P28" s="157">
        <v>7200</v>
      </c>
      <c r="Q28" s="185">
        <f t="shared" si="8"/>
        <v>3.2459284448599031E-2</v>
      </c>
      <c r="R28" s="157">
        <v>7560</v>
      </c>
      <c r="S28" s="185">
        <f t="shared" si="9"/>
        <v>2.4575724177675461E-2</v>
      </c>
      <c r="T28" s="157">
        <v>6660</v>
      </c>
      <c r="U28" s="185">
        <f t="shared" si="10"/>
        <v>2.832407952482912E-2</v>
      </c>
      <c r="V28" s="157">
        <v>3435</v>
      </c>
      <c r="W28" s="185">
        <f t="shared" si="11"/>
        <v>1.4741161933144389E-2</v>
      </c>
      <c r="X28" s="157">
        <v>10220</v>
      </c>
      <c r="Y28" s="185">
        <f t="shared" si="12"/>
        <v>4.3681924637567184E-2</v>
      </c>
      <c r="Z28" s="191">
        <f t="shared" si="19"/>
        <v>8382.5</v>
      </c>
      <c r="AA28" s="185">
        <f t="shared" si="13"/>
        <v>3.583298192621296E-2</v>
      </c>
      <c r="AB28" s="172">
        <f t="shared" ref="AB28:AB37" si="21">L28+N28+P28+R28+T28+V28+X28+J28+H28+F28+D28+B28</f>
        <v>100590</v>
      </c>
      <c r="AC28" s="173">
        <f t="shared" si="18"/>
        <v>3.5832981926212974E-2</v>
      </c>
      <c r="AD28" s="165"/>
      <c r="AE28" s="165"/>
    </row>
    <row r="29" spans="1:31" ht="14.4" x14ac:dyDescent="0.3">
      <c r="A29" s="157" t="s">
        <v>147</v>
      </c>
      <c r="B29" s="157">
        <v>357.21</v>
      </c>
      <c r="C29" s="185">
        <f t="shared" si="1"/>
        <v>1.5562861395076485E-3</v>
      </c>
      <c r="D29" s="157"/>
      <c r="E29" s="185">
        <f t="shared" si="16"/>
        <v>0</v>
      </c>
      <c r="F29" s="157"/>
      <c r="G29" s="185">
        <f t="shared" si="3"/>
        <v>0</v>
      </c>
      <c r="H29" s="157"/>
      <c r="I29" s="185">
        <f t="shared" si="4"/>
        <v>0</v>
      </c>
      <c r="J29" s="157"/>
      <c r="K29" s="185">
        <f>J29/J$2</f>
        <v>0</v>
      </c>
      <c r="L29" s="157"/>
      <c r="M29" s="185">
        <f t="shared" si="17"/>
        <v>0</v>
      </c>
      <c r="N29" s="157"/>
      <c r="O29" s="185">
        <f t="shared" si="7"/>
        <v>0</v>
      </c>
      <c r="P29" s="157"/>
      <c r="Q29" s="185">
        <f t="shared" si="8"/>
        <v>0</v>
      </c>
      <c r="R29" s="157"/>
      <c r="S29" s="185">
        <f t="shared" si="9"/>
        <v>0</v>
      </c>
      <c r="T29" s="157"/>
      <c r="U29" s="185">
        <f t="shared" si="10"/>
        <v>0</v>
      </c>
      <c r="V29" s="157"/>
      <c r="W29" s="185">
        <f t="shared" si="11"/>
        <v>0</v>
      </c>
      <c r="X29" s="157"/>
      <c r="Y29" s="185">
        <f t="shared" si="12"/>
        <v>0</v>
      </c>
      <c r="Z29" s="191">
        <f t="shared" si="19"/>
        <v>29.767499999999998</v>
      </c>
      <c r="AA29" s="185">
        <f t="shared" si="13"/>
        <v>1.2724823018056002E-4</v>
      </c>
      <c r="AB29" s="172">
        <f t="shared" si="21"/>
        <v>357.21</v>
      </c>
      <c r="AC29" s="173">
        <f t="shared" si="18"/>
        <v>1.2724823018056005E-4</v>
      </c>
      <c r="AD29" s="165"/>
      <c r="AE29" s="165"/>
    </row>
    <row r="30" spans="1:31" ht="14.4" x14ac:dyDescent="0.3">
      <c r="A30" s="157" t="s">
        <v>143</v>
      </c>
      <c r="B30" s="157">
        <f>3455.77-865.24</f>
        <v>2590.5299999999997</v>
      </c>
      <c r="C30" s="185">
        <f t="shared" si="1"/>
        <v>1.1286374773883006E-2</v>
      </c>
      <c r="D30" s="157">
        <v>213.42</v>
      </c>
      <c r="E30" s="185">
        <f t="shared" si="16"/>
        <v>1.131461909543167E-3</v>
      </c>
      <c r="F30" s="157">
        <v>1248.32</v>
      </c>
      <c r="G30" s="500">
        <f t="shared" si="3"/>
        <v>4.475981186192384E-3</v>
      </c>
      <c r="H30" s="157">
        <v>1934.9</v>
      </c>
      <c r="I30" s="500">
        <f t="shared" si="4"/>
        <v>9.8477690342147518E-3</v>
      </c>
      <c r="J30" s="157">
        <v>2295.7600000000002</v>
      </c>
      <c r="K30" s="500">
        <f>L30/J$2</f>
        <v>7.4509587922901299E-3</v>
      </c>
      <c r="L30" s="157">
        <v>1999.38</v>
      </c>
      <c r="M30" s="500">
        <f t="shared" si="17"/>
        <v>9.1413856026720149E-3</v>
      </c>
      <c r="N30" s="157">
        <v>2492.15</v>
      </c>
      <c r="O30" s="500">
        <f t="shared" si="7"/>
        <v>1.2776839424738461E-2</v>
      </c>
      <c r="P30" s="157">
        <v>1569.33</v>
      </c>
      <c r="Q30" s="185">
        <f t="shared" si="8"/>
        <v>7.0749067866277661E-3</v>
      </c>
      <c r="R30" s="157">
        <v>2248.61</v>
      </c>
      <c r="S30" s="185">
        <f t="shared" si="9"/>
        <v>7.3096850718469344E-3</v>
      </c>
      <c r="T30" s="157">
        <v>1585.97</v>
      </c>
      <c r="U30" s="185">
        <f t="shared" si="10"/>
        <v>6.7449159765755615E-3</v>
      </c>
      <c r="V30" s="157">
        <v>7261.65</v>
      </c>
      <c r="W30" s="185">
        <f t="shared" si="11"/>
        <v>3.116307381421192E-2</v>
      </c>
      <c r="X30" s="157">
        <v>2028.98</v>
      </c>
      <c r="Y30" s="185">
        <f t="shared" si="12"/>
        <v>8.6721870304433523E-3</v>
      </c>
      <c r="Z30" s="191">
        <f t="shared" si="19"/>
        <v>2289.0833333333335</v>
      </c>
      <c r="AA30" s="185">
        <f t="shared" si="13"/>
        <v>9.7852289544800072E-3</v>
      </c>
      <c r="AB30" s="172">
        <f t="shared" si="21"/>
        <v>27469</v>
      </c>
      <c r="AC30" s="173">
        <f t="shared" si="18"/>
        <v>9.7852289544800089E-3</v>
      </c>
      <c r="AD30" s="165"/>
      <c r="AE30" s="165"/>
    </row>
    <row r="31" spans="1:31" ht="14.4" x14ac:dyDescent="0.3">
      <c r="A31" s="157" t="s">
        <v>144</v>
      </c>
      <c r="B31" s="157">
        <f>4032-779.59</f>
        <v>3252.41</v>
      </c>
      <c r="C31" s="185">
        <f t="shared" si="1"/>
        <v>1.4170041720545538E-2</v>
      </c>
      <c r="D31" s="157">
        <v>3292.09</v>
      </c>
      <c r="E31" s="185">
        <f t="shared" si="16"/>
        <v>1.7453258540848865E-2</v>
      </c>
      <c r="F31" s="157">
        <v>3628.28</v>
      </c>
      <c r="G31" s="500">
        <f t="shared" si="3"/>
        <v>1.3009575283771873E-2</v>
      </c>
      <c r="H31" s="157">
        <v>4188.62</v>
      </c>
      <c r="I31" s="500">
        <f t="shared" si="4"/>
        <v>2.1318188191685662E-2</v>
      </c>
      <c r="J31" s="157">
        <v>4063.72</v>
      </c>
      <c r="K31" s="500">
        <f t="shared" ref="K31:K73" si="22">J31/J$2</f>
        <v>1.5143999771631828E-2</v>
      </c>
      <c r="L31" s="157">
        <v>4861.53</v>
      </c>
      <c r="M31" s="500">
        <f t="shared" si="17"/>
        <v>2.2227450684191137E-2</v>
      </c>
      <c r="N31" s="157">
        <v>3568.75</v>
      </c>
      <c r="O31" s="500">
        <f t="shared" si="7"/>
        <v>1.8296388940086023E-2</v>
      </c>
      <c r="P31" s="157">
        <v>3696.71</v>
      </c>
      <c r="Q31" s="185">
        <f t="shared" si="8"/>
        <v>1.6665633529719517E-2</v>
      </c>
      <c r="R31" s="157">
        <v>3951.47</v>
      </c>
      <c r="S31" s="185">
        <f t="shared" si="9"/>
        <v>1.284526942015334E-2</v>
      </c>
      <c r="T31" s="157">
        <v>3363.18</v>
      </c>
      <c r="U31" s="185">
        <f t="shared" si="10"/>
        <v>1.4303149816263482E-2</v>
      </c>
      <c r="V31" s="157">
        <v>4127.4799999999996</v>
      </c>
      <c r="W31" s="185">
        <f t="shared" si="11"/>
        <v>1.7712911515521047E-2</v>
      </c>
      <c r="X31" s="157">
        <f>2839.27+2153.55</f>
        <v>4992.82</v>
      </c>
      <c r="Y31" s="185">
        <f t="shared" si="12"/>
        <v>2.1340116141774772E-2</v>
      </c>
      <c r="Z31" s="191">
        <f t="shared" si="19"/>
        <v>3915.5883333333336</v>
      </c>
      <c r="AA31" s="185">
        <f t="shared" si="13"/>
        <v>1.6738109869230383E-2</v>
      </c>
      <c r="AB31" s="172">
        <f t="shared" si="21"/>
        <v>46987.06</v>
      </c>
      <c r="AC31" s="173">
        <f t="shared" si="18"/>
        <v>1.6738109869230383E-2</v>
      </c>
      <c r="AD31" s="165"/>
      <c r="AE31" s="165"/>
    </row>
    <row r="32" spans="1:31" ht="14.4" x14ac:dyDescent="0.3">
      <c r="A32" s="157" t="s">
        <v>148</v>
      </c>
      <c r="B32" s="157">
        <v>3451.5</v>
      </c>
      <c r="C32" s="185">
        <f t="shared" si="1"/>
        <v>1.5037433471937095E-2</v>
      </c>
      <c r="D32" s="157">
        <v>2721.09</v>
      </c>
      <c r="E32" s="185">
        <f t="shared" si="16"/>
        <v>1.4426059823066332E-2</v>
      </c>
      <c r="F32" s="157">
        <v>2942.72</v>
      </c>
      <c r="G32" s="500">
        <f t="shared" si="3"/>
        <v>1.0551428605030803E-2</v>
      </c>
      <c r="H32" s="157">
        <v>3402.13</v>
      </c>
      <c r="I32" s="500">
        <f t="shared" si="4"/>
        <v>1.7315308524664338E-2</v>
      </c>
      <c r="J32" s="157">
        <v>3343.82</v>
      </c>
      <c r="K32" s="500">
        <f t="shared" si="22"/>
        <v>1.2461195485018147E-2</v>
      </c>
      <c r="L32" s="157">
        <v>3959.41</v>
      </c>
      <c r="M32" s="500">
        <f t="shared" si="17"/>
        <v>1.8102858670725724E-2</v>
      </c>
      <c r="N32" s="157">
        <v>3025.25</v>
      </c>
      <c r="O32" s="500">
        <f t="shared" si="7"/>
        <v>1.5509954645462766E-2</v>
      </c>
      <c r="P32" s="157">
        <v>2961.51</v>
      </c>
      <c r="Q32" s="185">
        <f t="shared" si="8"/>
        <v>1.3351179928801462E-2</v>
      </c>
      <c r="R32" s="157">
        <v>3028.52</v>
      </c>
      <c r="S32" s="185">
        <f t="shared" si="9"/>
        <v>9.8449830934621285E-3</v>
      </c>
      <c r="T32" s="157">
        <v>2678.08</v>
      </c>
      <c r="U32" s="185">
        <f t="shared" si="10"/>
        <v>1.1389512146224379E-2</v>
      </c>
      <c r="V32" s="157">
        <v>3905.41</v>
      </c>
      <c r="W32" s="185">
        <f t="shared" si="11"/>
        <v>1.6759907198055729E-2</v>
      </c>
      <c r="X32" s="157">
        <v>4474.32</v>
      </c>
      <c r="Y32" s="185">
        <f t="shared" si="12"/>
        <v>1.9123963702970606E-2</v>
      </c>
      <c r="Z32" s="191">
        <f t="shared" si="19"/>
        <v>3324.48</v>
      </c>
      <c r="AA32" s="185">
        <f t="shared" si="13"/>
        <v>1.4211277274566832E-2</v>
      </c>
      <c r="AB32" s="172">
        <f t="shared" si="21"/>
        <v>39893.759999999995</v>
      </c>
      <c r="AC32" s="173">
        <f t="shared" si="18"/>
        <v>1.4211277274566834E-2</v>
      </c>
      <c r="AD32" s="165"/>
      <c r="AE32" s="165"/>
    </row>
    <row r="33" spans="1:31" ht="14.4" x14ac:dyDescent="0.3">
      <c r="A33" s="157" t="s">
        <v>184</v>
      </c>
      <c r="B33" s="157">
        <v>1932.56</v>
      </c>
      <c r="C33" s="185">
        <f t="shared" si="1"/>
        <v>8.4197428452924099E-3</v>
      </c>
      <c r="D33" s="157">
        <v>1883.44</v>
      </c>
      <c r="E33" s="185">
        <f t="shared" si="16"/>
        <v>9.98519641509691E-3</v>
      </c>
      <c r="F33" s="157">
        <v>2030.47</v>
      </c>
      <c r="G33" s="185">
        <f t="shared" si="3"/>
        <v>7.28046135536405E-3</v>
      </c>
      <c r="H33" s="157">
        <v>1819.5</v>
      </c>
      <c r="I33" s="185">
        <f t="shared" si="4"/>
        <v>9.2604350394096535E-3</v>
      </c>
      <c r="J33" s="157">
        <v>2352.77</v>
      </c>
      <c r="K33" s="185">
        <f t="shared" si="22"/>
        <v>8.7679142122740299E-3</v>
      </c>
      <c r="L33" s="157">
        <f>1112.47+3212.15</f>
        <v>4324.62</v>
      </c>
      <c r="M33" s="185">
        <f t="shared" si="17"/>
        <v>1.9772639020610109E-2</v>
      </c>
      <c r="N33" s="157">
        <v>1160.33</v>
      </c>
      <c r="O33" s="185">
        <f t="shared" si="7"/>
        <v>5.9488193285744352E-3</v>
      </c>
      <c r="P33" s="157">
        <v>3212.15</v>
      </c>
      <c r="Q33" s="185">
        <f t="shared" si="8"/>
        <v>1.4481123686328803E-2</v>
      </c>
      <c r="R33" s="157">
        <v>3568.96</v>
      </c>
      <c r="S33" s="185">
        <f t="shared" si="9"/>
        <v>1.1601822296449288E-2</v>
      </c>
      <c r="T33" s="157">
        <v>4106.3900000000003</v>
      </c>
      <c r="U33" s="185">
        <f t="shared" si="10"/>
        <v>1.7463921459453913E-2</v>
      </c>
      <c r="V33" s="157">
        <v>3357.18</v>
      </c>
      <c r="W33" s="185">
        <f t="shared" si="11"/>
        <v>1.4407200587689571E-2</v>
      </c>
      <c r="X33" s="157">
        <v>2838.44</v>
      </c>
      <c r="Y33" s="185">
        <f t="shared" si="12"/>
        <v>1.2131949331531918E-2</v>
      </c>
      <c r="Z33" s="191">
        <f t="shared" si="19"/>
        <v>2715.5674999999997</v>
      </c>
      <c r="AA33" s="185">
        <f t="shared" si="13"/>
        <v>1.1608336551972718E-2</v>
      </c>
      <c r="AB33" s="172">
        <f t="shared" si="21"/>
        <v>32586.81</v>
      </c>
      <c r="AC33" s="173">
        <f t="shared" si="18"/>
        <v>1.1608336551972723E-2</v>
      </c>
      <c r="AD33" s="165"/>
      <c r="AE33" s="165"/>
    </row>
    <row r="34" spans="1:31" ht="14.4" x14ac:dyDescent="0.3">
      <c r="A34" s="157" t="s">
        <v>185</v>
      </c>
      <c r="B34" s="157">
        <v>612.02</v>
      </c>
      <c r="C34" s="185">
        <f t="shared" si="1"/>
        <v>2.6664377903795277E-3</v>
      </c>
      <c r="D34" s="157">
        <v>414.6</v>
      </c>
      <c r="E34" s="185">
        <f t="shared" si="16"/>
        <v>2.1980325541026947E-3</v>
      </c>
      <c r="F34" s="157">
        <v>414.6</v>
      </c>
      <c r="G34" s="185">
        <f t="shared" si="3"/>
        <v>1.4865914187030269E-3</v>
      </c>
      <c r="H34" s="157">
        <v>414.6</v>
      </c>
      <c r="I34" s="185">
        <f t="shared" si="4"/>
        <v>2.1101271598456951E-3</v>
      </c>
      <c r="J34" s="157">
        <v>414.6</v>
      </c>
      <c r="K34" s="185">
        <f t="shared" si="22"/>
        <v>1.545062727087141E-3</v>
      </c>
      <c r="L34" s="157">
        <v>290.27999999999997</v>
      </c>
      <c r="M34" s="185">
        <f t="shared" si="17"/>
        <v>1.3271921359339555E-3</v>
      </c>
      <c r="N34" s="157">
        <v>270</v>
      </c>
      <c r="O34" s="185">
        <f t="shared" si="7"/>
        <v>1.3842451877613244E-3</v>
      </c>
      <c r="P34" s="157">
        <v>270</v>
      </c>
      <c r="Q34" s="185">
        <f t="shared" si="8"/>
        <v>1.2172231668224637E-3</v>
      </c>
      <c r="R34" s="157">
        <v>255</v>
      </c>
      <c r="S34" s="185">
        <f t="shared" si="9"/>
        <v>8.2894307742159296E-4</v>
      </c>
      <c r="T34" s="157">
        <v>255</v>
      </c>
      <c r="U34" s="185">
        <f t="shared" si="10"/>
        <v>1.0844805223470609E-3</v>
      </c>
      <c r="V34" s="157">
        <v>255</v>
      </c>
      <c r="W34" s="185">
        <f t="shared" si="11"/>
        <v>1.0943220649059153E-3</v>
      </c>
      <c r="X34" s="157">
        <v>180</v>
      </c>
      <c r="Y34" s="185">
        <f t="shared" si="12"/>
        <v>7.6934896621938293E-4</v>
      </c>
      <c r="Z34" s="191">
        <f t="shared" si="19"/>
        <v>337.14166666666665</v>
      </c>
      <c r="AA34" s="185">
        <f t="shared" si="13"/>
        <v>1.4411919174756912E-3</v>
      </c>
      <c r="AB34" s="172">
        <f t="shared" si="21"/>
        <v>4045.7</v>
      </c>
      <c r="AC34" s="173">
        <f t="shared" si="18"/>
        <v>1.4411919174756914E-3</v>
      </c>
      <c r="AD34" s="165"/>
      <c r="AE34" s="165"/>
    </row>
    <row r="35" spans="1:31" ht="14.4" x14ac:dyDescent="0.3">
      <c r="A35" s="157" t="s">
        <v>252</v>
      </c>
      <c r="B35" s="157"/>
      <c r="C35" s="185">
        <f t="shared" si="1"/>
        <v>0</v>
      </c>
      <c r="D35" s="157"/>
      <c r="E35" s="185">
        <f t="shared" si="16"/>
        <v>0</v>
      </c>
      <c r="F35" s="157">
        <v>1630</v>
      </c>
      <c r="G35" s="185">
        <f t="shared" si="3"/>
        <v>5.8445345211913507E-3</v>
      </c>
      <c r="H35" s="157">
        <v>2010</v>
      </c>
      <c r="I35" s="185">
        <f t="shared" si="4"/>
        <v>1.022999419027942E-2</v>
      </c>
      <c r="J35" s="157">
        <f>2060</f>
        <v>2060</v>
      </c>
      <c r="K35" s="501">
        <f t="shared" si="22"/>
        <v>7.6768673849481675E-3</v>
      </c>
      <c r="L35" s="157">
        <v>1730</v>
      </c>
      <c r="M35" s="185">
        <f t="shared" si="17"/>
        <v>7.9097505689876783E-3</v>
      </c>
      <c r="N35" s="157">
        <v>1500</v>
      </c>
      <c r="O35" s="185">
        <f t="shared" si="7"/>
        <v>7.6902510431184684E-3</v>
      </c>
      <c r="P35" s="157">
        <v>1670</v>
      </c>
      <c r="Q35" s="185">
        <f t="shared" si="8"/>
        <v>7.5287506984944973E-3</v>
      </c>
      <c r="R35" s="157">
        <v>1560</v>
      </c>
      <c r="S35" s="185">
        <f t="shared" si="9"/>
        <v>5.0711811795203336E-3</v>
      </c>
      <c r="T35" s="157">
        <v>1589.4</v>
      </c>
      <c r="U35" s="185">
        <f t="shared" si="10"/>
        <v>6.7595033028173277E-3</v>
      </c>
      <c r="V35" s="157">
        <v>1269.9000000000001</v>
      </c>
      <c r="W35" s="185">
        <f t="shared" si="11"/>
        <v>5.4497238832314585E-3</v>
      </c>
      <c r="X35" s="157">
        <v>1059.4000000000001</v>
      </c>
      <c r="Y35" s="185">
        <f t="shared" si="12"/>
        <v>4.5280460822934125E-3</v>
      </c>
      <c r="Z35" s="191">
        <f t="shared" si="19"/>
        <v>1339.8916666666667</v>
      </c>
      <c r="AA35" s="185">
        <f t="shared" si="13"/>
        <v>5.7276843274381185E-3</v>
      </c>
      <c r="AB35" s="172">
        <f t="shared" si="21"/>
        <v>16078.699999999999</v>
      </c>
      <c r="AC35" s="173">
        <f t="shared" si="18"/>
        <v>5.7276843274381194E-3</v>
      </c>
      <c r="AD35" s="165"/>
      <c r="AE35" s="165"/>
    </row>
    <row r="36" spans="1:31" ht="14.4" x14ac:dyDescent="0.3">
      <c r="A36" s="157" t="s">
        <v>203</v>
      </c>
      <c r="B36" s="157">
        <f>50</f>
        <v>50</v>
      </c>
      <c r="C36" s="185">
        <f t="shared" si="1"/>
        <v>2.1783910577918432E-4</v>
      </c>
      <c r="D36" s="157">
        <v>100</v>
      </c>
      <c r="E36" s="185">
        <f t="shared" si="16"/>
        <v>5.3015739365718634E-4</v>
      </c>
      <c r="F36" s="157"/>
      <c r="G36" s="185">
        <f t="shared" si="3"/>
        <v>0</v>
      </c>
      <c r="H36" s="157">
        <v>50</v>
      </c>
      <c r="I36" s="185">
        <f t="shared" si="4"/>
        <v>2.5447746741988608E-4</v>
      </c>
      <c r="J36" s="157"/>
      <c r="K36" s="185">
        <f t="shared" si="22"/>
        <v>0</v>
      </c>
      <c r="L36" s="157">
        <v>150</v>
      </c>
      <c r="M36" s="185">
        <f t="shared" si="17"/>
        <v>6.8581652332263101E-4</v>
      </c>
      <c r="N36" s="157"/>
      <c r="O36" s="185">
        <f t="shared" si="7"/>
        <v>0</v>
      </c>
      <c r="P36" s="157">
        <v>50</v>
      </c>
      <c r="Q36" s="185">
        <f t="shared" si="8"/>
        <v>2.2541169755971549E-4</v>
      </c>
      <c r="R36" s="157"/>
      <c r="S36" s="185">
        <f t="shared" si="9"/>
        <v>0</v>
      </c>
      <c r="T36" s="157">
        <v>50</v>
      </c>
      <c r="U36" s="185">
        <f t="shared" si="10"/>
        <v>2.1264323967589427E-4</v>
      </c>
      <c r="V36" s="157">
        <v>250</v>
      </c>
      <c r="W36" s="185">
        <f t="shared" si="11"/>
        <v>1.0728647695156031E-3</v>
      </c>
      <c r="X36" s="157">
        <v>50</v>
      </c>
      <c r="Y36" s="185">
        <f t="shared" si="12"/>
        <v>2.1370804617205081E-4</v>
      </c>
      <c r="Z36" s="191">
        <f t="shared" si="19"/>
        <v>62.5</v>
      </c>
      <c r="AA36" s="185">
        <f t="shared" si="13"/>
        <v>2.6717105522079454E-4</v>
      </c>
      <c r="AB36" s="172">
        <f t="shared" si="21"/>
        <v>750</v>
      </c>
      <c r="AC36" s="173">
        <f t="shared" si="18"/>
        <v>2.6717105522079459E-4</v>
      </c>
      <c r="AD36" s="165"/>
      <c r="AE36" s="165"/>
    </row>
    <row r="37" spans="1:31" ht="14.4" x14ac:dyDescent="0.3">
      <c r="A37" s="157" t="s">
        <v>253</v>
      </c>
      <c r="B37" s="157"/>
      <c r="C37" s="185">
        <f t="shared" si="1"/>
        <v>0</v>
      </c>
      <c r="D37" s="157">
        <v>128</v>
      </c>
      <c r="E37" s="185">
        <f t="shared" si="16"/>
        <v>6.7860146388119846E-4</v>
      </c>
      <c r="F37" s="157">
        <v>128</v>
      </c>
      <c r="G37" s="185">
        <f t="shared" si="3"/>
        <v>4.5895731209355387E-4</v>
      </c>
      <c r="H37" s="157">
        <v>128</v>
      </c>
      <c r="I37" s="185">
        <f t="shared" si="4"/>
        <v>6.5146231659490828E-4</v>
      </c>
      <c r="J37" s="157">
        <v>128</v>
      </c>
      <c r="K37" s="185">
        <f t="shared" si="22"/>
        <v>4.7700923556959489E-4</v>
      </c>
      <c r="L37" s="157">
        <v>128</v>
      </c>
      <c r="M37" s="185">
        <f t="shared" si="17"/>
        <v>5.8523009990197846E-4</v>
      </c>
      <c r="N37" s="157">
        <v>128</v>
      </c>
      <c r="O37" s="157">
        <v>128</v>
      </c>
      <c r="P37" s="157">
        <v>128</v>
      </c>
      <c r="Q37" s="185">
        <f t="shared" si="8"/>
        <v>5.7705394575287164E-4</v>
      </c>
      <c r="R37" s="157">
        <v>128</v>
      </c>
      <c r="S37" s="185">
        <f t="shared" si="9"/>
        <v>4.160969172939761E-4</v>
      </c>
      <c r="T37" s="157">
        <v>128</v>
      </c>
      <c r="U37" s="185">
        <f t="shared" si="10"/>
        <v>5.4436669357028932E-4</v>
      </c>
      <c r="V37" s="157">
        <v>133.77000000000001</v>
      </c>
      <c r="W37" s="185">
        <f t="shared" si="11"/>
        <v>5.7406848087240901E-4</v>
      </c>
      <c r="X37" s="157">
        <v>133.77000000000001</v>
      </c>
      <c r="Y37" s="185"/>
      <c r="Z37" s="191">
        <f t="shared" si="19"/>
        <v>118.295</v>
      </c>
      <c r="AA37" s="185"/>
      <c r="AB37" s="172">
        <f t="shared" si="21"/>
        <v>1419.54</v>
      </c>
      <c r="AC37" s="173">
        <f t="shared" si="18"/>
        <v>5.0567999963750231E-4</v>
      </c>
      <c r="AD37" s="165"/>
      <c r="AE37" s="165"/>
    </row>
    <row r="38" spans="1:31" ht="14.4" x14ac:dyDescent="0.3">
      <c r="A38" s="157" t="s">
        <v>125</v>
      </c>
      <c r="B38" s="157">
        <f>SUBTOTAL(9,B39:B42)</f>
        <v>8741.9</v>
      </c>
      <c r="C38" s="185">
        <f t="shared" si="1"/>
        <v>3.8086553576221031E-2</v>
      </c>
      <c r="D38" s="157">
        <f>SUBTOTAL(9,D39:D42)</f>
        <v>9162.17</v>
      </c>
      <c r="E38" s="185">
        <f t="shared" si="16"/>
        <v>4.8573921674440627E-2</v>
      </c>
      <c r="F38" s="157">
        <f>SUBTOTAL(9,F39:F42)</f>
        <v>9162.17</v>
      </c>
      <c r="G38" s="185">
        <f t="shared" si="3"/>
        <v>3.2851913407376539E-2</v>
      </c>
      <c r="H38" s="157">
        <f>SUBTOTAL(9,H39:H42)</f>
        <v>9162.17</v>
      </c>
      <c r="I38" s="185">
        <f t="shared" si="4"/>
        <v>4.6631316353409148E-2</v>
      </c>
      <c r="J38" s="157">
        <f>SUBTOTAL(9,J39:J42)</f>
        <v>9177.77</v>
      </c>
      <c r="K38" s="185">
        <f t="shared" si="22"/>
        <v>3.4202195718230945E-2</v>
      </c>
      <c r="L38" s="157">
        <f>SUBTOTAL(9,L39:L42)</f>
        <v>9177.77</v>
      </c>
      <c r="M38" s="185">
        <f t="shared" si="17"/>
        <v>4.1961775421698294E-2</v>
      </c>
      <c r="N38" s="157">
        <f>SUBTOTAL(9,N39:N42)</f>
        <v>9177.77</v>
      </c>
      <c r="O38" s="185">
        <f t="shared" si="7"/>
        <v>4.7052903544000928E-2</v>
      </c>
      <c r="P38" s="157">
        <f>SUBTOTAL(9,P39:P42)</f>
        <v>9177.77</v>
      </c>
      <c r="Q38" s="185">
        <f t="shared" si="8"/>
        <v>4.1375534310252607E-2</v>
      </c>
      <c r="R38" s="157">
        <f>SUBTOTAL(9,R39:R42)</f>
        <v>9162.17</v>
      </c>
      <c r="S38" s="185">
        <f t="shared" si="9"/>
        <v>2.9783989786901163E-2</v>
      </c>
      <c r="T38" s="157">
        <f>SUBTOTAL(9,T39:T42)</f>
        <v>9177.77</v>
      </c>
      <c r="U38" s="185">
        <f t="shared" si="10"/>
        <v>3.9031814916004645E-2</v>
      </c>
      <c r="V38" s="157">
        <f>SUBTOTAL(9,V39:V42)</f>
        <v>9177.77</v>
      </c>
      <c r="W38" s="185">
        <f t="shared" si="11"/>
        <v>3.9386024382868874E-2</v>
      </c>
      <c r="X38" s="157">
        <f>SUBTOTAL(9,X39:X42)</f>
        <v>9553.32</v>
      </c>
      <c r="Y38" s="185">
        <f t="shared" si="12"/>
        <v>4.0832427033127526E-2</v>
      </c>
      <c r="Z38" s="191">
        <f t="shared" si="19"/>
        <v>9167.5433333333349</v>
      </c>
      <c r="AA38" s="185">
        <f t="shared" si="13"/>
        <v>3.9188835618384439E-2</v>
      </c>
      <c r="AB38" s="172">
        <f>SUBTOTAL(9,AB39:AB42)</f>
        <v>110010.51999999999</v>
      </c>
      <c r="AC38" s="173">
        <f t="shared" si="18"/>
        <v>3.9188835618384432E-2</v>
      </c>
      <c r="AD38" s="165"/>
      <c r="AE38" s="165"/>
    </row>
    <row r="39" spans="1:31" ht="14.4" x14ac:dyDescent="0.3">
      <c r="A39" s="175" t="s">
        <v>145</v>
      </c>
      <c r="B39" s="157">
        <v>5442.39</v>
      </c>
      <c r="C39" s="185">
        <f t="shared" si="1"/>
        <v>2.3711307418031503E-2</v>
      </c>
      <c r="D39" s="157">
        <v>5713.57</v>
      </c>
      <c r="E39" s="185">
        <f t="shared" si="16"/>
        <v>3.0290913796778899E-2</v>
      </c>
      <c r="F39" s="157">
        <v>5713.57</v>
      </c>
      <c r="G39" s="185">
        <f t="shared" si="3"/>
        <v>2.048659945045599E-2</v>
      </c>
      <c r="H39" s="157">
        <v>5713.57</v>
      </c>
      <c r="I39" s="185">
        <f t="shared" si="4"/>
        <v>2.9079496470524765E-2</v>
      </c>
      <c r="J39" s="157">
        <v>5729.17</v>
      </c>
      <c r="K39" s="185">
        <f t="shared" si="22"/>
        <v>2.135052345428325E-2</v>
      </c>
      <c r="L39" s="157">
        <v>5729.17</v>
      </c>
      <c r="M39" s="185">
        <f t="shared" si="17"/>
        <v>2.6194396339495454E-2</v>
      </c>
      <c r="N39" s="157">
        <v>5729.17</v>
      </c>
      <c r="O39" s="500">
        <f t="shared" si="7"/>
        <v>2.9372503712468693E-2</v>
      </c>
      <c r="P39" s="157">
        <v>5729.17</v>
      </c>
      <c r="Q39" s="185">
        <f t="shared" si="8"/>
        <v>2.5828438706163904E-2</v>
      </c>
      <c r="R39" s="157">
        <v>5729.17</v>
      </c>
      <c r="S39" s="185">
        <f t="shared" si="9"/>
        <v>1.8624140434790069E-2</v>
      </c>
      <c r="T39" s="157">
        <v>5729.17</v>
      </c>
      <c r="U39" s="185">
        <f t="shared" si="10"/>
        <v>2.4365385389078866E-2</v>
      </c>
      <c r="V39" s="157">
        <v>5729.17</v>
      </c>
      <c r="W39" s="185">
        <f t="shared" si="11"/>
        <v>2.4586498606262833E-2</v>
      </c>
      <c r="X39" s="157">
        <v>5729.17</v>
      </c>
      <c r="Y39" s="185">
        <f t="shared" si="12"/>
        <v>2.4487394537750565E-2</v>
      </c>
      <c r="Z39" s="191">
        <f t="shared" si="19"/>
        <v>5701.371666666666</v>
      </c>
      <c r="AA39" s="185">
        <f t="shared" si="13"/>
        <v>2.4371863750228373E-2</v>
      </c>
      <c r="AB39" s="172">
        <f>L39+N39+P39+R39+T39+V39+X39+J39+H39+F39+D39+B39</f>
        <v>68416.459999999992</v>
      </c>
      <c r="AC39" s="173">
        <f t="shared" si="18"/>
        <v>2.4371863750228377E-2</v>
      </c>
      <c r="AD39" s="165"/>
      <c r="AE39" s="165"/>
    </row>
    <row r="40" spans="1:31" ht="14.4" x14ac:dyDescent="0.3">
      <c r="A40" s="165" t="s">
        <v>158</v>
      </c>
      <c r="B40" s="157">
        <v>779.59</v>
      </c>
      <c r="C40" s="185">
        <f t="shared" si="1"/>
        <v>3.3965037694878865E-3</v>
      </c>
      <c r="D40" s="157">
        <v>825.82</v>
      </c>
      <c r="E40" s="185">
        <f t="shared" si="16"/>
        <v>4.3781457882997761E-3</v>
      </c>
      <c r="F40" s="157">
        <v>825.82</v>
      </c>
      <c r="G40" s="500">
        <f t="shared" si="3"/>
        <v>2.9610634958835837E-3</v>
      </c>
      <c r="H40" s="157">
        <v>825.82</v>
      </c>
      <c r="I40" s="185">
        <f t="shared" si="4"/>
        <v>4.2030516428938061E-3</v>
      </c>
      <c r="J40" s="157">
        <v>825.82</v>
      </c>
      <c r="K40" s="185">
        <f t="shared" si="22"/>
        <v>3.0775294290475222E-3</v>
      </c>
      <c r="L40" s="157">
        <v>825.82</v>
      </c>
      <c r="M40" s="185">
        <f t="shared" si="17"/>
        <v>3.7757400086019682E-3</v>
      </c>
      <c r="N40" s="157">
        <v>825.82</v>
      </c>
      <c r="O40" s="500">
        <f t="shared" si="7"/>
        <v>4.2338420776187298E-3</v>
      </c>
      <c r="P40" s="157">
        <v>825.82</v>
      </c>
      <c r="Q40" s="185">
        <f t="shared" si="8"/>
        <v>3.7229897615752854E-3</v>
      </c>
      <c r="R40" s="157">
        <v>825.82</v>
      </c>
      <c r="S40" s="185">
        <f t="shared" si="9"/>
        <v>2.6845402831227449E-3</v>
      </c>
      <c r="T40" s="157">
        <v>825.82</v>
      </c>
      <c r="U40" s="185">
        <f t="shared" si="10"/>
        <v>3.5121008037829406E-3</v>
      </c>
      <c r="V40" s="157">
        <v>825.82</v>
      </c>
      <c r="W40" s="185">
        <f t="shared" si="11"/>
        <v>3.543972735845502E-3</v>
      </c>
      <c r="X40" s="157">
        <v>825.82</v>
      </c>
      <c r="Y40" s="185">
        <f t="shared" si="12"/>
        <v>3.5296875737960602E-3</v>
      </c>
      <c r="Z40" s="191">
        <f t="shared" si="19"/>
        <v>821.96749999999986</v>
      </c>
      <c r="AA40" s="185">
        <f t="shared" si="13"/>
        <v>3.5136947893151744E-3</v>
      </c>
      <c r="AB40" s="172">
        <f>L40+N40+P40+R40+T40+V40+X40+J40+H40+F40+D40+B40</f>
        <v>9863.6099999999988</v>
      </c>
      <c r="AC40" s="173">
        <f t="shared" si="18"/>
        <v>3.5136947893151752E-3</v>
      </c>
      <c r="AD40" s="165"/>
      <c r="AE40" s="165"/>
    </row>
    <row r="41" spans="1:31" ht="14.4" x14ac:dyDescent="0.3">
      <c r="A41" s="165" t="s">
        <v>159</v>
      </c>
      <c r="B41" s="157">
        <v>865.24</v>
      </c>
      <c r="C41" s="185">
        <f t="shared" si="1"/>
        <v>3.769662157687629E-3</v>
      </c>
      <c r="D41" s="157">
        <v>968.1</v>
      </c>
      <c r="E41" s="185">
        <f t="shared" si="16"/>
        <v>5.1324537279952209E-3</v>
      </c>
      <c r="F41" s="157">
        <v>968.1</v>
      </c>
      <c r="G41" s="500">
        <f t="shared" si="3"/>
        <v>3.4712232331075743E-3</v>
      </c>
      <c r="H41" s="157">
        <v>968.1</v>
      </c>
      <c r="I41" s="185">
        <f t="shared" si="4"/>
        <v>4.9271927241838339E-3</v>
      </c>
      <c r="J41" s="157">
        <v>968.1</v>
      </c>
      <c r="K41" s="185">
        <f t="shared" si="22"/>
        <v>3.6077550074603499E-3</v>
      </c>
      <c r="L41" s="157">
        <v>968.1</v>
      </c>
      <c r="M41" s="185">
        <f t="shared" si="17"/>
        <v>4.426259841524261E-3</v>
      </c>
      <c r="N41" s="157">
        <v>968.1</v>
      </c>
      <c r="O41" s="500">
        <f t="shared" si="7"/>
        <v>4.96328802322866E-3</v>
      </c>
      <c r="P41" s="157">
        <v>968.1</v>
      </c>
      <c r="Q41" s="500">
        <f t="shared" si="8"/>
        <v>4.3644212881512115E-3</v>
      </c>
      <c r="R41" s="157">
        <v>952.5</v>
      </c>
      <c r="S41" s="185">
        <f t="shared" si="9"/>
        <v>3.0963462009571266E-3</v>
      </c>
      <c r="T41" s="157">
        <v>968.1</v>
      </c>
      <c r="U41" s="185">
        <f t="shared" si="10"/>
        <v>4.1171984066046656E-3</v>
      </c>
      <c r="V41" s="157">
        <v>968.1</v>
      </c>
      <c r="W41" s="185">
        <f t="shared" si="11"/>
        <v>4.1545615334722223E-3</v>
      </c>
      <c r="X41" s="157">
        <v>968.1</v>
      </c>
      <c r="Y41" s="185">
        <f t="shared" si="12"/>
        <v>4.1378151899832474E-3</v>
      </c>
      <c r="Z41" s="191">
        <f t="shared" si="19"/>
        <v>958.22833333333358</v>
      </c>
      <c r="AA41" s="185">
        <f t="shared" si="13"/>
        <v>4.0961739993460797E-3</v>
      </c>
      <c r="AB41" s="172">
        <f>L41+N41+P41+R41+T41+V41+X41+J41+H41+F41+D41+B41</f>
        <v>11498.740000000002</v>
      </c>
      <c r="AC41" s="173">
        <f t="shared" si="18"/>
        <v>4.0961739993460797E-3</v>
      </c>
      <c r="AD41" s="165"/>
      <c r="AE41" s="165"/>
    </row>
    <row r="42" spans="1:31" ht="14.4" x14ac:dyDescent="0.3">
      <c r="A42" s="157" t="s">
        <v>182</v>
      </c>
      <c r="B42" s="176">
        <v>1654.68</v>
      </c>
      <c r="C42" s="185">
        <f t="shared" si="1"/>
        <v>7.2090802310140149E-3</v>
      </c>
      <c r="D42" s="176">
        <v>1654.68</v>
      </c>
      <c r="E42" s="185">
        <f t="shared" si="16"/>
        <v>8.7724083613667306E-3</v>
      </c>
      <c r="F42" s="157">
        <v>1654.68</v>
      </c>
      <c r="G42" s="157">
        <v>1654.68</v>
      </c>
      <c r="H42" s="157">
        <v>1654.68</v>
      </c>
      <c r="I42" s="185">
        <f t="shared" si="4"/>
        <v>8.4215755158067417E-3</v>
      </c>
      <c r="J42" s="157">
        <v>1654.68</v>
      </c>
      <c r="K42" s="185">
        <f t="shared" si="22"/>
        <v>6.1663878274398221E-3</v>
      </c>
      <c r="L42" s="157">
        <v>1654.68</v>
      </c>
      <c r="M42" s="185">
        <f t="shared" si="17"/>
        <v>7.5653792320766076E-3</v>
      </c>
      <c r="N42" s="157">
        <v>1654.68</v>
      </c>
      <c r="O42" s="500">
        <f t="shared" si="7"/>
        <v>8.4832697306848458E-3</v>
      </c>
      <c r="P42" s="157">
        <v>1654.68</v>
      </c>
      <c r="Q42" s="500">
        <f t="shared" si="8"/>
        <v>7.4596845543622014E-3</v>
      </c>
      <c r="R42" s="157">
        <v>1654.68</v>
      </c>
      <c r="S42" s="185">
        <f t="shared" si="9"/>
        <v>5.3789628680312217E-3</v>
      </c>
      <c r="T42" s="157">
        <v>1654.68</v>
      </c>
      <c r="U42" s="185">
        <f t="shared" si="10"/>
        <v>7.037130316538175E-3</v>
      </c>
      <c r="V42" s="157">
        <v>1654.68</v>
      </c>
      <c r="W42" s="185">
        <f t="shared" si="11"/>
        <v>7.1009915072883139E-3</v>
      </c>
      <c r="X42" s="157">
        <v>2030.23</v>
      </c>
      <c r="Y42" s="185">
        <f t="shared" si="12"/>
        <v>8.6775297315976538E-3</v>
      </c>
      <c r="Z42" s="191">
        <f t="shared" si="19"/>
        <v>1685.9758333333332</v>
      </c>
      <c r="AA42" s="185">
        <f t="shared" si="13"/>
        <v>7.2071030794948008E-3</v>
      </c>
      <c r="AB42" s="172">
        <f>L42+N42+P42+R42+T42+V42+X42+J42+H42+F42+D42+B42</f>
        <v>20231.71</v>
      </c>
      <c r="AC42" s="173">
        <f t="shared" si="18"/>
        <v>7.2071030794948025E-3</v>
      </c>
      <c r="AD42" s="165"/>
      <c r="AE42" s="165"/>
    </row>
    <row r="43" spans="1:31" ht="14.4" x14ac:dyDescent="0.3">
      <c r="A43" s="157" t="s">
        <v>137</v>
      </c>
      <c r="B43" s="157"/>
      <c r="C43" s="185">
        <f t="shared" si="1"/>
        <v>0</v>
      </c>
      <c r="D43" s="157"/>
      <c r="E43" s="185">
        <f t="shared" si="16"/>
        <v>0</v>
      </c>
      <c r="F43" s="157"/>
      <c r="G43" s="185">
        <f t="shared" si="3"/>
        <v>0</v>
      </c>
      <c r="H43" s="157"/>
      <c r="I43" s="185">
        <f t="shared" si="4"/>
        <v>0</v>
      </c>
      <c r="J43" s="226"/>
      <c r="K43" s="185">
        <f t="shared" si="22"/>
        <v>0</v>
      </c>
      <c r="L43" s="157"/>
      <c r="M43" s="185">
        <f t="shared" si="17"/>
        <v>0</v>
      </c>
      <c r="N43" s="157"/>
      <c r="O43" s="500">
        <f t="shared" si="7"/>
        <v>0</v>
      </c>
      <c r="P43" s="157"/>
      <c r="Q43" s="500">
        <f t="shared" si="8"/>
        <v>0</v>
      </c>
      <c r="R43" s="157"/>
      <c r="S43" s="185">
        <f t="shared" si="9"/>
        <v>0</v>
      </c>
      <c r="T43" s="157"/>
      <c r="U43" s="185">
        <f t="shared" si="10"/>
        <v>0</v>
      </c>
      <c r="V43" s="157"/>
      <c r="W43" s="185">
        <f t="shared" si="11"/>
        <v>0</v>
      </c>
      <c r="X43" s="157"/>
      <c r="Y43" s="185">
        <f t="shared" si="12"/>
        <v>0</v>
      </c>
      <c r="Z43" s="191">
        <f t="shared" si="19"/>
        <v>0</v>
      </c>
      <c r="AA43" s="185">
        <f t="shared" si="13"/>
        <v>0</v>
      </c>
      <c r="AB43" s="172">
        <f t="shared" ref="AB43" si="23">L43+N43+P43+R43+T43+V43+X43+J43+H43+F43+D43+B43</f>
        <v>0</v>
      </c>
      <c r="AC43" s="173">
        <f t="shared" si="18"/>
        <v>0</v>
      </c>
      <c r="AD43" s="165"/>
      <c r="AE43" s="165"/>
    </row>
    <row r="44" spans="1:31" ht="14.4" x14ac:dyDescent="0.3">
      <c r="A44" s="157" t="s">
        <v>135</v>
      </c>
      <c r="B44" s="157">
        <v>25000</v>
      </c>
      <c r="C44" s="185">
        <f t="shared" si="1"/>
        <v>0.10891955288959217</v>
      </c>
      <c r="D44" s="157">
        <v>25000</v>
      </c>
      <c r="E44" s="185">
        <f t="shared" si="16"/>
        <v>0.13253934841429657</v>
      </c>
      <c r="F44" s="157">
        <v>25000</v>
      </c>
      <c r="G44" s="185">
        <f t="shared" si="3"/>
        <v>8.9640100018272245E-2</v>
      </c>
      <c r="H44" s="157">
        <v>25000</v>
      </c>
      <c r="I44" s="185">
        <f t="shared" si="4"/>
        <v>0.12723873370994301</v>
      </c>
      <c r="J44" s="157">
        <v>25000</v>
      </c>
      <c r="K44" s="185">
        <f t="shared" si="22"/>
        <v>9.31658663221865E-2</v>
      </c>
      <c r="L44" s="157">
        <v>25000</v>
      </c>
      <c r="M44" s="185">
        <f t="shared" si="17"/>
        <v>0.11430275388710517</v>
      </c>
      <c r="N44" s="157">
        <v>25000</v>
      </c>
      <c r="O44" s="500">
        <f t="shared" si="7"/>
        <v>0.12817085071864115</v>
      </c>
      <c r="P44" s="157">
        <v>25000</v>
      </c>
      <c r="Q44" s="500">
        <f t="shared" si="8"/>
        <v>0.11270584877985775</v>
      </c>
      <c r="R44" s="157">
        <v>25000</v>
      </c>
      <c r="S44" s="185">
        <f t="shared" si="9"/>
        <v>8.1268929158979708E-2</v>
      </c>
      <c r="T44" s="157">
        <v>25000</v>
      </c>
      <c r="U44" s="185">
        <f t="shared" si="10"/>
        <v>0.10632161983794713</v>
      </c>
      <c r="V44" s="157">
        <v>25000</v>
      </c>
      <c r="W44" s="185">
        <f t="shared" si="11"/>
        <v>0.10728647695156032</v>
      </c>
      <c r="X44" s="157">
        <v>25000</v>
      </c>
      <c r="Y44" s="185">
        <f t="shared" si="12"/>
        <v>0.1068540230860254</v>
      </c>
      <c r="Z44" s="191">
        <f t="shared" si="19"/>
        <v>25000</v>
      </c>
      <c r="AA44" s="185">
        <f t="shared" si="13"/>
        <v>0.10686842208831782</v>
      </c>
      <c r="AB44" s="172">
        <f t="shared" ref="AB44:AB62" si="24">L44+N44+P44+R44+T44+V44+X44+J44+H44+F44+D44+B44</f>
        <v>300000</v>
      </c>
      <c r="AC44" s="173">
        <f t="shared" si="18"/>
        <v>0.10686842208831784</v>
      </c>
      <c r="AD44" s="165"/>
      <c r="AE44" s="165"/>
    </row>
    <row r="45" spans="1:31" ht="14.4" x14ac:dyDescent="0.3">
      <c r="A45" s="157" t="s">
        <v>21</v>
      </c>
      <c r="B45" s="157">
        <v>96.96</v>
      </c>
      <c r="C45" s="185">
        <f t="shared" si="1"/>
        <v>4.2243359392699423E-4</v>
      </c>
      <c r="D45" s="157">
        <v>341.23</v>
      </c>
      <c r="E45" s="185">
        <f t="shared" si="16"/>
        <v>1.809056074376417E-3</v>
      </c>
      <c r="F45" s="157">
        <v>341.23</v>
      </c>
      <c r="G45" s="185">
        <f t="shared" si="3"/>
        <v>1.2235156531694015E-3</v>
      </c>
      <c r="H45" s="157">
        <v>350.05</v>
      </c>
      <c r="I45" s="185">
        <f t="shared" si="4"/>
        <v>1.7815967494066224E-3</v>
      </c>
      <c r="J45" s="157">
        <v>354.45</v>
      </c>
      <c r="K45" s="185">
        <f t="shared" si="22"/>
        <v>1.3209056527159601E-3</v>
      </c>
      <c r="L45" s="157">
        <v>257.49</v>
      </c>
      <c r="M45" s="185">
        <f t="shared" si="17"/>
        <v>1.1772726439356286E-3</v>
      </c>
      <c r="N45" s="157">
        <v>244.27</v>
      </c>
      <c r="O45" s="500">
        <f t="shared" si="7"/>
        <v>1.2523317482016989E-3</v>
      </c>
      <c r="P45" s="157">
        <f>244.27+571.61</f>
        <v>815.88</v>
      </c>
      <c r="Q45" s="500">
        <f t="shared" si="8"/>
        <v>3.6781779161004138E-3</v>
      </c>
      <c r="R45" s="157">
        <f>571.51+242.32</f>
        <v>813.82999999999993</v>
      </c>
      <c r="S45" s="185">
        <f t="shared" si="9"/>
        <v>2.6455637046980981E-3</v>
      </c>
      <c r="T45" s="157">
        <f>242.32+571.51</f>
        <v>813.82999999999993</v>
      </c>
      <c r="U45" s="185">
        <f t="shared" si="10"/>
        <v>3.4611089549086605E-3</v>
      </c>
      <c r="V45" s="157">
        <f>571.51+242.32</f>
        <v>813.82999999999993</v>
      </c>
      <c r="W45" s="185">
        <f t="shared" si="11"/>
        <v>3.492518141499533E-3</v>
      </c>
      <c r="X45" s="157">
        <f>571.51+232.89</f>
        <v>804.4</v>
      </c>
      <c r="Y45" s="185">
        <f t="shared" si="12"/>
        <v>3.4381350468159532E-3</v>
      </c>
      <c r="Z45" s="191">
        <f t="shared" si="19"/>
        <v>503.95416666666659</v>
      </c>
      <c r="AA45" s="185">
        <f t="shared" si="13"/>
        <v>2.1542714638599918E-3</v>
      </c>
      <c r="AB45" s="172">
        <f t="shared" si="24"/>
        <v>6047.45</v>
      </c>
      <c r="AC45" s="173">
        <f t="shared" si="18"/>
        <v>2.1542714638599922E-3</v>
      </c>
      <c r="AD45" s="165"/>
      <c r="AE45" s="165"/>
    </row>
    <row r="46" spans="1:31" ht="14.4" x14ac:dyDescent="0.3">
      <c r="A46" s="157" t="s">
        <v>140</v>
      </c>
      <c r="B46" s="157">
        <v>300</v>
      </c>
      <c r="C46" s="185">
        <f t="shared" si="1"/>
        <v>1.307034634675106E-3</v>
      </c>
      <c r="D46" s="157">
        <v>300</v>
      </c>
      <c r="E46" s="185">
        <f t="shared" si="16"/>
        <v>1.590472180971559E-3</v>
      </c>
      <c r="F46" s="157">
        <v>300</v>
      </c>
      <c r="G46" s="185">
        <f t="shared" si="3"/>
        <v>1.0756812002192669E-3</v>
      </c>
      <c r="H46" s="157">
        <v>300</v>
      </c>
      <c r="I46" s="185">
        <f t="shared" si="4"/>
        <v>1.5268648045193164E-3</v>
      </c>
      <c r="J46" s="157">
        <v>300</v>
      </c>
      <c r="K46" s="185">
        <f t="shared" si="22"/>
        <v>1.1179903958662379E-3</v>
      </c>
      <c r="L46" s="157">
        <v>300</v>
      </c>
      <c r="M46" s="185">
        <f t="shared" si="17"/>
        <v>1.371633046645262E-3</v>
      </c>
      <c r="N46" s="157">
        <f>300</f>
        <v>300</v>
      </c>
      <c r="O46" s="500">
        <f t="shared" si="7"/>
        <v>1.5380502086236938E-3</v>
      </c>
      <c r="P46" s="157">
        <f>300</f>
        <v>300</v>
      </c>
      <c r="Q46" s="500">
        <f t="shared" si="8"/>
        <v>1.3524701853582929E-3</v>
      </c>
      <c r="R46" s="157">
        <v>300</v>
      </c>
      <c r="S46" s="185">
        <f t="shared" si="9"/>
        <v>9.7522714990775652E-4</v>
      </c>
      <c r="T46" s="157">
        <f>300</f>
        <v>300</v>
      </c>
      <c r="U46" s="185">
        <f t="shared" si="10"/>
        <v>1.2758594380553657E-3</v>
      </c>
      <c r="V46" s="157">
        <v>300</v>
      </c>
      <c r="W46" s="185">
        <f t="shared" si="11"/>
        <v>1.2874377234187238E-3</v>
      </c>
      <c r="X46" s="157">
        <v>300</v>
      </c>
      <c r="Y46" s="185">
        <f t="shared" si="12"/>
        <v>1.2822482770323048E-3</v>
      </c>
      <c r="Z46" s="191">
        <f t="shared" si="19"/>
        <v>300</v>
      </c>
      <c r="AA46" s="185">
        <f t="shared" si="13"/>
        <v>1.2824210650598138E-3</v>
      </c>
      <c r="AB46" s="172">
        <f t="shared" si="24"/>
        <v>3600</v>
      </c>
      <c r="AC46" s="173">
        <f t="shared" si="18"/>
        <v>1.282421065059814E-3</v>
      </c>
      <c r="AD46" s="165"/>
      <c r="AE46" s="165"/>
    </row>
    <row r="47" spans="1:31" ht="14.4" x14ac:dyDescent="0.3">
      <c r="A47" s="157" t="s">
        <v>22</v>
      </c>
      <c r="B47" s="157">
        <v>1645.97</v>
      </c>
      <c r="C47" s="185">
        <f t="shared" si="1"/>
        <v>7.171132658787281E-3</v>
      </c>
      <c r="D47" s="157">
        <v>1645.97</v>
      </c>
      <c r="E47" s="185">
        <f t="shared" si="16"/>
        <v>8.7262316523791898E-3</v>
      </c>
      <c r="F47" s="157">
        <v>1722.09</v>
      </c>
      <c r="G47" s="185">
        <f t="shared" si="3"/>
        <v>6.1747327936186574E-3</v>
      </c>
      <c r="H47" s="157">
        <f>526.5+500+378+560.97+275</f>
        <v>2240.4700000000003</v>
      </c>
      <c r="I47" s="185">
        <f t="shared" si="4"/>
        <v>1.1402982628604643E-2</v>
      </c>
      <c r="J47" s="157">
        <f>550.8+457.31+615.12+560.97+275</f>
        <v>2459.1999999999998</v>
      </c>
      <c r="K47" s="185">
        <f t="shared" si="22"/>
        <v>9.1645399383808411E-3</v>
      </c>
      <c r="L47" s="157">
        <v>2791.53</v>
      </c>
      <c r="M47" s="185">
        <f t="shared" si="17"/>
        <v>1.2763182662338829E-2</v>
      </c>
      <c r="N47" s="157">
        <v>2747.09</v>
      </c>
      <c r="O47" s="500">
        <f t="shared" si="7"/>
        <v>1.4083874492026877E-2</v>
      </c>
      <c r="P47" s="157">
        <v>2693.09</v>
      </c>
      <c r="Q47" s="500">
        <f t="shared" si="8"/>
        <v>1.2141079771621885E-2</v>
      </c>
      <c r="R47" s="157">
        <f>756+615.12+275+216+560.97</f>
        <v>2423.09</v>
      </c>
      <c r="S47" s="185">
        <f t="shared" si="9"/>
        <v>7.8768771822332866E-3</v>
      </c>
      <c r="T47" s="157">
        <v>2768.74</v>
      </c>
      <c r="U47" s="185">
        <f t="shared" si="10"/>
        <v>1.177507686840471E-2</v>
      </c>
      <c r="V47" s="157">
        <f>275+162+560.97+671.4</f>
        <v>1669.37</v>
      </c>
      <c r="W47" s="185">
        <f t="shared" si="11"/>
        <v>7.1640330411450494E-3</v>
      </c>
      <c r="X47" s="157">
        <v>1657.97</v>
      </c>
      <c r="Y47" s="185">
        <f t="shared" si="12"/>
        <v>7.0864305862375016E-3</v>
      </c>
      <c r="Z47" s="191">
        <f t="shared" si="19"/>
        <v>2205.3816666666671</v>
      </c>
      <c r="AA47" s="185">
        <f t="shared" si="13"/>
        <v>9.4274263527668479E-3</v>
      </c>
      <c r="AB47" s="172">
        <f t="shared" si="24"/>
        <v>26464.580000000005</v>
      </c>
      <c r="AC47" s="173">
        <f t="shared" si="18"/>
        <v>9.4274263527668496E-3</v>
      </c>
      <c r="AD47" s="165"/>
      <c r="AE47" s="165"/>
    </row>
    <row r="48" spans="1:31" ht="14.4" x14ac:dyDescent="0.3">
      <c r="A48" s="157" t="s">
        <v>23</v>
      </c>
      <c r="B48" s="157">
        <v>527.02</v>
      </c>
      <c r="C48" s="185">
        <f t="shared" si="1"/>
        <v>2.2961113105549142E-3</v>
      </c>
      <c r="D48" s="157">
        <v>565.29999999999995</v>
      </c>
      <c r="E48" s="185">
        <f t="shared" si="16"/>
        <v>2.9969797463440741E-3</v>
      </c>
      <c r="F48" s="157">
        <v>452.08</v>
      </c>
      <c r="G48" s="185">
        <f t="shared" si="3"/>
        <v>1.6209798566504206E-3</v>
      </c>
      <c r="H48" s="157">
        <v>581.75</v>
      </c>
      <c r="I48" s="185">
        <f t="shared" si="4"/>
        <v>2.9608453334303742E-3</v>
      </c>
      <c r="J48" s="157">
        <v>606.88</v>
      </c>
      <c r="K48" s="185">
        <f t="shared" si="22"/>
        <v>2.2616200381443416E-3</v>
      </c>
      <c r="L48" s="157">
        <v>607.91999999999996</v>
      </c>
      <c r="M48" s="185">
        <f t="shared" si="17"/>
        <v>2.7794772057219588E-3</v>
      </c>
      <c r="N48" s="157">
        <v>571.46</v>
      </c>
      <c r="O48" s="500">
        <f t="shared" si="7"/>
        <v>2.929780574066987E-3</v>
      </c>
      <c r="P48" s="157">
        <f>311.46+222.6</f>
        <v>534.05999999999995</v>
      </c>
      <c r="Q48" s="500">
        <f t="shared" si="8"/>
        <v>2.4076674239748327E-3</v>
      </c>
      <c r="R48" s="157">
        <v>529.16</v>
      </c>
      <c r="S48" s="185">
        <f t="shared" si="9"/>
        <v>1.720170662150628E-3</v>
      </c>
      <c r="T48" s="157">
        <v>401.85</v>
      </c>
      <c r="U48" s="185">
        <f t="shared" si="10"/>
        <v>1.7090137172751623E-3</v>
      </c>
      <c r="V48" s="157">
        <v>401.64</v>
      </c>
      <c r="W48" s="185">
        <f t="shared" si="11"/>
        <v>1.7236216241129875E-3</v>
      </c>
      <c r="X48" s="157">
        <v>409.64</v>
      </c>
      <c r="Y48" s="185">
        <f t="shared" si="12"/>
        <v>1.7508672806783778E-3</v>
      </c>
      <c r="Z48" s="191">
        <f t="shared" si="19"/>
        <v>515.73</v>
      </c>
      <c r="AA48" s="185">
        <f t="shared" si="13"/>
        <v>2.2046100529443261E-3</v>
      </c>
      <c r="AB48" s="172">
        <f t="shared" si="24"/>
        <v>6188.76</v>
      </c>
      <c r="AC48" s="173">
        <f t="shared" si="18"/>
        <v>2.2046100529443265E-3</v>
      </c>
      <c r="AD48" s="165"/>
      <c r="AE48" s="165"/>
    </row>
    <row r="49" spans="1:31" ht="14.4" x14ac:dyDescent="0.3">
      <c r="A49" s="157" t="s">
        <v>127</v>
      </c>
      <c r="B49" s="157">
        <f>197.03+374.49</f>
        <v>571.52</v>
      </c>
      <c r="C49" s="185">
        <f t="shared" si="1"/>
        <v>2.4899881146983886E-3</v>
      </c>
      <c r="D49" s="157">
        <f>251.65+374.49</f>
        <v>626.14</v>
      </c>
      <c r="E49" s="185">
        <f t="shared" si="16"/>
        <v>3.3195275046451062E-3</v>
      </c>
      <c r="F49" s="157">
        <f>396.21+374.49</f>
        <v>770.7</v>
      </c>
      <c r="G49" s="185">
        <f t="shared" si="3"/>
        <v>2.763425003363297E-3</v>
      </c>
      <c r="H49" s="157">
        <f>107.09+374.49</f>
        <v>481.58000000000004</v>
      </c>
      <c r="I49" s="185">
        <f t="shared" si="4"/>
        <v>2.4510251752013746E-3</v>
      </c>
      <c r="J49" s="157">
        <f>272.96+374.49</f>
        <v>647.45000000000005</v>
      </c>
      <c r="K49" s="185">
        <f t="shared" si="22"/>
        <v>2.412809606011986E-3</v>
      </c>
      <c r="L49" s="157">
        <v>633.4</v>
      </c>
      <c r="M49" s="185">
        <f t="shared" si="17"/>
        <v>2.8959745724836967E-3</v>
      </c>
      <c r="N49" s="157">
        <f>106.96+526.06</f>
        <v>633.02</v>
      </c>
      <c r="O49" s="500">
        <f t="shared" si="7"/>
        <v>3.2453884768765687E-3</v>
      </c>
      <c r="P49" s="157">
        <f>151.82+374.49+107.09</f>
        <v>633.4</v>
      </c>
      <c r="Q49" s="500">
        <f t="shared" si="8"/>
        <v>2.8555153846864757E-3</v>
      </c>
      <c r="R49" s="157">
        <f>106.81+526.31</f>
        <v>633.11999999999989</v>
      </c>
      <c r="S49" s="185">
        <f t="shared" si="9"/>
        <v>2.0581193771653291E-3</v>
      </c>
      <c r="T49" s="157">
        <f>525.67+107.09</f>
        <v>632.76</v>
      </c>
      <c r="U49" s="185">
        <f t="shared" si="10"/>
        <v>2.6910427267463773E-3</v>
      </c>
      <c r="V49" s="157">
        <f>7.14+526.31</f>
        <v>533.44999999999993</v>
      </c>
      <c r="W49" s="185">
        <f t="shared" si="11"/>
        <v>2.289278845192394E-3</v>
      </c>
      <c r="X49" s="157">
        <v>526.30999999999995</v>
      </c>
      <c r="Y49" s="185">
        <f t="shared" si="12"/>
        <v>2.2495336356162408E-3</v>
      </c>
      <c r="Z49" s="191">
        <f t="shared" si="19"/>
        <v>610.23750000000007</v>
      </c>
      <c r="AA49" s="185">
        <f t="shared" si="13"/>
        <v>2.6086047489647939E-3</v>
      </c>
      <c r="AB49" s="172">
        <f t="shared" si="24"/>
        <v>7322.8499999999985</v>
      </c>
      <c r="AC49" s="173">
        <f t="shared" si="18"/>
        <v>2.6086047489647939E-3</v>
      </c>
      <c r="AD49" s="165"/>
      <c r="AE49" s="165"/>
    </row>
    <row r="50" spans="1:31" ht="14.4" x14ac:dyDescent="0.3">
      <c r="A50" s="157" t="s">
        <v>156</v>
      </c>
      <c r="B50" s="157">
        <v>34.090000000000003</v>
      </c>
      <c r="C50" s="185">
        <f t="shared" si="1"/>
        <v>1.4852270232024788E-4</v>
      </c>
      <c r="D50" s="157"/>
      <c r="E50" s="185">
        <f t="shared" si="16"/>
        <v>0</v>
      </c>
      <c r="F50" s="157">
        <v>197.58</v>
      </c>
      <c r="G50" s="185">
        <f t="shared" si="3"/>
        <v>7.0844363846440928E-4</v>
      </c>
      <c r="H50" s="157">
        <v>228.32</v>
      </c>
      <c r="I50" s="185">
        <f t="shared" si="4"/>
        <v>1.1620459072261677E-3</v>
      </c>
      <c r="J50" s="157">
        <v>272.05</v>
      </c>
      <c r="K50" s="185">
        <f t="shared" si="22"/>
        <v>1.0138309573180335E-3</v>
      </c>
      <c r="L50" s="157">
        <v>310.16000000000003</v>
      </c>
      <c r="M50" s="185">
        <f t="shared" si="17"/>
        <v>1.4180856858249818E-3</v>
      </c>
      <c r="N50" s="157">
        <v>754.22</v>
      </c>
      <c r="O50" s="500">
        <f t="shared" si="7"/>
        <v>3.8667607611605412E-3</v>
      </c>
      <c r="P50" s="157">
        <v>63.33</v>
      </c>
      <c r="Q50" s="185">
        <f t="shared" si="8"/>
        <v>2.8550645612913564E-4</v>
      </c>
      <c r="R50" s="157">
        <v>38.67</v>
      </c>
      <c r="S50" s="185">
        <f t="shared" si="9"/>
        <v>1.2570677962310981E-4</v>
      </c>
      <c r="T50" s="157">
        <v>278.79000000000002</v>
      </c>
      <c r="U50" s="185">
        <f t="shared" si="10"/>
        <v>1.1856561757848515E-3</v>
      </c>
      <c r="V50" s="157">
        <v>46.98</v>
      </c>
      <c r="W50" s="185">
        <f t="shared" si="11"/>
        <v>2.0161274748737215E-4</v>
      </c>
      <c r="X50" s="157">
        <v>551.57000000000005</v>
      </c>
      <c r="Y50" s="185">
        <f t="shared" si="12"/>
        <v>2.3574989405423614E-3</v>
      </c>
      <c r="Z50" s="191">
        <f t="shared" si="19"/>
        <v>231.31333333333336</v>
      </c>
      <c r="AA50" s="185">
        <f t="shared" si="13"/>
        <v>9.8880363765289697E-4</v>
      </c>
      <c r="AB50" s="172">
        <f t="shared" si="24"/>
        <v>2775.7600000000007</v>
      </c>
      <c r="AC50" s="173">
        <f t="shared" si="18"/>
        <v>9.888036376528974E-4</v>
      </c>
      <c r="AD50" s="165"/>
      <c r="AE50" s="165"/>
    </row>
    <row r="51" spans="1:31" ht="14.4" x14ac:dyDescent="0.3">
      <c r="A51" s="157" t="s">
        <v>157</v>
      </c>
      <c r="B51" s="157"/>
      <c r="C51" s="185">
        <f t="shared" si="1"/>
        <v>0</v>
      </c>
      <c r="D51" s="157">
        <v>416.8</v>
      </c>
      <c r="E51" s="185">
        <f t="shared" si="16"/>
        <v>2.2096960167631526E-3</v>
      </c>
      <c r="F51" s="157">
        <v>426.9</v>
      </c>
      <c r="G51" s="185">
        <f t="shared" si="3"/>
        <v>1.5306943479120167E-3</v>
      </c>
      <c r="H51" s="157"/>
      <c r="I51" s="185">
        <f t="shared" si="4"/>
        <v>0</v>
      </c>
      <c r="J51" s="157"/>
      <c r="K51" s="185">
        <f t="shared" si="22"/>
        <v>0</v>
      </c>
      <c r="L51" s="157"/>
      <c r="M51" s="185">
        <f t="shared" si="17"/>
        <v>0</v>
      </c>
      <c r="N51" s="157"/>
      <c r="O51" s="500">
        <f t="shared" si="7"/>
        <v>0</v>
      </c>
      <c r="P51" s="157">
        <v>296.5</v>
      </c>
      <c r="Q51" s="185">
        <f t="shared" si="8"/>
        <v>1.3366913665291129E-3</v>
      </c>
      <c r="R51" s="157">
        <v>347.65</v>
      </c>
      <c r="S51" s="185">
        <f t="shared" si="9"/>
        <v>1.1301257288847718E-3</v>
      </c>
      <c r="T51" s="157">
        <v>131.69999999999999</v>
      </c>
      <c r="U51" s="185">
        <f t="shared" si="10"/>
        <v>5.601022933063055E-4</v>
      </c>
      <c r="V51" s="157"/>
      <c r="W51" s="185">
        <f t="shared" si="11"/>
        <v>0</v>
      </c>
      <c r="X51" s="157"/>
      <c r="Y51" s="185">
        <f t="shared" si="12"/>
        <v>0</v>
      </c>
      <c r="Z51" s="191">
        <f t="shared" si="19"/>
        <v>134.96250000000001</v>
      </c>
      <c r="AA51" s="185">
        <f t="shared" si="13"/>
        <v>5.769291766437837E-4</v>
      </c>
      <c r="AB51" s="172">
        <f t="shared" si="24"/>
        <v>1619.55</v>
      </c>
      <c r="AC51" s="173">
        <f t="shared" si="18"/>
        <v>5.7692917664378381E-4</v>
      </c>
      <c r="AD51" s="165"/>
      <c r="AE51" s="165"/>
    </row>
    <row r="52" spans="1:31" ht="14.4" x14ac:dyDescent="0.3">
      <c r="A52" s="157" t="s">
        <v>254</v>
      </c>
      <c r="B52" s="157">
        <f>1000</f>
        <v>1000</v>
      </c>
      <c r="C52" s="185">
        <f t="shared" si="1"/>
        <v>4.3567821155836867E-3</v>
      </c>
      <c r="D52" s="157">
        <v>800</v>
      </c>
      <c r="E52" s="185">
        <f t="shared" si="16"/>
        <v>4.2412591492574907E-3</v>
      </c>
      <c r="F52" s="157">
        <v>800</v>
      </c>
      <c r="G52" s="185">
        <f t="shared" si="3"/>
        <v>2.8684832005847118E-3</v>
      </c>
      <c r="H52" s="157">
        <v>800</v>
      </c>
      <c r="I52" s="185">
        <f t="shared" si="4"/>
        <v>4.0716394787181772E-3</v>
      </c>
      <c r="J52" s="157">
        <v>980</v>
      </c>
      <c r="K52" s="185">
        <f t="shared" si="22"/>
        <v>3.6521019598297105E-3</v>
      </c>
      <c r="L52" s="157">
        <v>820</v>
      </c>
      <c r="M52" s="185">
        <f t="shared" si="17"/>
        <v>3.7491303274970497E-3</v>
      </c>
      <c r="N52" s="157">
        <v>1000</v>
      </c>
      <c r="O52" s="185">
        <f t="shared" si="7"/>
        <v>5.1268340287456459E-3</v>
      </c>
      <c r="P52" s="157">
        <v>800</v>
      </c>
      <c r="Q52" s="185">
        <f t="shared" si="8"/>
        <v>3.6065871609554478E-3</v>
      </c>
      <c r="R52" s="157">
        <v>600</v>
      </c>
      <c r="S52" s="185">
        <f t="shared" si="9"/>
        <v>1.950454299815513E-3</v>
      </c>
      <c r="T52" s="157">
        <v>850</v>
      </c>
      <c r="U52" s="185">
        <f t="shared" si="10"/>
        <v>3.6149350744902027E-3</v>
      </c>
      <c r="V52" s="157">
        <v>600</v>
      </c>
      <c r="W52" s="185">
        <f t="shared" si="11"/>
        <v>2.5748754468374476E-3</v>
      </c>
      <c r="X52" s="157">
        <v>450</v>
      </c>
      <c r="Y52" s="185">
        <f t="shared" si="12"/>
        <v>1.9233724155484572E-3</v>
      </c>
      <c r="Z52" s="191">
        <f t="shared" si="19"/>
        <v>791.66666666666663</v>
      </c>
      <c r="AA52" s="185">
        <f t="shared" si="13"/>
        <v>3.3841666994633974E-3</v>
      </c>
      <c r="AB52" s="172">
        <f t="shared" si="24"/>
        <v>9500</v>
      </c>
      <c r="AC52" s="173">
        <f t="shared" si="18"/>
        <v>3.3841666994633983E-3</v>
      </c>
      <c r="AD52" s="165"/>
      <c r="AE52" s="165"/>
    </row>
    <row r="53" spans="1:31" ht="14.4" x14ac:dyDescent="0.3">
      <c r="A53" s="157" t="s">
        <v>163</v>
      </c>
      <c r="B53" s="157"/>
      <c r="C53" s="185">
        <f t="shared" si="1"/>
        <v>0</v>
      </c>
      <c r="D53" s="157"/>
      <c r="E53" s="185">
        <f t="shared" si="16"/>
        <v>0</v>
      </c>
      <c r="F53" s="157">
        <v>162</v>
      </c>
      <c r="G53" s="185">
        <f t="shared" si="3"/>
        <v>5.8086784811840417E-4</v>
      </c>
      <c r="H53" s="157"/>
      <c r="I53" s="185">
        <f t="shared" si="4"/>
        <v>0</v>
      </c>
      <c r="J53" s="157">
        <v>138.38999999999999</v>
      </c>
      <c r="K53" s="185">
        <f t="shared" si="22"/>
        <v>5.1572896961309556E-4</v>
      </c>
      <c r="L53" s="157">
        <v>243.86</v>
      </c>
      <c r="M53" s="185">
        <f t="shared" si="17"/>
        <v>1.1149547825163788E-3</v>
      </c>
      <c r="N53" s="157">
        <v>579.20000000000005</v>
      </c>
      <c r="O53" s="185">
        <f t="shared" si="7"/>
        <v>2.9694622694494783E-3</v>
      </c>
      <c r="P53" s="157">
        <v>379</v>
      </c>
      <c r="Q53" s="185">
        <f t="shared" si="8"/>
        <v>1.7086206675026435E-3</v>
      </c>
      <c r="R53" s="157"/>
      <c r="S53" s="185">
        <f t="shared" si="9"/>
        <v>0</v>
      </c>
      <c r="T53" s="157"/>
      <c r="U53" s="185">
        <f t="shared" si="10"/>
        <v>0</v>
      </c>
      <c r="V53" s="157">
        <v>222.44</v>
      </c>
      <c r="W53" s="185">
        <f t="shared" si="11"/>
        <v>9.5459215732420313E-4</v>
      </c>
      <c r="X53" s="157"/>
      <c r="Y53" s="185">
        <f t="shared" si="12"/>
        <v>0</v>
      </c>
      <c r="Z53" s="191">
        <f t="shared" si="19"/>
        <v>143.74083333333334</v>
      </c>
      <c r="AA53" s="185">
        <f t="shared" si="13"/>
        <v>6.1445424191972845E-4</v>
      </c>
      <c r="AB53" s="172">
        <f t="shared" si="24"/>
        <v>1724.8899999999999</v>
      </c>
      <c r="AC53" s="173">
        <f t="shared" si="18"/>
        <v>6.1445424191972845E-4</v>
      </c>
      <c r="AD53" s="165"/>
      <c r="AE53" s="165"/>
    </row>
    <row r="54" spans="1:31" ht="14.4" x14ac:dyDescent="0.3">
      <c r="A54" s="157" t="s">
        <v>152</v>
      </c>
      <c r="B54" s="157">
        <v>76.599999999999994</v>
      </c>
      <c r="C54" s="185">
        <f t="shared" si="1"/>
        <v>3.3372951005371037E-4</v>
      </c>
      <c r="D54" s="157"/>
      <c r="E54" s="185">
        <f t="shared" si="16"/>
        <v>0</v>
      </c>
      <c r="F54" s="157">
        <v>45.5</v>
      </c>
      <c r="G54" s="185">
        <f t="shared" si="3"/>
        <v>1.6314498203325549E-4</v>
      </c>
      <c r="H54" s="157"/>
      <c r="I54" s="185">
        <f t="shared" si="4"/>
        <v>0</v>
      </c>
      <c r="J54" s="157"/>
      <c r="K54" s="185">
        <f t="shared" si="22"/>
        <v>0</v>
      </c>
      <c r="L54" s="157"/>
      <c r="M54" s="185">
        <f t="shared" si="17"/>
        <v>0</v>
      </c>
      <c r="N54" s="157"/>
      <c r="O54" s="185">
        <f t="shared" si="7"/>
        <v>0</v>
      </c>
      <c r="P54" s="157"/>
      <c r="Q54" s="185">
        <f t="shared" si="8"/>
        <v>0</v>
      </c>
      <c r="R54" s="157">
        <v>142.59</v>
      </c>
      <c r="S54" s="185">
        <f t="shared" si="9"/>
        <v>4.6352546435115665E-4</v>
      </c>
      <c r="T54" s="157">
        <v>83.34</v>
      </c>
      <c r="U54" s="185">
        <f t="shared" si="10"/>
        <v>3.5443375189178058E-4</v>
      </c>
      <c r="V54" s="157">
        <v>403.26</v>
      </c>
      <c r="W54" s="185">
        <f t="shared" si="11"/>
        <v>1.7305737878194486E-3</v>
      </c>
      <c r="X54" s="157">
        <v>72.489999999999995</v>
      </c>
      <c r="Y54" s="185">
        <f t="shared" si="12"/>
        <v>3.0983392534023925E-4</v>
      </c>
      <c r="Z54" s="191">
        <f t="shared" si="19"/>
        <v>68.648333333333326</v>
      </c>
      <c r="AA54" s="185">
        <f t="shared" si="13"/>
        <v>2.9345356249304812E-4</v>
      </c>
      <c r="AB54" s="172">
        <f t="shared" si="24"/>
        <v>823.78000000000009</v>
      </c>
      <c r="AC54" s="173">
        <f t="shared" si="18"/>
        <v>2.9345356249304823E-4</v>
      </c>
      <c r="AD54" s="165"/>
      <c r="AE54" s="165"/>
    </row>
    <row r="55" spans="1:31" ht="14.4" x14ac:dyDescent="0.3">
      <c r="A55" s="157" t="s">
        <v>17</v>
      </c>
      <c r="B55" s="157">
        <v>235.27</v>
      </c>
      <c r="C55" s="185">
        <f t="shared" si="1"/>
        <v>1.0250201283333741E-3</v>
      </c>
      <c r="D55" s="157">
        <v>199.52</v>
      </c>
      <c r="E55" s="185">
        <f t="shared" si="16"/>
        <v>1.0577700318248181E-3</v>
      </c>
      <c r="F55" s="157">
        <v>389.9</v>
      </c>
      <c r="G55" s="185">
        <f t="shared" si="3"/>
        <v>1.3980269998849738E-3</v>
      </c>
      <c r="H55" s="157">
        <v>548.64</v>
      </c>
      <c r="I55" s="185">
        <f t="shared" si="4"/>
        <v>2.7923303545049258E-3</v>
      </c>
      <c r="J55" s="157">
        <v>607.51</v>
      </c>
      <c r="K55" s="185">
        <f t="shared" si="22"/>
        <v>2.2639678179756607E-3</v>
      </c>
      <c r="L55" s="157">
        <v>646.75</v>
      </c>
      <c r="M55" s="185">
        <f t="shared" si="17"/>
        <v>2.9570122430594109E-3</v>
      </c>
      <c r="N55" s="157">
        <v>291.89</v>
      </c>
      <c r="O55" s="185">
        <f t="shared" si="7"/>
        <v>1.4964715846505665E-3</v>
      </c>
      <c r="P55" s="157">
        <v>606.24</v>
      </c>
      <c r="Q55" s="185">
        <f t="shared" si="8"/>
        <v>2.7330717505720387E-3</v>
      </c>
      <c r="R55" s="157">
        <v>735.87</v>
      </c>
      <c r="S55" s="185">
        <f t="shared" si="9"/>
        <v>2.3921346760087357E-3</v>
      </c>
      <c r="T55" s="157">
        <v>291.26</v>
      </c>
      <c r="U55" s="185">
        <f t="shared" si="10"/>
        <v>1.2386893997600194E-3</v>
      </c>
      <c r="V55" s="157">
        <v>281.92</v>
      </c>
      <c r="W55" s="185">
        <f t="shared" si="11"/>
        <v>1.2098481432873554E-3</v>
      </c>
      <c r="X55" s="157"/>
      <c r="Y55" s="185">
        <f t="shared" si="12"/>
        <v>0</v>
      </c>
      <c r="Z55" s="191">
        <f t="shared" si="19"/>
        <v>402.89750000000004</v>
      </c>
      <c r="AA55" s="185">
        <f t="shared" si="13"/>
        <v>1.7222808035331212E-3</v>
      </c>
      <c r="AB55" s="172">
        <f t="shared" si="24"/>
        <v>4834.7700000000013</v>
      </c>
      <c r="AC55" s="173">
        <f t="shared" si="18"/>
        <v>1.7222808035331218E-3</v>
      </c>
      <c r="AD55" s="165"/>
      <c r="AE55" s="165"/>
    </row>
    <row r="56" spans="1:31" ht="14.4" x14ac:dyDescent="0.3">
      <c r="A56" s="157" t="s">
        <v>153</v>
      </c>
      <c r="B56" s="157">
        <v>20</v>
      </c>
      <c r="C56" s="185">
        <f t="shared" si="1"/>
        <v>8.7135642311673736E-5</v>
      </c>
      <c r="D56" s="157"/>
      <c r="E56" s="185">
        <f t="shared" si="16"/>
        <v>0</v>
      </c>
      <c r="F56" s="157"/>
      <c r="G56" s="185">
        <f t="shared" si="3"/>
        <v>0</v>
      </c>
      <c r="H56" s="157"/>
      <c r="I56" s="185">
        <f t="shared" si="4"/>
        <v>0</v>
      </c>
      <c r="J56" s="157"/>
      <c r="K56" s="185">
        <f t="shared" si="22"/>
        <v>0</v>
      </c>
      <c r="L56" s="157"/>
      <c r="M56" s="185">
        <f t="shared" si="17"/>
        <v>0</v>
      </c>
      <c r="N56" s="157"/>
      <c r="O56" s="185">
        <f t="shared" si="7"/>
        <v>0</v>
      </c>
      <c r="P56" s="157">
        <v>15</v>
      </c>
      <c r="Q56" s="185">
        <f t="shared" si="8"/>
        <v>6.7623509267914649E-5</v>
      </c>
      <c r="R56" s="157">
        <v>32</v>
      </c>
      <c r="S56" s="185">
        <f t="shared" si="9"/>
        <v>1.0402422932349402E-4</v>
      </c>
      <c r="T56" s="157">
        <v>25</v>
      </c>
      <c r="U56" s="185">
        <f t="shared" si="10"/>
        <v>1.0632161983794714E-4</v>
      </c>
      <c r="V56" s="157"/>
      <c r="W56" s="185">
        <f t="shared" si="11"/>
        <v>0</v>
      </c>
      <c r="X56" s="157"/>
      <c r="Y56" s="185">
        <f t="shared" si="12"/>
        <v>0</v>
      </c>
      <c r="Z56" s="191">
        <f t="shared" si="19"/>
        <v>7.666666666666667</v>
      </c>
      <c r="AA56" s="185">
        <f t="shared" si="13"/>
        <v>3.2772982773750798E-5</v>
      </c>
      <c r="AB56" s="172">
        <f t="shared" si="24"/>
        <v>92</v>
      </c>
      <c r="AC56" s="173">
        <f t="shared" si="18"/>
        <v>3.2772982773750804E-5</v>
      </c>
      <c r="AD56" s="165"/>
      <c r="AE56" s="165"/>
    </row>
    <row r="57" spans="1:31" ht="14.4" x14ac:dyDescent="0.3">
      <c r="A57" s="157" t="s">
        <v>154</v>
      </c>
      <c r="B57" s="176"/>
      <c r="C57" s="185">
        <f t="shared" si="1"/>
        <v>0</v>
      </c>
      <c r="D57" s="176"/>
      <c r="E57" s="185">
        <f t="shared" si="16"/>
        <v>0</v>
      </c>
      <c r="F57" s="176"/>
      <c r="G57" s="185">
        <f t="shared" si="3"/>
        <v>0</v>
      </c>
      <c r="H57" s="176"/>
      <c r="I57" s="185">
        <f t="shared" si="4"/>
        <v>0</v>
      </c>
      <c r="J57" s="176"/>
      <c r="K57" s="185">
        <f t="shared" si="22"/>
        <v>0</v>
      </c>
      <c r="L57" s="176"/>
      <c r="M57" s="185">
        <f t="shared" si="17"/>
        <v>0</v>
      </c>
      <c r="N57" s="176"/>
      <c r="O57" s="185">
        <f t="shared" si="7"/>
        <v>0</v>
      </c>
      <c r="P57" s="157"/>
      <c r="Q57" s="185">
        <f t="shared" si="8"/>
        <v>0</v>
      </c>
      <c r="R57" s="157">
        <v>397.01</v>
      </c>
      <c r="S57" s="185">
        <f t="shared" si="9"/>
        <v>1.2905831026162613E-3</v>
      </c>
      <c r="T57" s="176"/>
      <c r="U57" s="185">
        <f t="shared" si="10"/>
        <v>0</v>
      </c>
      <c r="V57" s="176"/>
      <c r="W57" s="185">
        <f t="shared" si="11"/>
        <v>0</v>
      </c>
      <c r="X57" s="157"/>
      <c r="Y57" s="185">
        <f t="shared" si="12"/>
        <v>0</v>
      </c>
      <c r="Z57" s="191">
        <f t="shared" si="19"/>
        <v>33.084166666666668</v>
      </c>
      <c r="AA57" s="185">
        <f t="shared" si="13"/>
        <v>1.4142610751094353E-4</v>
      </c>
      <c r="AB57" s="172">
        <f t="shared" si="24"/>
        <v>397.01</v>
      </c>
      <c r="AC57" s="173">
        <f t="shared" si="18"/>
        <v>1.4142610751094356E-4</v>
      </c>
      <c r="AD57" s="165"/>
      <c r="AE57" s="165"/>
    </row>
    <row r="58" spans="1:31" ht="14.4" x14ac:dyDescent="0.3">
      <c r="A58" s="165" t="s">
        <v>155</v>
      </c>
      <c r="B58" s="176">
        <v>76.66</v>
      </c>
      <c r="C58" s="185">
        <f t="shared" si="1"/>
        <v>3.3399091698064538E-4</v>
      </c>
      <c r="D58" s="176"/>
      <c r="E58" s="185">
        <f t="shared" si="16"/>
        <v>0</v>
      </c>
      <c r="F58" s="176">
        <v>24</v>
      </c>
      <c r="G58" s="185">
        <f t="shared" si="3"/>
        <v>8.6054496017541358E-5</v>
      </c>
      <c r="H58" s="176"/>
      <c r="I58" s="185">
        <f t="shared" si="4"/>
        <v>0</v>
      </c>
      <c r="J58" s="176">
        <f>24</f>
        <v>24</v>
      </c>
      <c r="K58" s="185">
        <f t="shared" si="22"/>
        <v>8.9439231669299042E-5</v>
      </c>
      <c r="L58" s="176"/>
      <c r="M58" s="185">
        <f t="shared" si="17"/>
        <v>0</v>
      </c>
      <c r="N58" s="176">
        <v>14.18</v>
      </c>
      <c r="O58" s="185">
        <f t="shared" si="7"/>
        <v>7.2698506527613257E-5</v>
      </c>
      <c r="P58" s="157"/>
      <c r="Q58" s="185">
        <f t="shared" si="8"/>
        <v>0</v>
      </c>
      <c r="R58" s="157">
        <v>223.01</v>
      </c>
      <c r="S58" s="185">
        <f t="shared" si="9"/>
        <v>7.2495135566976257E-4</v>
      </c>
      <c r="T58" s="176"/>
      <c r="U58" s="185">
        <f t="shared" si="10"/>
        <v>0</v>
      </c>
      <c r="V58" s="176">
        <v>104.47</v>
      </c>
      <c r="W58" s="185">
        <f t="shared" si="11"/>
        <v>4.483287298851803E-4</v>
      </c>
      <c r="X58" s="157">
        <v>22.01</v>
      </c>
      <c r="Y58" s="185">
        <f t="shared" si="12"/>
        <v>9.4074281924936773E-5</v>
      </c>
      <c r="Z58" s="191">
        <f t="shared" si="19"/>
        <v>40.694166666666668</v>
      </c>
      <c r="AA58" s="185">
        <f t="shared" si="13"/>
        <v>1.7395685519462747E-4</v>
      </c>
      <c r="AB58" s="172">
        <f t="shared" si="24"/>
        <v>488.32999999999993</v>
      </c>
      <c r="AC58" s="173">
        <f t="shared" si="18"/>
        <v>1.7395685519462747E-4</v>
      </c>
      <c r="AD58" s="165"/>
      <c r="AE58" s="165"/>
    </row>
    <row r="59" spans="1:31" ht="14.4" x14ac:dyDescent="0.3">
      <c r="A59" s="176" t="s">
        <v>28</v>
      </c>
      <c r="B59" s="157"/>
      <c r="C59" s="185">
        <f t="shared" si="1"/>
        <v>0</v>
      </c>
      <c r="D59" s="157"/>
      <c r="E59" s="185">
        <f t="shared" si="16"/>
        <v>0</v>
      </c>
      <c r="F59" s="157"/>
      <c r="G59" s="185">
        <f t="shared" si="3"/>
        <v>0</v>
      </c>
      <c r="H59" s="157"/>
      <c r="I59" s="185">
        <f t="shared" si="4"/>
        <v>0</v>
      </c>
      <c r="J59" s="157"/>
      <c r="K59" s="185">
        <f t="shared" si="22"/>
        <v>0</v>
      </c>
      <c r="L59" s="157"/>
      <c r="M59" s="185">
        <f t="shared" si="17"/>
        <v>0</v>
      </c>
      <c r="N59" s="157"/>
      <c r="O59" s="185">
        <f t="shared" si="7"/>
        <v>0</v>
      </c>
      <c r="P59" s="157">
        <v>1656.84</v>
      </c>
      <c r="Q59" s="185">
        <f t="shared" si="8"/>
        <v>7.4694223396967801E-3</v>
      </c>
      <c r="R59" s="157">
        <v>649.72</v>
      </c>
      <c r="S59" s="185">
        <f t="shared" si="9"/>
        <v>2.1120819461268917E-3</v>
      </c>
      <c r="T59" s="157">
        <v>355.98</v>
      </c>
      <c r="U59" s="185">
        <f t="shared" si="10"/>
        <v>1.5139348091964969E-3</v>
      </c>
      <c r="V59" s="157">
        <v>688</v>
      </c>
      <c r="W59" s="185">
        <f t="shared" si="11"/>
        <v>2.9525238457069401E-3</v>
      </c>
      <c r="X59" s="157">
        <v>1365.25</v>
      </c>
      <c r="Y59" s="185">
        <f t="shared" si="12"/>
        <v>5.8352982007278476E-3</v>
      </c>
      <c r="Z59" s="191">
        <f t="shared" si="19"/>
        <v>392.98250000000002</v>
      </c>
      <c r="AA59" s="185">
        <f t="shared" si="13"/>
        <v>1.6798967873328944E-3</v>
      </c>
      <c r="AB59" s="172">
        <f t="shared" si="24"/>
        <v>4715.79</v>
      </c>
      <c r="AC59" s="173">
        <f t="shared" si="18"/>
        <v>1.6798967873328946E-3</v>
      </c>
      <c r="AD59" s="165"/>
      <c r="AE59" s="165"/>
    </row>
    <row r="60" spans="1:31" ht="14.4" x14ac:dyDescent="0.3">
      <c r="A60" s="157" t="s">
        <v>201</v>
      </c>
      <c r="B60" s="157">
        <f>1000+800</f>
        <v>1800</v>
      </c>
      <c r="C60" s="185">
        <f t="shared" si="1"/>
        <v>7.8422078080506354E-3</v>
      </c>
      <c r="D60" s="176">
        <v>1800</v>
      </c>
      <c r="E60" s="185">
        <f t="shared" si="16"/>
        <v>9.5428330858293529E-3</v>
      </c>
      <c r="F60" s="176">
        <v>1800</v>
      </c>
      <c r="G60" s="185">
        <f t="shared" si="3"/>
        <v>6.4540872013156012E-3</v>
      </c>
      <c r="H60" s="176">
        <v>1800</v>
      </c>
      <c r="I60" s="185">
        <f t="shared" si="4"/>
        <v>9.1611888271158973E-3</v>
      </c>
      <c r="J60" s="176">
        <v>1800</v>
      </c>
      <c r="K60" s="185">
        <f t="shared" si="22"/>
        <v>6.7079423751974275E-3</v>
      </c>
      <c r="L60" s="176">
        <v>1800</v>
      </c>
      <c r="M60" s="185">
        <f t="shared" si="17"/>
        <v>8.2297982798715721E-3</v>
      </c>
      <c r="N60" s="176">
        <v>1800</v>
      </c>
      <c r="O60" s="185">
        <f t="shared" si="7"/>
        <v>9.2283012517421631E-3</v>
      </c>
      <c r="P60" s="157">
        <v>1800</v>
      </c>
      <c r="Q60" s="185">
        <f t="shared" si="8"/>
        <v>8.1148211121497577E-3</v>
      </c>
      <c r="R60" s="157">
        <v>1800</v>
      </c>
      <c r="S60" s="185">
        <f t="shared" si="9"/>
        <v>5.8513628994465387E-3</v>
      </c>
      <c r="T60" s="176">
        <v>1800</v>
      </c>
      <c r="U60" s="185">
        <f t="shared" si="10"/>
        <v>7.6551566283321942E-3</v>
      </c>
      <c r="V60" s="176">
        <f>1000+800</f>
        <v>1800</v>
      </c>
      <c r="W60" s="185">
        <f t="shared" si="11"/>
        <v>7.7246263405123432E-3</v>
      </c>
      <c r="X60" s="157">
        <v>1800</v>
      </c>
      <c r="Y60" s="185">
        <f t="shared" si="12"/>
        <v>7.6934896621938288E-3</v>
      </c>
      <c r="Z60" s="191">
        <f t="shared" si="19"/>
        <v>1800</v>
      </c>
      <c r="AA60" s="185">
        <f t="shared" si="13"/>
        <v>7.6945263903588825E-3</v>
      </c>
      <c r="AB60" s="172">
        <f t="shared" si="24"/>
        <v>21600</v>
      </c>
      <c r="AC60" s="173">
        <f t="shared" si="18"/>
        <v>7.6945263903588842E-3</v>
      </c>
      <c r="AD60" s="165"/>
      <c r="AE60" s="165"/>
    </row>
    <row r="61" spans="1:31" ht="14.4" x14ac:dyDescent="0.3">
      <c r="A61" s="157" t="s">
        <v>151</v>
      </c>
      <c r="B61" s="157">
        <f>211.8+99</f>
        <v>310.8</v>
      </c>
      <c r="C61" s="185">
        <f t="shared" si="1"/>
        <v>1.3540878815234097E-3</v>
      </c>
      <c r="D61" s="157">
        <f>44.74+99</f>
        <v>143.74</v>
      </c>
      <c r="E61" s="185">
        <f t="shared" si="16"/>
        <v>7.6204823764283963E-4</v>
      </c>
      <c r="F61" s="157">
        <f>899.47+99</f>
        <v>998.47</v>
      </c>
      <c r="G61" s="185">
        <f t="shared" si="3"/>
        <v>3.5801180266097714E-3</v>
      </c>
      <c r="H61" s="157">
        <f>1390.15+489.9+99</f>
        <v>1979.0500000000002</v>
      </c>
      <c r="I61" s="185">
        <f t="shared" si="4"/>
        <v>1.0072472637946511E-2</v>
      </c>
      <c r="J61" s="157">
        <v>3589.68</v>
      </c>
      <c r="K61" s="185">
        <f t="shared" si="22"/>
        <v>1.3377425880777057E-2</v>
      </c>
      <c r="L61" s="157">
        <f>446.5+1020.77</f>
        <v>1467.27</v>
      </c>
      <c r="M61" s="185">
        <f t="shared" si="17"/>
        <v>6.7085200678373121E-3</v>
      </c>
      <c r="N61" s="157">
        <f>181.49+77.11</f>
        <v>258.60000000000002</v>
      </c>
      <c r="O61" s="185">
        <f t="shared" si="7"/>
        <v>1.3257992798336241E-3</v>
      </c>
      <c r="P61" s="157">
        <f>369.66+1646.97</f>
        <v>2016.63</v>
      </c>
      <c r="Q61" s="185">
        <f t="shared" si="8"/>
        <v>9.0914398329969819E-3</v>
      </c>
      <c r="R61" s="157">
        <f>1250+568.07+980.3</f>
        <v>2798.37</v>
      </c>
      <c r="S61" s="185">
        <f t="shared" si="9"/>
        <v>9.0968213316245609E-3</v>
      </c>
      <c r="T61" s="157">
        <f>528.37+430.27+125.99</f>
        <v>1084.6299999999999</v>
      </c>
      <c r="U61" s="185">
        <f t="shared" si="10"/>
        <v>4.612784740993304E-3</v>
      </c>
      <c r="V61" s="157">
        <f>47.66+184.11</f>
        <v>231.77</v>
      </c>
      <c r="W61" s="185">
        <f t="shared" si="11"/>
        <v>9.946314705225254E-4</v>
      </c>
      <c r="X61" s="157">
        <v>300</v>
      </c>
      <c r="Y61" s="185">
        <f t="shared" si="12"/>
        <v>1.2822482770323048E-3</v>
      </c>
      <c r="Z61" s="191">
        <f t="shared" si="19"/>
        <v>1264.9175</v>
      </c>
      <c r="AA61" s="185">
        <f t="shared" si="13"/>
        <v>5.4071894918759902E-3</v>
      </c>
      <c r="AB61" s="172">
        <f t="shared" si="24"/>
        <v>15179.009999999998</v>
      </c>
      <c r="AC61" s="173">
        <f t="shared" si="18"/>
        <v>5.4071894918759902E-3</v>
      </c>
      <c r="AD61" s="165"/>
      <c r="AE61" s="165"/>
    </row>
    <row r="62" spans="1:31" ht="14.4" x14ac:dyDescent="0.3">
      <c r="A62" s="157" t="s">
        <v>181</v>
      </c>
      <c r="B62" s="157"/>
      <c r="C62" s="185">
        <f t="shared" si="1"/>
        <v>0</v>
      </c>
      <c r="D62" s="157"/>
      <c r="E62" s="185">
        <f t="shared" si="16"/>
        <v>0</v>
      </c>
      <c r="F62" s="157"/>
      <c r="G62" s="185">
        <f t="shared" si="3"/>
        <v>0</v>
      </c>
      <c r="H62" s="157">
        <f>290</f>
        <v>290</v>
      </c>
      <c r="I62" s="185">
        <f t="shared" si="4"/>
        <v>1.4759693110353391E-3</v>
      </c>
      <c r="J62" s="157">
        <v>290</v>
      </c>
      <c r="K62" s="185">
        <f t="shared" si="22"/>
        <v>1.0807240493373633E-3</v>
      </c>
      <c r="L62" s="157">
        <f>290+1920+620.25</f>
        <v>2830.25</v>
      </c>
      <c r="M62" s="185">
        <f t="shared" si="17"/>
        <v>1.2940214767559176E-2</v>
      </c>
      <c r="N62" s="157">
        <v>2210</v>
      </c>
      <c r="O62" s="185">
        <f t="shared" si="7"/>
        <v>1.1330303203527877E-2</v>
      </c>
      <c r="P62" s="157">
        <f>1920+290</f>
        <v>2210</v>
      </c>
      <c r="Q62" s="185">
        <f t="shared" si="8"/>
        <v>9.9631970321394248E-3</v>
      </c>
      <c r="R62" s="157">
        <f>290-4937.52+1920</f>
        <v>-2727.5200000000004</v>
      </c>
      <c r="S62" s="185">
        <f t="shared" si="9"/>
        <v>-8.8665051863880146E-3</v>
      </c>
      <c r="T62" s="157">
        <v>2210</v>
      </c>
      <c r="U62" s="185">
        <f t="shared" si="10"/>
        <v>9.3988311936745277E-3</v>
      </c>
      <c r="V62" s="157">
        <v>2210</v>
      </c>
      <c r="W62" s="185">
        <f t="shared" si="11"/>
        <v>9.4841245625179333E-3</v>
      </c>
      <c r="X62" s="157">
        <v>2210</v>
      </c>
      <c r="Y62" s="185">
        <f t="shared" si="12"/>
        <v>9.4458956408046447E-3</v>
      </c>
      <c r="Z62" s="191">
        <f t="shared" si="19"/>
        <v>977.72749999999996</v>
      </c>
      <c r="AA62" s="185">
        <f t="shared" si="13"/>
        <v>4.1795278062942299E-3</v>
      </c>
      <c r="AB62" s="172">
        <f t="shared" si="24"/>
        <v>11732.73</v>
      </c>
      <c r="AC62" s="173">
        <f t="shared" si="18"/>
        <v>4.1795278062942308E-3</v>
      </c>
      <c r="AD62" s="165"/>
      <c r="AE62" s="165"/>
    </row>
    <row r="63" spans="1:31" ht="14.4" x14ac:dyDescent="0.3">
      <c r="A63" s="156" t="s">
        <v>107</v>
      </c>
      <c r="B63" s="167">
        <f>SUM(B64:B73)</f>
        <v>10781.000000000002</v>
      </c>
      <c r="C63" s="186">
        <f t="shared" si="1"/>
        <v>4.6970467988107736E-2</v>
      </c>
      <c r="D63" s="167">
        <f>SUM(D64:D73)</f>
        <v>881.42000000000007</v>
      </c>
      <c r="E63" s="186">
        <f t="shared" si="16"/>
        <v>4.6729132991731722E-3</v>
      </c>
      <c r="F63" s="167">
        <f>SUM(F64:F73)</f>
        <v>6505.77</v>
      </c>
      <c r="G63" s="186">
        <f t="shared" si="3"/>
        <v>2.3327114939835001E-2</v>
      </c>
      <c r="H63" s="167">
        <f>SUM(H64:H73)</f>
        <v>18084.22</v>
      </c>
      <c r="I63" s="186">
        <f t="shared" si="4"/>
        <v>9.2040530117281041E-2</v>
      </c>
      <c r="J63" s="167">
        <f>SUM(J64:J73)</f>
        <v>11454.74</v>
      </c>
      <c r="K63" s="186">
        <f t="shared" si="22"/>
        <v>4.2687631023816106E-2</v>
      </c>
      <c r="L63" s="167">
        <f>SUM(L64:L73)</f>
        <v>4844.83</v>
      </c>
      <c r="M63" s="186">
        <f t="shared" si="17"/>
        <v>2.2151096444594551E-2</v>
      </c>
      <c r="N63" s="167">
        <f>SUM(N64:N73)</f>
        <v>6997.8600000000006</v>
      </c>
      <c r="O63" s="186">
        <f t="shared" si="7"/>
        <v>3.5876866776398009E-2</v>
      </c>
      <c r="P63" s="167">
        <f>SUM(P64:P73)</f>
        <v>9219.5499999999993</v>
      </c>
      <c r="Q63" s="186">
        <f t="shared" si="8"/>
        <v>4.1563888324733497E-2</v>
      </c>
      <c r="R63" s="167">
        <f>SUM(R64:R73)</f>
        <v>5249.38</v>
      </c>
      <c r="S63" s="186">
        <f t="shared" si="9"/>
        <v>1.7064459653942595E-2</v>
      </c>
      <c r="T63" s="167">
        <f>SUM(T64:T73)</f>
        <v>9949.83</v>
      </c>
      <c r="U63" s="186">
        <f t="shared" si="10"/>
        <v>4.2315281708488063E-2</v>
      </c>
      <c r="V63" s="167">
        <f>SUM(V64:V73)</f>
        <v>5349.0599999999995</v>
      </c>
      <c r="W63" s="186">
        <f t="shared" si="11"/>
        <v>2.2955272096100529E-2</v>
      </c>
      <c r="X63" s="167">
        <f>SUM(X64:X73)</f>
        <v>8316.5400000000009</v>
      </c>
      <c r="Y63" s="186">
        <f t="shared" si="12"/>
        <v>3.5546230286234153E-2</v>
      </c>
      <c r="Z63" s="189">
        <f>(B63+D63+F63+H63+J63+L63+N63+P63+R63+T63+V63+X63)/AE$2</f>
        <v>8136.1833333333343</v>
      </c>
      <c r="AA63" s="184">
        <f t="shared" si="13"/>
        <v>3.4780042986184131E-2</v>
      </c>
      <c r="AB63" s="167">
        <f>SUM(AB64:AB73)</f>
        <v>97634.200000000012</v>
      </c>
      <c r="AC63" s="174">
        <f>AB63/AB$2</f>
        <v>3.4780042986184145E-2</v>
      </c>
      <c r="AD63" s="165"/>
      <c r="AE63" s="165"/>
    </row>
    <row r="64" spans="1:31" ht="14.4" x14ac:dyDescent="0.3">
      <c r="A64" s="157" t="s">
        <v>234</v>
      </c>
      <c r="B64" s="157"/>
      <c r="C64" s="185">
        <f t="shared" si="1"/>
        <v>0</v>
      </c>
      <c r="D64" s="157"/>
      <c r="E64" s="185">
        <f t="shared" si="16"/>
        <v>0</v>
      </c>
      <c r="F64" s="157"/>
      <c r="G64" s="185">
        <f t="shared" si="3"/>
        <v>0</v>
      </c>
      <c r="H64" s="157"/>
      <c r="I64" s="185">
        <f t="shared" si="4"/>
        <v>0</v>
      </c>
      <c r="J64" s="157"/>
      <c r="K64" s="185">
        <f t="shared" si="22"/>
        <v>0</v>
      </c>
      <c r="L64" s="157"/>
      <c r="M64" s="185">
        <f t="shared" si="17"/>
        <v>0</v>
      </c>
      <c r="N64" s="157"/>
      <c r="O64" s="185">
        <f t="shared" si="7"/>
        <v>0</v>
      </c>
      <c r="P64" s="157"/>
      <c r="Q64" s="185">
        <f t="shared" si="8"/>
        <v>0</v>
      </c>
      <c r="R64" s="157"/>
      <c r="S64" s="185">
        <f t="shared" si="9"/>
        <v>0</v>
      </c>
      <c r="T64" s="157"/>
      <c r="U64" s="185">
        <f t="shared" si="10"/>
        <v>0</v>
      </c>
      <c r="V64" s="157"/>
      <c r="W64" s="185">
        <f t="shared" si="11"/>
        <v>0</v>
      </c>
      <c r="X64" s="157"/>
      <c r="Y64" s="185">
        <f t="shared" si="12"/>
        <v>0</v>
      </c>
      <c r="Z64" s="191">
        <f t="shared" si="19"/>
        <v>0</v>
      </c>
      <c r="AA64" s="185">
        <f t="shared" si="13"/>
        <v>0</v>
      </c>
      <c r="AB64" s="172">
        <f t="shared" ref="AB64:AB66" si="25">L64+N64+P64+R64+T64+V64+X64+J64+H64+F64+D64+B64</f>
        <v>0</v>
      </c>
      <c r="AC64" s="171">
        <f>AB64/AB$2</f>
        <v>0</v>
      </c>
      <c r="AD64" s="165"/>
      <c r="AE64" s="178"/>
    </row>
    <row r="65" spans="1:31" ht="14.4" x14ac:dyDescent="0.3">
      <c r="A65" s="157" t="s">
        <v>15</v>
      </c>
      <c r="B65" s="157">
        <v>20</v>
      </c>
      <c r="C65" s="185">
        <f t="shared" si="1"/>
        <v>8.7135642311673736E-5</v>
      </c>
      <c r="D65" s="157">
        <v>20</v>
      </c>
      <c r="E65" s="185">
        <f t="shared" si="16"/>
        <v>1.0603147873143727E-4</v>
      </c>
      <c r="F65" s="157">
        <v>20</v>
      </c>
      <c r="G65" s="185">
        <f t="shared" si="3"/>
        <v>7.1712080014617796E-5</v>
      </c>
      <c r="H65" s="157">
        <f>20-495</f>
        <v>-475</v>
      </c>
      <c r="I65" s="185">
        <f t="shared" si="4"/>
        <v>-2.4175359404889174E-3</v>
      </c>
      <c r="J65" s="157"/>
      <c r="K65" s="185">
        <f t="shared" si="22"/>
        <v>0</v>
      </c>
      <c r="L65" s="157"/>
      <c r="M65" s="185">
        <f t="shared" si="17"/>
        <v>0</v>
      </c>
      <c r="N65" s="157"/>
      <c r="O65" s="185">
        <f t="shared" si="7"/>
        <v>0</v>
      </c>
      <c r="P65" s="157">
        <v>3.99</v>
      </c>
      <c r="Q65" s="185">
        <f t="shared" si="8"/>
        <v>1.7987853465265297E-5</v>
      </c>
      <c r="R65" s="157"/>
      <c r="S65" s="185">
        <f t="shared" si="9"/>
        <v>0</v>
      </c>
      <c r="T65" s="157"/>
      <c r="U65" s="185">
        <f t="shared" si="10"/>
        <v>0</v>
      </c>
      <c r="V65" s="157">
        <v>20</v>
      </c>
      <c r="W65" s="185">
        <f t="shared" si="11"/>
        <v>8.5829181561248262E-5</v>
      </c>
      <c r="X65" s="157">
        <v>71.61</v>
      </c>
      <c r="Y65" s="185">
        <f t="shared" si="12"/>
        <v>3.0607266372761118E-4</v>
      </c>
      <c r="Z65" s="191">
        <f t="shared" si="19"/>
        <v>-26.616666666666664</v>
      </c>
      <c r="AA65" s="185">
        <f t="shared" si="13"/>
        <v>-1.1377924671669569E-4</v>
      </c>
      <c r="AB65" s="172">
        <f t="shared" si="25"/>
        <v>-319.39999999999998</v>
      </c>
      <c r="AC65" s="171">
        <f t="shared" ref="AC65:AC73" si="26">AB65/AB$2</f>
        <v>-1.1377924671669572E-4</v>
      </c>
      <c r="AD65" s="165"/>
      <c r="AE65" s="178"/>
    </row>
    <row r="66" spans="1:31" ht="14.4" x14ac:dyDescent="0.3">
      <c r="A66" s="157" t="s">
        <v>122</v>
      </c>
      <c r="B66" s="157">
        <v>2069.1</v>
      </c>
      <c r="C66" s="185">
        <f t="shared" si="1"/>
        <v>9.0146178753542049E-3</v>
      </c>
      <c r="D66" s="157">
        <v>290.56</v>
      </c>
      <c r="E66" s="185">
        <f t="shared" si="16"/>
        <v>1.5404253230103205E-3</v>
      </c>
      <c r="F66" s="157">
        <f>1076.69+486.9</f>
        <v>1563.5900000000001</v>
      </c>
      <c r="G66" s="185">
        <f t="shared" si="3"/>
        <v>5.6064145595028127E-3</v>
      </c>
      <c r="H66" s="157">
        <f>1076.69+3083.51</f>
        <v>4160.2000000000007</v>
      </c>
      <c r="I66" s="185">
        <f t="shared" si="4"/>
        <v>2.1173543199204205E-2</v>
      </c>
      <c r="J66" s="157">
        <f>1076.69+999</f>
        <v>2075.69</v>
      </c>
      <c r="K66" s="185">
        <f t="shared" si="22"/>
        <v>7.7353382826519717E-3</v>
      </c>
      <c r="L66" s="157"/>
      <c r="M66" s="185">
        <f t="shared" si="17"/>
        <v>0</v>
      </c>
      <c r="N66" s="157"/>
      <c r="O66" s="185">
        <f t="shared" si="7"/>
        <v>0</v>
      </c>
      <c r="P66" s="157"/>
      <c r="Q66" s="185">
        <f t="shared" si="8"/>
        <v>0</v>
      </c>
      <c r="R66" s="157">
        <v>168.42</v>
      </c>
      <c r="S66" s="185">
        <f t="shared" si="9"/>
        <v>5.474925219582144E-4</v>
      </c>
      <c r="T66" s="157"/>
      <c r="U66" s="185">
        <f t="shared" si="10"/>
        <v>0</v>
      </c>
      <c r="V66" s="157">
        <f>170.9+627.78</f>
        <v>798.68</v>
      </c>
      <c r="W66" s="185">
        <f t="shared" si="11"/>
        <v>3.4275025364668876E-3</v>
      </c>
      <c r="X66" s="157"/>
      <c r="Y66" s="185">
        <f t="shared" si="12"/>
        <v>0</v>
      </c>
      <c r="Z66" s="191">
        <f t="shared" si="19"/>
        <v>927.18666666666684</v>
      </c>
      <c r="AA66" s="185">
        <f t="shared" si="13"/>
        <v>3.9634790419197513E-3</v>
      </c>
      <c r="AB66" s="172">
        <f t="shared" si="25"/>
        <v>11126.240000000002</v>
      </c>
      <c r="AC66" s="171">
        <f t="shared" si="26"/>
        <v>3.9634790419197522E-3</v>
      </c>
      <c r="AD66" s="165"/>
      <c r="AE66" s="165"/>
    </row>
    <row r="67" spans="1:31" ht="14.4" x14ac:dyDescent="0.3">
      <c r="A67" s="157" t="s">
        <v>235</v>
      </c>
      <c r="B67" s="157">
        <f>346.31+5204.8</f>
        <v>5551.1100000000006</v>
      </c>
      <c r="C67" s="185">
        <f t="shared" ref="C67:C73" si="27">B67/B$2</f>
        <v>2.418497676963776E-2</v>
      </c>
      <c r="D67" s="157">
        <v>202.86</v>
      </c>
      <c r="E67" s="185">
        <f t="shared" si="16"/>
        <v>1.0754772887729682E-3</v>
      </c>
      <c r="F67" s="157">
        <v>297.35000000000002</v>
      </c>
      <c r="G67" s="185">
        <f t="shared" ref="G67:G73" si="28">F67/F$2</f>
        <v>1.0661793496173301E-3</v>
      </c>
      <c r="H67" s="157">
        <f>1404+94.26+200+5360+785+180+25.8+80</f>
        <v>8129.06</v>
      </c>
      <c r="I67" s="185">
        <f t="shared" ref="I67:I74" si="29">H67/H$2</f>
        <v>4.137325202608598E-2</v>
      </c>
      <c r="J67" s="157">
        <f>80+113.8+1350+48+700+424+720+530+502.94</f>
        <v>4468.74</v>
      </c>
      <c r="K67" s="185">
        <f t="shared" si="22"/>
        <v>1.6653361338744305E-2</v>
      </c>
      <c r="L67" s="157">
        <v>298.14999999999998</v>
      </c>
      <c r="M67" s="185">
        <f t="shared" si="17"/>
        <v>1.3631746428576163E-3</v>
      </c>
      <c r="N67" s="157">
        <v>294.85000000000002</v>
      </c>
      <c r="O67" s="185">
        <f t="shared" ref="O67:O73" si="30">N67/N$2</f>
        <v>1.5116470133756537E-3</v>
      </c>
      <c r="P67" s="157">
        <f>68.88+3250+1096.96+240</f>
        <v>4655.84</v>
      </c>
      <c r="Q67" s="185">
        <f t="shared" ref="Q67:Q73" si="31">P67/P$2</f>
        <v>2.0989615959328516E-2</v>
      </c>
      <c r="R67" s="157">
        <v>421.13</v>
      </c>
      <c r="S67" s="185">
        <f t="shared" ref="S67:S73" si="32">R67/R$2</f>
        <v>1.368991365468845E-3</v>
      </c>
      <c r="T67" s="157"/>
      <c r="U67" s="185">
        <f t="shared" ref="U67:U73" si="33">T67/T$2</f>
        <v>0</v>
      </c>
      <c r="V67" s="157">
        <v>70.55</v>
      </c>
      <c r="W67" s="185">
        <f t="shared" ref="W67:W73" si="34">V67/V$2</f>
        <v>3.0276243795730322E-4</v>
      </c>
      <c r="X67" s="157">
        <v>3785.1</v>
      </c>
      <c r="Y67" s="185">
        <f t="shared" ref="Y67:Y73" si="35">X67/X$2</f>
        <v>1.6178126511316591E-2</v>
      </c>
      <c r="Z67" s="191">
        <f t="shared" si="19"/>
        <v>2347.895</v>
      </c>
      <c r="AA67" s="185">
        <f t="shared" si="13"/>
        <v>1.0036633355162038E-2</v>
      </c>
      <c r="AB67" s="172">
        <f t="shared" ref="AB65:AB73" si="36">L67+N67+P67+R67+T67+V67+X67+J67+H67+F67+D67+B67</f>
        <v>28174.74</v>
      </c>
      <c r="AC67" s="171">
        <f t="shared" si="26"/>
        <v>1.003663335516204E-2</v>
      </c>
      <c r="AD67" s="165"/>
      <c r="AE67" s="165"/>
    </row>
    <row r="68" spans="1:31" ht="14.4" x14ac:dyDescent="0.3">
      <c r="A68" s="157" t="s">
        <v>236</v>
      </c>
      <c r="B68" s="157">
        <f>403.55+2548+99</f>
        <v>3050.55</v>
      </c>
      <c r="C68" s="185">
        <f t="shared" si="27"/>
        <v>1.3290581682693816E-2</v>
      </c>
      <c r="D68" s="157"/>
      <c r="E68" s="185">
        <f t="shared" si="16"/>
        <v>0</v>
      </c>
      <c r="F68" s="157"/>
      <c r="G68" s="185">
        <f t="shared" si="28"/>
        <v>0</v>
      </c>
      <c r="H68" s="157">
        <f>63.23+35.2+6.5</f>
        <v>104.93</v>
      </c>
      <c r="I68" s="185">
        <f t="shared" si="29"/>
        <v>5.3404641312737296E-4</v>
      </c>
      <c r="J68" s="157">
        <f>119.88</f>
        <v>119.88</v>
      </c>
      <c r="K68" s="185">
        <f t="shared" si="22"/>
        <v>4.4674896218814867E-4</v>
      </c>
      <c r="L68" s="157"/>
      <c r="M68" s="185">
        <f t="shared" si="17"/>
        <v>0</v>
      </c>
      <c r="N68" s="157">
        <v>1459</v>
      </c>
      <c r="O68" s="185">
        <f t="shared" si="30"/>
        <v>7.4800508479398974E-3</v>
      </c>
      <c r="P68" s="157"/>
      <c r="Q68" s="185">
        <f t="shared" si="31"/>
        <v>0</v>
      </c>
      <c r="R68" s="157"/>
      <c r="S68" s="185">
        <f t="shared" si="32"/>
        <v>0</v>
      </c>
      <c r="T68" s="157">
        <v>5490</v>
      </c>
      <c r="U68" s="185">
        <f t="shared" si="33"/>
        <v>2.3348227716413192E-2</v>
      </c>
      <c r="V68" s="157"/>
      <c r="W68" s="185">
        <f t="shared" si="34"/>
        <v>0</v>
      </c>
      <c r="X68" s="157"/>
      <c r="Y68" s="185">
        <f t="shared" si="35"/>
        <v>0</v>
      </c>
      <c r="Z68" s="191">
        <f t="shared" si="19"/>
        <v>852.03000000000009</v>
      </c>
      <c r="AA68" s="185">
        <f t="shared" si="13"/>
        <v>3.6422040668763773E-3</v>
      </c>
      <c r="AB68" s="172">
        <f t="shared" si="36"/>
        <v>10224.36</v>
      </c>
      <c r="AC68" s="171">
        <f t="shared" si="26"/>
        <v>3.6422040668763781E-3</v>
      </c>
      <c r="AD68" s="165"/>
      <c r="AE68" s="165"/>
    </row>
    <row r="69" spans="1:31" ht="14.4" x14ac:dyDescent="0.3">
      <c r="A69" s="157" t="s">
        <v>202</v>
      </c>
      <c r="B69" s="157">
        <v>90.24</v>
      </c>
      <c r="C69" s="185">
        <f t="shared" si="27"/>
        <v>3.9315601811027188E-4</v>
      </c>
      <c r="D69" s="157"/>
      <c r="E69" s="185">
        <f t="shared" si="16"/>
        <v>0</v>
      </c>
      <c r="F69" s="157"/>
      <c r="G69" s="185">
        <f t="shared" si="28"/>
        <v>0</v>
      </c>
      <c r="H69" s="157"/>
      <c r="I69" s="185">
        <f t="shared" si="29"/>
        <v>0</v>
      </c>
      <c r="J69" s="157"/>
      <c r="K69" s="185">
        <f t="shared" si="22"/>
        <v>0</v>
      </c>
      <c r="L69" s="157"/>
      <c r="M69" s="185">
        <f t="shared" si="17"/>
        <v>0</v>
      </c>
      <c r="N69" s="157"/>
      <c r="O69" s="185">
        <f t="shared" si="30"/>
        <v>0</v>
      </c>
      <c r="P69" s="157">
        <v>99.89</v>
      </c>
      <c r="Q69" s="185">
        <f t="shared" si="31"/>
        <v>4.503274893847996E-4</v>
      </c>
      <c r="R69" s="157">
        <v>200</v>
      </c>
      <c r="S69" s="185">
        <f t="shared" si="32"/>
        <v>6.5015143327183764E-4</v>
      </c>
      <c r="T69" s="157"/>
      <c r="U69" s="185">
        <f t="shared" si="33"/>
        <v>0</v>
      </c>
      <c r="V69" s="157"/>
      <c r="W69" s="185">
        <f t="shared" si="34"/>
        <v>0</v>
      </c>
      <c r="X69" s="157"/>
      <c r="Y69" s="185">
        <f t="shared" si="35"/>
        <v>0</v>
      </c>
      <c r="Z69" s="191">
        <f t="shared" si="19"/>
        <v>32.510833333333331</v>
      </c>
      <c r="AA69" s="185">
        <f t="shared" si="13"/>
        <v>1.3897525836438474E-4</v>
      </c>
      <c r="AB69" s="172">
        <f t="shared" si="36"/>
        <v>390.13</v>
      </c>
      <c r="AC69" s="171">
        <f t="shared" si="26"/>
        <v>1.3897525836438479E-4</v>
      </c>
      <c r="AD69" s="165"/>
      <c r="AE69" s="165"/>
    </row>
    <row r="70" spans="1:31" ht="14.4" x14ac:dyDescent="0.3">
      <c r="A70" s="157" t="s">
        <v>150</v>
      </c>
      <c r="B70" s="157"/>
      <c r="C70" s="185">
        <f t="shared" si="27"/>
        <v>0</v>
      </c>
      <c r="D70" s="157"/>
      <c r="E70" s="185">
        <f t="shared" si="16"/>
        <v>0</v>
      </c>
      <c r="F70" s="157"/>
      <c r="G70" s="185">
        <f t="shared" si="28"/>
        <v>0</v>
      </c>
      <c r="H70" s="157">
        <f>450+1066.2</f>
        <v>1516.2</v>
      </c>
      <c r="I70" s="185">
        <f t="shared" si="29"/>
        <v>7.7167747220406252E-3</v>
      </c>
      <c r="J70" s="157"/>
      <c r="K70" s="185">
        <f t="shared" si="22"/>
        <v>0</v>
      </c>
      <c r="L70" s="157"/>
      <c r="M70" s="185">
        <f t="shared" si="17"/>
        <v>0</v>
      </c>
      <c r="N70" s="157"/>
      <c r="O70" s="185">
        <f t="shared" si="30"/>
        <v>0</v>
      </c>
      <c r="P70" s="157"/>
      <c r="Q70" s="185">
        <f t="shared" si="31"/>
        <v>0</v>
      </c>
      <c r="R70" s="157"/>
      <c r="S70" s="185">
        <f t="shared" si="32"/>
        <v>0</v>
      </c>
      <c r="T70" s="157"/>
      <c r="U70" s="185">
        <f t="shared" si="33"/>
        <v>0</v>
      </c>
      <c r="V70" s="157"/>
      <c r="W70" s="185">
        <f t="shared" si="34"/>
        <v>0</v>
      </c>
      <c r="X70" s="157"/>
      <c r="Y70" s="185">
        <f t="shared" si="35"/>
        <v>0</v>
      </c>
      <c r="Z70" s="191">
        <f>(B70+D70+F70+H70+J70+L70+N70+P70+R70+T70+V70+X70)/AE$2</f>
        <v>126.35000000000001</v>
      </c>
      <c r="AA70" s="185">
        <f t="shared" si="13"/>
        <v>5.4011300523435825E-4</v>
      </c>
      <c r="AB70" s="172">
        <f t="shared" si="36"/>
        <v>1516.2</v>
      </c>
      <c r="AC70" s="171">
        <f t="shared" si="26"/>
        <v>5.4011300523435835E-4</v>
      </c>
      <c r="AD70" s="165"/>
      <c r="AE70" s="178"/>
    </row>
    <row r="71" spans="1:31" ht="14.4" x14ac:dyDescent="0.3">
      <c r="A71" s="157" t="s">
        <v>237</v>
      </c>
      <c r="B71" s="157"/>
      <c r="C71" s="185">
        <f t="shared" si="27"/>
        <v>0</v>
      </c>
      <c r="D71" s="157"/>
      <c r="E71" s="185">
        <f t="shared" si="16"/>
        <v>0</v>
      </c>
      <c r="F71" s="157">
        <v>4459.83</v>
      </c>
      <c r="G71" s="185">
        <f t="shared" si="28"/>
        <v>1.5991184290579642E-2</v>
      </c>
      <c r="H71" s="157">
        <v>4459.83</v>
      </c>
      <c r="I71" s="185">
        <f t="shared" si="29"/>
        <v>2.2698524870464608E-2</v>
      </c>
      <c r="J71" s="157">
        <v>4459.83</v>
      </c>
      <c r="K71" s="185">
        <f t="shared" si="22"/>
        <v>1.662015702398708E-2</v>
      </c>
      <c r="L71" s="157">
        <v>4459.83</v>
      </c>
      <c r="M71" s="185">
        <f t="shared" si="17"/>
        <v>2.039083403473313E-2</v>
      </c>
      <c r="N71" s="157">
        <v>4459.83</v>
      </c>
      <c r="O71" s="185">
        <f t="shared" si="30"/>
        <v>2.2864808206420693E-2</v>
      </c>
      <c r="P71" s="157">
        <v>4459.83</v>
      </c>
      <c r="Q71" s="185">
        <f t="shared" si="31"/>
        <v>2.010595702255492E-2</v>
      </c>
      <c r="R71" s="157">
        <v>4459.83</v>
      </c>
      <c r="S71" s="185">
        <f t="shared" si="32"/>
        <v>1.4497824333243698E-2</v>
      </c>
      <c r="T71" s="157">
        <v>4459.83</v>
      </c>
      <c r="U71" s="185">
        <f t="shared" si="33"/>
        <v>1.8967053992074871E-2</v>
      </c>
      <c r="V71" s="157">
        <v>4459.83</v>
      </c>
      <c r="W71" s="185">
        <f t="shared" si="34"/>
        <v>1.913917794011509E-2</v>
      </c>
      <c r="X71" s="157">
        <v>4459.83</v>
      </c>
      <c r="Y71" s="185">
        <f t="shared" si="35"/>
        <v>1.9062031111189946E-2</v>
      </c>
      <c r="Z71" s="191">
        <f>(B71+D71+F71+H71+J71+L71+N71+P71+R71+T71+V71+X71)/AE$2</f>
        <v>3716.525000000001</v>
      </c>
      <c r="AA71" s="185">
        <f t="shared" si="13"/>
        <v>1.5887166496071418E-2</v>
      </c>
      <c r="AB71" s="172">
        <f t="shared" si="36"/>
        <v>44598.30000000001</v>
      </c>
      <c r="AC71" s="171">
        <f t="shared" si="26"/>
        <v>1.5887166496071421E-2</v>
      </c>
      <c r="AD71" s="165"/>
      <c r="AE71" s="178"/>
    </row>
    <row r="72" spans="1:31" ht="14.4" x14ac:dyDescent="0.3">
      <c r="A72" s="157"/>
      <c r="B72" s="157"/>
      <c r="C72" s="185">
        <f t="shared" si="27"/>
        <v>0</v>
      </c>
      <c r="D72" s="157"/>
      <c r="E72" s="185">
        <f t="shared" si="16"/>
        <v>0</v>
      </c>
      <c r="F72" s="157"/>
      <c r="G72" s="185">
        <f t="shared" si="28"/>
        <v>0</v>
      </c>
      <c r="H72" s="157"/>
      <c r="I72" s="185">
        <f t="shared" si="29"/>
        <v>0</v>
      </c>
      <c r="J72" s="157"/>
      <c r="K72" s="185">
        <f t="shared" si="22"/>
        <v>0</v>
      </c>
      <c r="L72" s="157"/>
      <c r="M72" s="185">
        <f t="shared" si="17"/>
        <v>0</v>
      </c>
      <c r="N72" s="157"/>
      <c r="O72" s="185">
        <f t="shared" si="30"/>
        <v>0</v>
      </c>
      <c r="P72" s="157"/>
      <c r="Q72" s="185">
        <f t="shared" si="31"/>
        <v>0</v>
      </c>
      <c r="R72" s="157"/>
      <c r="S72" s="185">
        <f t="shared" si="32"/>
        <v>0</v>
      </c>
      <c r="T72" s="157"/>
      <c r="U72" s="185">
        <f t="shared" si="33"/>
        <v>0</v>
      </c>
      <c r="V72" s="157"/>
      <c r="W72" s="185">
        <f t="shared" si="34"/>
        <v>0</v>
      </c>
      <c r="X72" s="157"/>
      <c r="Y72" s="185">
        <f t="shared" si="35"/>
        <v>0</v>
      </c>
      <c r="Z72" s="191">
        <f>(B72+D72+F72+H72+J72+L72+N72+P72+R72+T72+V72+X72)/AE$2</f>
        <v>0</v>
      </c>
      <c r="AA72" s="185">
        <f t="shared" si="13"/>
        <v>0</v>
      </c>
      <c r="AB72" s="172">
        <f t="shared" si="36"/>
        <v>0</v>
      </c>
      <c r="AC72" s="171">
        <f t="shared" si="26"/>
        <v>0</v>
      </c>
      <c r="AD72" s="165"/>
      <c r="AE72" s="178"/>
    </row>
    <row r="73" spans="1:31" ht="14.4" x14ac:dyDescent="0.3">
      <c r="A73" s="157" t="s">
        <v>120</v>
      </c>
      <c r="B73" s="157"/>
      <c r="C73" s="185">
        <f t="shared" si="27"/>
        <v>0</v>
      </c>
      <c r="D73" s="157">
        <f>203+165</f>
        <v>368</v>
      </c>
      <c r="E73" s="185">
        <f t="shared" si="16"/>
        <v>1.9509792086584456E-3</v>
      </c>
      <c r="F73" s="157">
        <v>165</v>
      </c>
      <c r="G73" s="185">
        <f t="shared" si="28"/>
        <v>5.9162466012059676E-4</v>
      </c>
      <c r="H73" s="157">
        <f>165+24</f>
        <v>189</v>
      </c>
      <c r="I73" s="185">
        <f t="shared" si="29"/>
        <v>9.6192482684716925E-4</v>
      </c>
      <c r="J73" s="157">
        <f>330.6</f>
        <v>330.6</v>
      </c>
      <c r="K73" s="185">
        <f t="shared" si="22"/>
        <v>1.2320254162445944E-3</v>
      </c>
      <c r="L73" s="157">
        <f>62.85+24</f>
        <v>86.85</v>
      </c>
      <c r="M73" s="185">
        <f t="shared" si="17"/>
        <v>3.9708776700380337E-4</v>
      </c>
      <c r="N73" s="157">
        <v>784.18</v>
      </c>
      <c r="O73" s="185">
        <f t="shared" si="30"/>
        <v>4.0203607086617601E-3</v>
      </c>
      <c r="P73" s="157"/>
      <c r="Q73" s="185">
        <f t="shared" si="31"/>
        <v>0</v>
      </c>
      <c r="R73" s="157"/>
      <c r="S73" s="185">
        <f t="shared" si="32"/>
        <v>0</v>
      </c>
      <c r="T73" s="157"/>
      <c r="U73" s="185">
        <f t="shared" si="33"/>
        <v>0</v>
      </c>
      <c r="V73" s="157"/>
      <c r="W73" s="185">
        <f t="shared" si="34"/>
        <v>0</v>
      </c>
      <c r="X73" s="157"/>
      <c r="Y73" s="185">
        <f t="shared" si="35"/>
        <v>0</v>
      </c>
      <c r="Z73" s="191">
        <f>(B73+D73+F73+H73+J73+L73+N73+P73+R73+T73+V73+X73)/AE$2</f>
        <v>160.30249999999998</v>
      </c>
      <c r="AA73" s="185">
        <f t="shared" si="13"/>
        <v>6.8525100927250258E-4</v>
      </c>
      <c r="AB73" s="172">
        <f t="shared" si="36"/>
        <v>1923.63</v>
      </c>
      <c r="AC73" s="171">
        <f t="shared" si="26"/>
        <v>6.852510092725028E-4</v>
      </c>
      <c r="AD73" s="165"/>
      <c r="AE73" s="178"/>
    </row>
    <row r="74" spans="1:31" ht="14.4" x14ac:dyDescent="0.3">
      <c r="A74" s="156" t="s">
        <v>191</v>
      </c>
      <c r="B74" s="177">
        <f>B2-B6-B17-B63</f>
        <v>79911.92</v>
      </c>
      <c r="C74" s="186">
        <f>B74/B$2</f>
        <v>0.34815882387795433</v>
      </c>
      <c r="D74" s="177">
        <f>D2-D6-D17-D63</f>
        <v>34304.170000000013</v>
      </c>
      <c r="E74" s="186">
        <f>D74/D$2</f>
        <v>0.18186609358773048</v>
      </c>
      <c r="F74" s="177">
        <f>F2-F6-F17-F63</f>
        <v>128101.01000000002</v>
      </c>
      <c r="G74" s="186">
        <f>F74/F$2</f>
        <v>0.45931949395366778</v>
      </c>
      <c r="H74" s="177">
        <f>H2-H6-H17-H63</f>
        <v>11660.39999999998</v>
      </c>
      <c r="I74" s="186">
        <f t="shared" si="29"/>
        <v>5.9346181222056683E-2</v>
      </c>
      <c r="J74" s="177">
        <f>J2-J6-J17-J63</f>
        <v>97027.710000000021</v>
      </c>
      <c r="K74" s="186">
        <f>J74/J$2</f>
        <v>0.36158682637631523</v>
      </c>
      <c r="L74" s="177">
        <f>L2-L6-L17-L63</f>
        <v>33287.479999999996</v>
      </c>
      <c r="M74" s="186">
        <f>L74/L$2</f>
        <v>0.15219402535847742</v>
      </c>
      <c r="N74" s="177">
        <f>N2-N6-N17-N63</f>
        <v>31799.02999999997</v>
      </c>
      <c r="O74" s="186">
        <f>N74/N$2</f>
        <v>0.1630283490851035</v>
      </c>
      <c r="P74" s="177">
        <f>P2-P6-P17-P63</f>
        <v>60186.619999999995</v>
      </c>
      <c r="Q74" s="186">
        <f>P74/P$2</f>
        <v>0.27133536369163047</v>
      </c>
      <c r="R74" s="177">
        <f>R2-R6-R17-R63</f>
        <v>162272.80000000008</v>
      </c>
      <c r="S74" s="186">
        <f>R74/R$2</f>
        <v>0.52750946750517158</v>
      </c>
      <c r="T74" s="177">
        <f>T2-T6-T17-T63</f>
        <v>43224.56</v>
      </c>
      <c r="U74" s="186">
        <f>T74/T$2</f>
        <v>0.18382820943930145</v>
      </c>
      <c r="V74" s="177">
        <f>V2-V6-V17-V63</f>
        <v>67444.950000000012</v>
      </c>
      <c r="W74" s="186">
        <f>V74/V$2</f>
        <v>0.2894372429469656</v>
      </c>
      <c r="X74" s="177">
        <f>X2-X6-X17-X63</f>
        <v>60213.399999999972</v>
      </c>
      <c r="Y74" s="186">
        <f>X74/X$2</f>
        <v>0.25736176134752314</v>
      </c>
      <c r="Z74" s="177">
        <f>Z2-Z6-Z17-Z63</f>
        <v>67452.837500000023</v>
      </c>
      <c r="AA74" s="186">
        <f t="shared" si="13"/>
        <v>0.2883431323601886</v>
      </c>
      <c r="AB74" s="177">
        <f>AB2-AB6-AB17-AB63</f>
        <v>809434.05</v>
      </c>
      <c r="AC74" s="179">
        <f>AB74/AB$2</f>
        <v>0.28834313236018855</v>
      </c>
      <c r="AD74" s="165"/>
      <c r="AE74" s="165"/>
    </row>
    <row r="75" spans="1:31" ht="14.4" x14ac:dyDescent="0.3">
      <c r="A75" s="156" t="s">
        <v>200</v>
      </c>
      <c r="B75" s="591">
        <f>B74/B2</f>
        <v>0.34815882387795433</v>
      </c>
      <c r="C75" s="592"/>
      <c r="D75" s="591">
        <f>D74/D2</f>
        <v>0.18186609358773048</v>
      </c>
      <c r="E75" s="592"/>
      <c r="F75" s="591">
        <f>F74/F2</f>
        <v>0.45931949395366778</v>
      </c>
      <c r="G75" s="592"/>
      <c r="H75" s="591">
        <f>H74/H2</f>
        <v>5.9346181222056683E-2</v>
      </c>
      <c r="I75" s="186"/>
      <c r="J75" s="591">
        <f>J74/J2</f>
        <v>0.36158682637631523</v>
      </c>
      <c r="K75" s="592"/>
      <c r="L75" s="591">
        <f>L74/L2</f>
        <v>0.15219402535847742</v>
      </c>
      <c r="M75" s="592"/>
      <c r="N75" s="591">
        <f>N74/N2</f>
        <v>0.1630283490851035</v>
      </c>
      <c r="O75" s="592"/>
      <c r="P75" s="591">
        <f>P74/P2</f>
        <v>0.27133536369163047</v>
      </c>
      <c r="Q75" s="592"/>
      <c r="R75" s="591">
        <f>R74/R2</f>
        <v>0.52750946750517158</v>
      </c>
      <c r="S75" s="592"/>
      <c r="T75" s="591">
        <f>T74/T2</f>
        <v>0.18382820943930145</v>
      </c>
      <c r="U75" s="592"/>
      <c r="V75" s="591">
        <f>V74/V2</f>
        <v>0.2894372429469656</v>
      </c>
      <c r="W75" s="592"/>
      <c r="X75" s="591">
        <f>X74/X2</f>
        <v>0.25736176134752314</v>
      </c>
      <c r="Y75" s="592"/>
      <c r="Z75" s="591">
        <f>Z74/Z2</f>
        <v>0.2883431323601886</v>
      </c>
      <c r="AA75" s="186">
        <f t="shared" si="13"/>
        <v>1.232591023013453E-6</v>
      </c>
      <c r="AB75" s="591">
        <f>AB74/AB2</f>
        <v>0.28834313236018855</v>
      </c>
      <c r="AC75" s="179">
        <f t="shared" ref="AC18:AC77" si="37">AB75/AB$3</f>
        <v>1.0691617927499677E-7</v>
      </c>
      <c r="AD75" s="165"/>
      <c r="AE75" s="165"/>
    </row>
    <row r="76" spans="1:31" ht="14.4" x14ac:dyDescent="0.3">
      <c r="A76" s="156" t="s">
        <v>189</v>
      </c>
      <c r="B76" s="180">
        <f>(B17+B63)/C16</f>
        <v>126708.76080316056</v>
      </c>
      <c r="C76" s="186">
        <f>B76/B$2</f>
        <v>0.55204246295498116</v>
      </c>
      <c r="D76" s="180">
        <f>(D17+D63)/E16</f>
        <v>140950.3106358918</v>
      </c>
      <c r="E76" s="186">
        <f>D76/D$2</f>
        <v>0.74725849321895188</v>
      </c>
      <c r="F76" s="180">
        <f>(F17+F63)/G16</f>
        <v>127057.92094018699</v>
      </c>
      <c r="G76" s="186">
        <f>F76/F$2</f>
        <v>0.45557938964768357</v>
      </c>
      <c r="H76" s="180">
        <f>(H17+H63)/I16</f>
        <v>179812.36943999931</v>
      </c>
      <c r="I76" s="186">
        <f>H76/H$2</f>
        <v>0.91516392771719879</v>
      </c>
      <c r="J76" s="180">
        <f>(J17+J63)/K16</f>
        <v>150185.69292560514</v>
      </c>
      <c r="K76" s="186">
        <f>J76/J$2</f>
        <v>0.5596872076244751</v>
      </c>
      <c r="L76" s="180">
        <f>(L17+L63)/M16</f>
        <v>173096.52829790791</v>
      </c>
      <c r="M76" s="186">
        <f>L76/L$2</f>
        <v>0.7914163949099241</v>
      </c>
      <c r="N76" s="180">
        <f>(N17+N63)/O16</f>
        <v>152375.39877608116</v>
      </c>
      <c r="O76" s="186">
        <f>N76/N$2</f>
        <v>0.78120337958890051</v>
      </c>
      <c r="P76" s="180">
        <f>(P17+P63)/Q16</f>
        <v>148291.38921503222</v>
      </c>
      <c r="Q76" s="186">
        <f>P76/P$2</f>
        <v>0.66853227552897798</v>
      </c>
      <c r="R76" s="180">
        <f>(R17+R63)/S16</f>
        <v>118581.45371685128</v>
      </c>
      <c r="S76" s="186">
        <f>R76/R$2</f>
        <v>0.38547951046734469</v>
      </c>
      <c r="T76" s="180">
        <f>(T17+T63)/U16</f>
        <v>177347.22630614863</v>
      </c>
      <c r="U76" s="186">
        <f>T76/T$2</f>
        <v>0.75423377498546851</v>
      </c>
      <c r="V76" s="180">
        <f>(V17+V63)/W16</f>
        <v>149669.2917636277</v>
      </c>
      <c r="W76" s="186">
        <f>V76/V$2</f>
        <v>0.64229964084619195</v>
      </c>
      <c r="X76" s="180">
        <f>(X17+X63)/Y16</f>
        <v>161223.74671803616</v>
      </c>
      <c r="Y76" s="186">
        <f>X76/X$2</f>
        <v>0.68909623815298193</v>
      </c>
      <c r="Z76" s="502">
        <f>(B76+D76+F76+H76+J76+L76+N76+P76+R76+T76+V76+X76)/AE$2</f>
        <v>150441.67412821073</v>
      </c>
      <c r="AA76" s="186">
        <f t="shared" si="13"/>
        <v>0.6430985732162714</v>
      </c>
      <c r="AB76" s="180">
        <f>(AB17+AB63)/AC16</f>
        <v>1781762.3411016103</v>
      </c>
      <c r="AC76" s="179">
        <f>AB76/AB$2</f>
        <v>0.63471376643305411</v>
      </c>
      <c r="AD76" s="165"/>
      <c r="AE76" s="165"/>
    </row>
    <row r="77" spans="1:31" ht="14.4" x14ac:dyDescent="0.3">
      <c r="A77" s="181" t="s">
        <v>190</v>
      </c>
      <c r="B77" s="167">
        <f>B6+B17+B63</f>
        <v>149615.28000000003</v>
      </c>
      <c r="C77" s="186">
        <f>B77/B$2</f>
        <v>0.65184117612204573</v>
      </c>
      <c r="D77" s="167">
        <f>D6+D17+D63</f>
        <v>154319.06000000003</v>
      </c>
      <c r="E77" s="186">
        <f>D77/D$2</f>
        <v>0.81813390641226968</v>
      </c>
      <c r="F77" s="167">
        <f>F6+F17+F63</f>
        <v>150792.02999999997</v>
      </c>
      <c r="G77" s="186">
        <f>F77/F$2</f>
        <v>0.54068050604633222</v>
      </c>
      <c r="H77" s="167">
        <f>H63+H17+H6</f>
        <v>184820.65000000002</v>
      </c>
      <c r="I77" s="186">
        <f>H77/H$2</f>
        <v>0.94065381877794341</v>
      </c>
      <c r="J77" s="167">
        <f>J63+J17+J6</f>
        <v>171310.90999999997</v>
      </c>
      <c r="K77" s="186">
        <f>J77/J$2</f>
        <v>0.63841317362368477</v>
      </c>
      <c r="L77" s="167">
        <f>L63+L17+L6</f>
        <v>185429.91</v>
      </c>
      <c r="M77" s="186">
        <f>L77/L$2</f>
        <v>0.84780597464152252</v>
      </c>
      <c r="N77" s="167">
        <f>N63+N17+N6</f>
        <v>163253.12000000002</v>
      </c>
      <c r="O77" s="186">
        <f>N77/N$2</f>
        <v>0.83697165091489645</v>
      </c>
      <c r="P77" s="167">
        <f>P63+P17+P6</f>
        <v>161629.73000000001</v>
      </c>
      <c r="Q77" s="186">
        <f>P77/P$2</f>
        <v>0.72866463630836953</v>
      </c>
      <c r="R77" s="167">
        <f>R63+R17+R6</f>
        <v>145347.83999999997</v>
      </c>
      <c r="S77" s="186">
        <f>R77/R$2</f>
        <v>0.47249053249482859</v>
      </c>
      <c r="T77" s="167">
        <f>T63+T17+T6</f>
        <v>191911.06</v>
      </c>
      <c r="U77" s="186">
        <f>T77/T$2</f>
        <v>0.81617179056069855</v>
      </c>
      <c r="V77" s="167">
        <f>V63+V17+V6</f>
        <v>165576.03</v>
      </c>
      <c r="W77" s="186">
        <f>V77/V$2</f>
        <v>0.7105627570530344</v>
      </c>
      <c r="X77" s="167">
        <f>X63+X17+X6</f>
        <v>173750.65000000002</v>
      </c>
      <c r="Y77" s="186">
        <f>X77/X$2</f>
        <v>0.74263823865247691</v>
      </c>
      <c r="Z77" s="503">
        <f>(B77+D77+F77+H77+J77+L77+N77+P77+R77+T77+V77+X77)/AE$2</f>
        <v>166479.68916666668</v>
      </c>
      <c r="AA77" s="186">
        <f>Z77/Z$2</f>
        <v>0.7116568676398114</v>
      </c>
      <c r="AB77" s="167">
        <f>B77+D77+F77+H77+J77+L77+N77+P77+R77+T77+V77+X77</f>
        <v>1997756.27</v>
      </c>
      <c r="AC77" s="179">
        <f t="shared" si="37"/>
        <v>0.7407579496093436</v>
      </c>
      <c r="AD77" s="165"/>
      <c r="AE77" s="165"/>
    </row>
    <row r="78" spans="1:31" ht="14.4" x14ac:dyDescent="0.3">
      <c r="A78" s="202" t="s">
        <v>180</v>
      </c>
      <c r="B78" s="180"/>
      <c r="C78" s="200"/>
      <c r="D78" s="180"/>
      <c r="E78" s="200"/>
      <c r="F78" s="180"/>
      <c r="G78" s="200"/>
      <c r="H78" s="180"/>
      <c r="I78" s="200"/>
      <c r="J78" s="180"/>
      <c r="K78" s="200"/>
      <c r="L78" s="180"/>
      <c r="M78" s="200"/>
      <c r="N78" s="180"/>
      <c r="O78" s="200"/>
      <c r="P78" s="180"/>
      <c r="Q78" s="200"/>
      <c r="R78" s="228"/>
      <c r="S78" s="200"/>
      <c r="T78" s="180"/>
      <c r="U78" s="200"/>
      <c r="V78" s="180"/>
      <c r="W78" s="200"/>
      <c r="X78" s="180"/>
      <c r="Y78" s="200"/>
      <c r="Z78" s="503">
        <f>(B78+D78+F78+H78+J78+L78+N78+P78+R78+T78+V78+X78)/AE$2</f>
        <v>0</v>
      </c>
      <c r="AA78" s="200"/>
      <c r="AB78" s="504"/>
      <c r="AC78" s="200"/>
      <c r="AD78" s="165"/>
      <c r="AE78" s="165"/>
    </row>
    <row r="79" spans="1:31" ht="14.4" x14ac:dyDescent="0.3">
      <c r="A79" s="202" t="s">
        <v>211</v>
      </c>
      <c r="B79" s="505">
        <v>45000</v>
      </c>
      <c r="C79" s="185"/>
      <c r="D79" s="506">
        <v>185000</v>
      </c>
      <c r="E79" s="185"/>
      <c r="F79" s="505">
        <v>5000</v>
      </c>
      <c r="G79" s="185"/>
      <c r="H79" s="505">
        <v>5000</v>
      </c>
      <c r="I79" s="185"/>
      <c r="J79" s="505">
        <v>30000</v>
      </c>
      <c r="K79" s="185"/>
      <c r="L79" s="505">
        <v>80000</v>
      </c>
      <c r="M79" s="185"/>
      <c r="N79" s="505">
        <v>86000</v>
      </c>
      <c r="O79" s="185"/>
      <c r="P79" s="505">
        <v>30000</v>
      </c>
      <c r="Q79" s="185"/>
      <c r="R79" s="505">
        <v>195000</v>
      </c>
      <c r="S79" s="185">
        <f>R79/R$2</f>
        <v>0.63389764744004173</v>
      </c>
      <c r="T79" s="505">
        <v>205000</v>
      </c>
      <c r="U79" s="185"/>
      <c r="V79" s="505">
        <v>68500</v>
      </c>
      <c r="W79" s="185"/>
      <c r="X79" s="505">
        <v>65000</v>
      </c>
      <c r="Y79" s="185"/>
      <c r="Z79" s="507">
        <f>(B79+D79+F79+H79+J79+L79+N79+P79+R79+T79+V79+X79)/AE$2</f>
        <v>83291.666666666672</v>
      </c>
      <c r="AA79" s="185">
        <f>Z79/Z$2</f>
        <v>0.35604995959091224</v>
      </c>
      <c r="AB79" s="505">
        <f>L79+N79+P79+R79+T79+V79+X79+J79+H79+F79+D79+B79</f>
        <v>999500</v>
      </c>
      <c r="AC79" s="173">
        <f>AB79/AB$3</f>
        <v>0.37060955921041305</v>
      </c>
      <c r="AD79" s="165"/>
      <c r="AE79" s="165"/>
    </row>
    <row r="80" spans="1:31" ht="15" thickBot="1" x14ac:dyDescent="0.35">
      <c r="A80" s="203" t="s">
        <v>239</v>
      </c>
      <c r="B80" s="261">
        <f>B74-B78-B79</f>
        <v>34911.919999999998</v>
      </c>
      <c r="C80" s="201"/>
      <c r="D80" s="261">
        <f>D74-D78-D79</f>
        <v>-150695.82999999999</v>
      </c>
      <c r="E80" s="201"/>
      <c r="F80" s="261">
        <f>F74-F78-F79</f>
        <v>123101.01000000002</v>
      </c>
      <c r="G80" s="252"/>
      <c r="H80" s="261">
        <f>H74-H78-H79</f>
        <v>6660.3999999999796</v>
      </c>
      <c r="I80" s="252"/>
      <c r="J80" s="261">
        <f>J74-J78-J79</f>
        <v>67027.710000000021</v>
      </c>
      <c r="K80" s="252"/>
      <c r="L80" s="261">
        <f>L74-L78-L79</f>
        <v>-46712.520000000004</v>
      </c>
      <c r="M80" s="252"/>
      <c r="N80" s="261">
        <f>N74-N78-N79</f>
        <v>-54200.97000000003</v>
      </c>
      <c r="O80" s="252"/>
      <c r="P80" s="261">
        <f>P74-P78-P79</f>
        <v>30186.619999999995</v>
      </c>
      <c r="Q80" s="252"/>
      <c r="R80" s="261">
        <f>R74-R78-R79</f>
        <v>-32727.199999999924</v>
      </c>
      <c r="S80" s="252"/>
      <c r="T80" s="261">
        <f>T74-T78-T79</f>
        <v>-161775.44</v>
      </c>
      <c r="U80" s="252"/>
      <c r="V80" s="261">
        <f>V74-V78-V79</f>
        <v>-1055.0499999999884</v>
      </c>
      <c r="W80" s="252"/>
      <c r="X80" s="261">
        <f>X74-X78-X79</f>
        <v>-4786.6000000000276</v>
      </c>
      <c r="Y80" s="201"/>
      <c r="Z80" s="503">
        <f>(B80+D80+F80+H80+J80+L80+N80+P80+R80+T80+V80+X80)/AE$2</f>
        <v>-15838.829166666663</v>
      </c>
      <c r="AA80" s="201"/>
      <c r="AB80" s="261">
        <f>AB74-AB78-AB79</f>
        <v>-190065.94999999995</v>
      </c>
      <c r="AC80" s="201"/>
      <c r="AD80" s="165"/>
      <c r="AE80" s="165"/>
    </row>
    <row r="81" spans="1:31" ht="14.4" x14ac:dyDescent="0.3">
      <c r="A81" s="508" t="s">
        <v>213</v>
      </c>
      <c r="B81" s="509">
        <f>B80/B2</f>
        <v>0.15210362867668842</v>
      </c>
      <c r="C81" s="214"/>
      <c r="D81" s="509">
        <f>D80/D2</f>
        <v>-0.79892508467806422</v>
      </c>
      <c r="E81" s="214"/>
      <c r="F81" s="509">
        <f>F80/F2</f>
        <v>0.44139147395001338</v>
      </c>
      <c r="G81" s="296"/>
      <c r="H81" s="509">
        <f>H80/H2</f>
        <v>3.3898434480068081E-2</v>
      </c>
      <c r="I81" s="296"/>
      <c r="J81" s="509">
        <f>J80/J2</f>
        <v>0.24978778678969141</v>
      </c>
      <c r="K81" s="296"/>
      <c r="L81" s="509">
        <f>L80/L2</f>
        <v>-0.21357478708025915</v>
      </c>
      <c r="M81" s="296"/>
      <c r="N81" s="510">
        <f>N80/N2</f>
        <v>-0.27787937738702206</v>
      </c>
      <c r="O81" s="296"/>
      <c r="P81" s="510">
        <f>P80/P2</f>
        <v>0.13608834515580115</v>
      </c>
      <c r="Q81" s="296"/>
      <c r="R81" s="510">
        <f>R80/R2</f>
        <v>-0.10638817993487018</v>
      </c>
      <c r="S81" s="296"/>
      <c r="T81" s="510">
        <f>T80/T2</f>
        <v>-0.68800907323186511</v>
      </c>
      <c r="U81" s="296"/>
      <c r="V81" s="510">
        <f>V80/V2</f>
        <v>-4.5277039003096984E-3</v>
      </c>
      <c r="W81" s="296"/>
      <c r="X81" s="510">
        <f>X80/X2</f>
        <v>-2.0458698676142886E-2</v>
      </c>
      <c r="Y81" s="214"/>
      <c r="Z81" s="511">
        <f>Z80/Z2</f>
        <v>-6.7706827230723687E-2</v>
      </c>
      <c r="AA81" s="214"/>
      <c r="AB81" s="512">
        <f>AB80/AB2</f>
        <v>-6.7706827230723701E-2</v>
      </c>
      <c r="AC81" s="327"/>
      <c r="AD81" s="165"/>
      <c r="AE81" s="165"/>
    </row>
    <row r="82" spans="1:31" ht="14.4" x14ac:dyDescent="0.3">
      <c r="A82" s="513" t="s">
        <v>212</v>
      </c>
      <c r="B82" s="514">
        <f>(B17+B63+B79)/C16</f>
        <v>184607.87978137776</v>
      </c>
      <c r="C82" s="319"/>
      <c r="D82" s="514">
        <f>(D17+D63+D79)/E16</f>
        <v>398047.04500841897</v>
      </c>
      <c r="E82" s="320"/>
      <c r="F82" s="514">
        <f>(F17+F63+F79)/G16</f>
        <v>132984.30352920064</v>
      </c>
      <c r="G82" s="320"/>
      <c r="H82" s="514">
        <f>(H17+H63-H79)/I16</f>
        <v>172664.80993946726</v>
      </c>
      <c r="I82" s="320"/>
      <c r="J82" s="514">
        <f>(J17+J63-J79)/K16</f>
        <v>113653.98654778951</v>
      </c>
      <c r="K82" s="320"/>
      <c r="L82" s="514">
        <f>(L17+L63-L79)/M16</f>
        <v>63455.638204474293</v>
      </c>
      <c r="M82" s="320"/>
      <c r="N82" s="514">
        <f>(N17+N63-N79)/O16</f>
        <v>36956.764771929935</v>
      </c>
      <c r="O82" s="320"/>
      <c r="P82" s="514">
        <f>(P17+P63-P79)/Q16</f>
        <v>111642.8978468671</v>
      </c>
      <c r="Q82" s="320"/>
      <c r="R82" s="514">
        <f>(R17+R63-R79)/S16</f>
        <v>-108583.18093056955</v>
      </c>
      <c r="S82" s="320"/>
      <c r="T82" s="514">
        <f>(T17+T63-T79)/U16</f>
        <v>-96724.290147449326</v>
      </c>
      <c r="U82" s="320"/>
      <c r="V82" s="514">
        <f>(V17+V63-V79)/W16</f>
        <v>65013.722381613123</v>
      </c>
      <c r="W82" s="320"/>
      <c r="X82" s="514">
        <f>(X17+X63-X79)/Y16</f>
        <v>82701.030622820603</v>
      </c>
      <c r="Y82" s="319"/>
      <c r="Z82" s="515">
        <f>(B82+D82+F82+H82+J82+L82+N82+P82+R82+T82+V82+X82)/12</f>
        <v>96368.383962995023</v>
      </c>
      <c r="AA82" s="319"/>
      <c r="AB82" s="516">
        <f>(AB17+AB63+AB79)/AC16</f>
        <v>3047974.5357936183</v>
      </c>
      <c r="AC82" s="328"/>
      <c r="AD82" s="165"/>
      <c r="AE82" s="165"/>
    </row>
    <row r="83" spans="1:31" ht="15" thickBot="1" x14ac:dyDescent="0.35">
      <c r="A83" s="517" t="s">
        <v>214</v>
      </c>
      <c r="B83" s="518">
        <f>B77+B79</f>
        <v>194615.28000000003</v>
      </c>
      <c r="C83" s="218"/>
      <c r="D83" s="518">
        <f>D77+D79</f>
        <v>339319.06000000006</v>
      </c>
      <c r="E83" s="218"/>
      <c r="F83" s="518">
        <f>F77+F79</f>
        <v>155792.02999999997</v>
      </c>
      <c r="G83" s="255"/>
      <c r="H83" s="518">
        <f>H77+H79</f>
        <v>189820.65000000002</v>
      </c>
      <c r="I83" s="255"/>
      <c r="J83" s="518">
        <f>J77+J79</f>
        <v>201310.90999999997</v>
      </c>
      <c r="K83" s="255"/>
      <c r="L83" s="518">
        <f>L77+L79</f>
        <v>265429.91000000003</v>
      </c>
      <c r="M83" s="255"/>
      <c r="N83" s="518">
        <f>N77+N79</f>
        <v>249253.12000000002</v>
      </c>
      <c r="O83" s="255"/>
      <c r="P83" s="518">
        <f>P77+P79</f>
        <v>191629.73</v>
      </c>
      <c r="Q83" s="255"/>
      <c r="R83" s="518">
        <f>R77+R79</f>
        <v>340347.83999999997</v>
      </c>
      <c r="S83" s="255"/>
      <c r="T83" s="518">
        <f>T77+T79</f>
        <v>396911.06</v>
      </c>
      <c r="U83" s="255"/>
      <c r="V83" s="518">
        <f>V77+V79</f>
        <v>234076.03</v>
      </c>
      <c r="W83" s="255"/>
      <c r="X83" s="518">
        <f>X77+X79</f>
        <v>238750.65000000002</v>
      </c>
      <c r="Y83" s="218"/>
      <c r="Z83" s="519">
        <f>Z77+Z79</f>
        <v>249771.35583333333</v>
      </c>
      <c r="AA83" s="218"/>
      <c r="AB83" s="520">
        <f>AB77+AB79</f>
        <v>2997256.27</v>
      </c>
      <c r="AC83" s="329"/>
      <c r="AD83" s="165"/>
      <c r="AE83" s="165"/>
    </row>
    <row r="84" spans="1:31" ht="14.4" x14ac:dyDescent="0.3">
      <c r="A84" s="309"/>
      <c r="B84" s="308"/>
      <c r="C84" s="305"/>
      <c r="D84" s="308"/>
      <c r="E84" s="305"/>
      <c r="F84" s="308"/>
      <c r="G84" s="308"/>
      <c r="H84" s="308"/>
      <c r="I84" s="308"/>
      <c r="J84" s="308"/>
      <c r="K84" s="308"/>
      <c r="L84" s="308"/>
      <c r="M84" s="308"/>
      <c r="N84" s="308"/>
      <c r="O84" s="308"/>
      <c r="P84" s="308"/>
      <c r="Q84" s="308"/>
      <c r="R84" s="308"/>
      <c r="S84" s="308"/>
      <c r="T84" s="308"/>
      <c r="U84" s="308"/>
      <c r="V84" s="308"/>
      <c r="W84" s="308"/>
      <c r="X84" s="308"/>
      <c r="Y84" s="305"/>
      <c r="Z84" s="310"/>
      <c r="AA84" s="305"/>
      <c r="AB84" s="311"/>
      <c r="AC84" s="165"/>
      <c r="AD84" s="165"/>
      <c r="AE84" s="165"/>
    </row>
    <row r="85" spans="1:31" ht="14.4" x14ac:dyDescent="0.3">
      <c r="A85" s="206"/>
      <c r="B85" s="175"/>
      <c r="C85" s="165"/>
      <c r="D85" s="175"/>
      <c r="E85" s="16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65"/>
      <c r="Z85" s="312"/>
      <c r="AA85" s="165"/>
      <c r="AB85" s="307"/>
      <c r="AC85" s="165"/>
      <c r="AD85" s="165"/>
      <c r="AE85" s="165"/>
    </row>
    <row r="86" spans="1:31" ht="14.4" x14ac:dyDescent="0.3">
      <c r="A86" s="165"/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</row>
    <row r="87" spans="1:31" ht="14.4" x14ac:dyDescent="0.3">
      <c r="A87" s="521" t="s">
        <v>165</v>
      </c>
      <c r="B87" s="522">
        <f>SUM(B88:B90)</f>
        <v>153071.66999999998</v>
      </c>
      <c r="C87" s="208"/>
      <c r="D87" s="522">
        <f>SUM(D88:D90)</f>
        <v>102375.83999999997</v>
      </c>
      <c r="E87" s="208"/>
      <c r="F87" s="522">
        <f>SUM(F88:F90)</f>
        <v>110476.84999999998</v>
      </c>
      <c r="G87" s="208"/>
      <c r="H87" s="522">
        <f>SUM(H88:H90)</f>
        <v>87137.249999999956</v>
      </c>
      <c r="I87" s="208"/>
      <c r="J87" s="522">
        <f>SUM(J88:J90)</f>
        <v>148684.95999999993</v>
      </c>
      <c r="K87" s="208"/>
      <c r="L87" s="522">
        <f>SUM(L88:L90)</f>
        <v>107452.43999999992</v>
      </c>
      <c r="M87" s="208"/>
      <c r="N87" s="523">
        <f>SUM(N88:N90)</f>
        <v>63251.469999999936</v>
      </c>
      <c r="O87" s="208"/>
      <c r="P87" s="522">
        <f>SUM(P88:P90)</f>
        <v>93438.089999999924</v>
      </c>
      <c r="Q87" s="208"/>
      <c r="R87" s="522">
        <f>SUM(R88:R90)</f>
        <v>60710.879999999925</v>
      </c>
      <c r="S87" s="208"/>
      <c r="T87" s="522">
        <f>SUM(T88:T90)</f>
        <v>8935.4399999999423</v>
      </c>
      <c r="U87" s="208"/>
      <c r="V87" s="524">
        <f>SUM(V88:V90)</f>
        <v>68579.849999999948</v>
      </c>
      <c r="W87" s="208"/>
      <c r="X87" s="524">
        <f>SUM(X88:X90)</f>
        <v>70293.249999999956</v>
      </c>
      <c r="Y87" s="206"/>
      <c r="Z87" s="206"/>
      <c r="AA87" s="206"/>
      <c r="AB87" s="206"/>
      <c r="AC87" s="206"/>
      <c r="AD87" s="165"/>
      <c r="AE87" s="165"/>
    </row>
    <row r="88" spans="1:31" ht="14.4" x14ac:dyDescent="0.3">
      <c r="A88" s="219" t="s">
        <v>166</v>
      </c>
      <c r="B88" s="525">
        <v>25000</v>
      </c>
      <c r="C88" s="599"/>
      <c r="D88" s="217">
        <v>25000</v>
      </c>
      <c r="E88" s="165"/>
      <c r="F88" s="217">
        <v>18118.23</v>
      </c>
      <c r="G88" s="165"/>
      <c r="H88" s="223">
        <v>22678.45</v>
      </c>
      <c r="I88" s="165"/>
      <c r="J88" s="223">
        <v>6637.05</v>
      </c>
      <c r="K88" s="165"/>
      <c r="L88" s="217">
        <v>8387.67</v>
      </c>
      <c r="M88" s="165"/>
      <c r="N88" s="223">
        <v>17070.32</v>
      </c>
      <c r="O88" s="165"/>
      <c r="P88" s="223">
        <v>25000</v>
      </c>
      <c r="Q88" s="165"/>
      <c r="R88" s="223">
        <v>1416.5</v>
      </c>
      <c r="S88" s="165"/>
      <c r="T88" s="217">
        <v>5590.17</v>
      </c>
      <c r="U88" s="165"/>
      <c r="V88" s="263">
        <v>0</v>
      </c>
      <c r="W88" s="165"/>
      <c r="X88" s="218">
        <v>0</v>
      </c>
      <c r="Y88" s="165"/>
      <c r="Z88" s="165"/>
      <c r="AA88" s="165"/>
      <c r="AB88" s="165"/>
      <c r="AC88" s="165"/>
      <c r="AD88" s="165"/>
      <c r="AE88" s="165"/>
    </row>
    <row r="89" spans="1:31" ht="14.4" x14ac:dyDescent="0.3">
      <c r="A89" s="336" t="s">
        <v>167</v>
      </c>
      <c r="B89" s="526">
        <v>3.99</v>
      </c>
      <c r="C89" s="599"/>
      <c r="D89" s="338">
        <v>704.03</v>
      </c>
      <c r="E89" s="165"/>
      <c r="F89" s="338">
        <v>892.1</v>
      </c>
      <c r="G89" s="165"/>
      <c r="H89" s="339">
        <v>558.79</v>
      </c>
      <c r="I89" s="165"/>
      <c r="J89" s="339">
        <v>470.29</v>
      </c>
      <c r="K89" s="165"/>
      <c r="L89" s="338">
        <v>1289.29</v>
      </c>
      <c r="M89" s="165"/>
      <c r="N89" s="339">
        <v>0.11</v>
      </c>
      <c r="O89" s="165"/>
      <c r="P89" s="339">
        <v>812.23</v>
      </c>
      <c r="Q89" s="165"/>
      <c r="R89" s="339">
        <v>183.88</v>
      </c>
      <c r="S89" s="165"/>
      <c r="T89" s="338">
        <v>275.27</v>
      </c>
      <c r="U89" s="165"/>
      <c r="V89" s="341">
        <v>604.72</v>
      </c>
      <c r="W89" s="165"/>
      <c r="X89" s="527">
        <v>0.32</v>
      </c>
      <c r="Y89" s="165"/>
      <c r="Z89" s="165"/>
      <c r="AA89" s="165"/>
      <c r="AB89" s="165"/>
      <c r="AC89" s="165"/>
      <c r="AD89" s="165"/>
      <c r="AE89" s="165"/>
    </row>
    <row r="90" spans="1:31" ht="14.4" x14ac:dyDescent="0.3">
      <c r="A90" s="209" t="s">
        <v>215</v>
      </c>
      <c r="B90" s="528">
        <f>93812.93+137487.82-103233.07</f>
        <v>128067.68</v>
      </c>
      <c r="C90" s="600"/>
      <c r="D90" s="212">
        <f>B90+87337.23-138733.1</f>
        <v>76671.809999999969</v>
      </c>
      <c r="E90" s="210"/>
      <c r="F90" s="212">
        <f>D90+141573.7-126778.99</f>
        <v>91466.519999999975</v>
      </c>
      <c r="G90" s="210"/>
      <c r="H90" s="224">
        <f>F90+68363.12-95929.63</f>
        <v>63900.009999999951</v>
      </c>
      <c r="I90" s="210"/>
      <c r="J90" s="224">
        <f>H90+145944.69-68267.08</f>
        <v>141577.61999999994</v>
      </c>
      <c r="K90" s="210"/>
      <c r="L90" s="529">
        <f>J90+119484.8-163286.94</f>
        <v>97775.479999999923</v>
      </c>
      <c r="M90" s="210"/>
      <c r="N90" s="529">
        <f>L90+63910.35-115504.79</f>
        <v>46181.039999999935</v>
      </c>
      <c r="O90" s="210"/>
      <c r="P90" s="224">
        <f>N90+56940.45-35495.63</f>
        <v>67625.859999999928</v>
      </c>
      <c r="Q90" s="210"/>
      <c r="R90" s="224">
        <f>P90+81073.18-89588.54</f>
        <v>59110.499999999927</v>
      </c>
      <c r="S90" s="210"/>
      <c r="T90" s="212">
        <f>R90+112326.74-168367.24</f>
        <v>3069.9999999999418</v>
      </c>
      <c r="U90" s="210"/>
      <c r="V90" s="264">
        <f>T90+126019.32-61114.19</f>
        <v>67975.129999999946</v>
      </c>
      <c r="W90" s="210"/>
      <c r="X90" s="530">
        <f>V90+100419.34-98101.54</f>
        <v>70292.929999999949</v>
      </c>
      <c r="Y90" s="165"/>
      <c r="Z90" s="165"/>
      <c r="AA90" s="165"/>
      <c r="AB90" s="165"/>
      <c r="AC90" s="165"/>
      <c r="AD90" s="165"/>
      <c r="AE90" s="165"/>
    </row>
    <row r="91" spans="1:31" ht="14.4" x14ac:dyDescent="0.3">
      <c r="A91" s="205"/>
      <c r="B91" s="205"/>
      <c r="C91" s="205"/>
      <c r="D91" s="165"/>
      <c r="E91" s="165"/>
      <c r="F91" s="165"/>
      <c r="G91" s="165"/>
      <c r="H91" s="165"/>
      <c r="I91" s="165"/>
      <c r="J91" s="165"/>
      <c r="K91" s="165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</row>
    <row r="92" spans="1:31" ht="14.4" x14ac:dyDescent="0.3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5"/>
      <c r="AD92" s="165"/>
      <c r="AE92" s="165"/>
    </row>
    <row r="93" spans="1:31" ht="15" thickBot="1" x14ac:dyDescent="0.35">
      <c r="A93" s="206" t="s">
        <v>210</v>
      </c>
      <c r="B93" s="307">
        <f>SUM(B2)</f>
        <v>229527.2</v>
      </c>
      <c r="C93" s="206"/>
      <c r="D93" s="307">
        <f>SUM(D2)</f>
        <v>188623.23</v>
      </c>
      <c r="E93" s="206"/>
      <c r="F93" s="307">
        <f>SUM(F2)</f>
        <v>278893.03999999998</v>
      </c>
      <c r="G93" s="206"/>
      <c r="H93" s="307">
        <f>SUM(H2)</f>
        <v>196481.05</v>
      </c>
      <c r="I93" s="206"/>
      <c r="J93" s="307">
        <f>SUM(J2)</f>
        <v>268338.62</v>
      </c>
      <c r="K93" s="206"/>
      <c r="L93" s="307">
        <f>SUM(L2)</f>
        <v>218717.39</v>
      </c>
      <c r="M93" s="206"/>
      <c r="N93" s="307">
        <f>SUM(N2)</f>
        <v>195052.15</v>
      </c>
      <c r="O93" s="206"/>
      <c r="P93" s="307">
        <f>SUM(P2)</f>
        <v>221816.35</v>
      </c>
      <c r="Q93" s="206"/>
      <c r="R93" s="307">
        <f>SUM(R2)</f>
        <v>307620.64</v>
      </c>
      <c r="S93" s="206"/>
      <c r="T93" s="307">
        <f>SUM(T2)</f>
        <v>235135.62</v>
      </c>
      <c r="U93" s="206"/>
      <c r="V93" s="307">
        <f>SUM(V2)</f>
        <v>233020.98</v>
      </c>
      <c r="W93" s="206"/>
      <c r="X93" s="307">
        <f>SUM(X2)</f>
        <v>233964.05</v>
      </c>
      <c r="Y93" s="206"/>
      <c r="Z93" s="307">
        <f>SUM(Z2)</f>
        <v>233932.5266666667</v>
      </c>
      <c r="AA93" s="206"/>
      <c r="AB93" s="307">
        <f>SUM(AB2)</f>
        <v>2807190.32</v>
      </c>
      <c r="AC93" s="206"/>
      <c r="AD93" s="206"/>
      <c r="AE93" s="206"/>
    </row>
    <row r="94" spans="1:31" ht="14.4" x14ac:dyDescent="0.3">
      <c r="A94" s="304"/>
      <c r="B94" s="305"/>
      <c r="C94" s="305"/>
      <c r="D94" s="305"/>
      <c r="E94" s="305"/>
      <c r="F94" s="305"/>
      <c r="G94" s="305"/>
      <c r="H94" s="305"/>
      <c r="I94" s="305"/>
      <c r="J94" s="305"/>
      <c r="K94" s="305"/>
      <c r="L94" s="305"/>
      <c r="M94" s="305"/>
      <c r="N94" s="305"/>
      <c r="O94" s="305"/>
      <c r="P94" s="305"/>
      <c r="Q94" s="305"/>
      <c r="R94" s="305"/>
      <c r="S94" s="305"/>
      <c r="T94" s="305"/>
      <c r="U94" s="305"/>
      <c r="V94" s="305"/>
      <c r="W94" s="305"/>
      <c r="X94" s="305"/>
      <c r="Y94" s="305"/>
      <c r="Z94" s="305"/>
      <c r="AA94" s="305"/>
      <c r="AB94" s="305"/>
      <c r="AC94" s="165"/>
      <c r="AD94" s="165"/>
      <c r="AE94" s="165"/>
    </row>
    <row r="95" spans="1:31" ht="14.4" x14ac:dyDescent="0.3">
      <c r="A95" s="165"/>
      <c r="B95" s="165"/>
      <c r="C95" s="165"/>
      <c r="D95" s="165"/>
      <c r="E95" s="165"/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</row>
    <row r="96" spans="1:31" ht="14.4" x14ac:dyDescent="0.3">
      <c r="A96" s="165"/>
      <c r="B96" s="165"/>
      <c r="C96" s="165"/>
      <c r="D96" s="165"/>
      <c r="E96" s="165"/>
      <c r="F96" s="165"/>
      <c r="G96" s="165"/>
      <c r="H96" s="165"/>
      <c r="I96" s="165"/>
      <c r="J96" s="165"/>
      <c r="K96" s="165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  <c r="AD96" s="165"/>
      <c r="AE96" s="165"/>
    </row>
    <row r="97" spans="1:31" ht="14.4" x14ac:dyDescent="0.3">
      <c r="A97" s="531" t="s">
        <v>255</v>
      </c>
      <c r="B97" s="532" t="s">
        <v>168</v>
      </c>
      <c r="C97" s="165"/>
      <c r="D97" s="532" t="s">
        <v>169</v>
      </c>
      <c r="E97" s="165"/>
      <c r="F97" s="532" t="s">
        <v>170</v>
      </c>
      <c r="G97" s="165"/>
      <c r="H97" s="532" t="s">
        <v>171</v>
      </c>
      <c r="I97" s="165"/>
      <c r="J97" s="532" t="s">
        <v>172</v>
      </c>
      <c r="K97" s="165"/>
      <c r="L97" s="532" t="s">
        <v>173</v>
      </c>
      <c r="M97" s="165"/>
      <c r="N97" s="532" t="s">
        <v>174</v>
      </c>
      <c r="O97" s="165"/>
      <c r="P97" s="532" t="s">
        <v>175</v>
      </c>
      <c r="Q97" s="165"/>
      <c r="R97" s="532" t="s">
        <v>176</v>
      </c>
      <c r="S97" s="165"/>
      <c r="T97" s="532" t="s">
        <v>177</v>
      </c>
      <c r="U97" s="165"/>
      <c r="V97" s="532" t="s">
        <v>178</v>
      </c>
      <c r="W97" s="165"/>
      <c r="X97" s="532" t="s">
        <v>179</v>
      </c>
      <c r="Y97" s="165"/>
      <c r="Z97" s="532" t="s">
        <v>132</v>
      </c>
      <c r="AA97" s="165"/>
      <c r="AB97" s="165"/>
      <c r="AC97" s="165"/>
      <c r="AD97" s="165"/>
      <c r="AE97" s="165"/>
    </row>
    <row r="98" spans="1:31" ht="14.4" x14ac:dyDescent="0.3">
      <c r="A98" s="533" t="s">
        <v>242</v>
      </c>
      <c r="B98" s="534">
        <f>118159.74</f>
        <v>118159.74</v>
      </c>
      <c r="C98" s="165"/>
      <c r="D98" s="534">
        <f>B105</f>
        <v>153071.65999999997</v>
      </c>
      <c r="E98" s="165"/>
      <c r="F98" s="534">
        <f>D105</f>
        <v>102375.82999999999</v>
      </c>
      <c r="G98" s="165"/>
      <c r="H98" s="534">
        <f>F105</f>
        <v>110476.84</v>
      </c>
      <c r="I98" s="165"/>
      <c r="J98" s="534">
        <f>H105</f>
        <v>87137.239999999991</v>
      </c>
      <c r="K98" s="165"/>
      <c r="L98" s="534">
        <f>J105</f>
        <v>148684.95000000001</v>
      </c>
      <c r="M98" s="165"/>
      <c r="N98" s="534">
        <f>L105</f>
        <v>107452.43000000002</v>
      </c>
      <c r="O98" s="165"/>
      <c r="P98" s="534">
        <f>N105</f>
        <v>63251.459999999992</v>
      </c>
      <c r="Q98" s="165"/>
      <c r="R98" s="534">
        <f>P105</f>
        <v>93438.079999999987</v>
      </c>
      <c r="S98" s="165"/>
      <c r="T98" s="534">
        <f>R105</f>
        <v>60710.880000000063</v>
      </c>
      <c r="U98" s="165"/>
      <c r="V98" s="534">
        <f>T105</f>
        <v>8935.4300000000658</v>
      </c>
      <c r="W98" s="165"/>
      <c r="X98" s="534">
        <f>V105</f>
        <v>68580.380000000107</v>
      </c>
      <c r="Y98" s="165"/>
      <c r="Z98" s="534"/>
      <c r="AA98" s="165"/>
      <c r="AB98" s="165"/>
      <c r="AC98" s="165"/>
      <c r="AD98" s="165"/>
      <c r="AE98" s="165"/>
    </row>
    <row r="99" spans="1:31" ht="14.4" x14ac:dyDescent="0.3">
      <c r="A99" s="533" t="s">
        <v>224</v>
      </c>
      <c r="B99" s="534">
        <f>B2</f>
        <v>229527.2</v>
      </c>
      <c r="C99" s="165"/>
      <c r="D99" s="534">
        <f>D2</f>
        <v>188623.23</v>
      </c>
      <c r="E99" s="165"/>
      <c r="F99" s="534">
        <f>F3</f>
        <v>278893.03999999998</v>
      </c>
      <c r="G99" s="165"/>
      <c r="H99" s="377">
        <f>H3</f>
        <v>196481.05</v>
      </c>
      <c r="I99" s="165"/>
      <c r="J99" s="377">
        <f>J3</f>
        <v>268338.62</v>
      </c>
      <c r="K99" s="165"/>
      <c r="L99" s="377">
        <f>L2</f>
        <v>218717.39</v>
      </c>
      <c r="M99" s="165"/>
      <c r="N99" s="377">
        <f>N2</f>
        <v>195052.15</v>
      </c>
      <c r="O99" s="165"/>
      <c r="P99" s="377">
        <f>P2</f>
        <v>221816.35</v>
      </c>
      <c r="Q99" s="165"/>
      <c r="R99" s="377">
        <f>R2</f>
        <v>307620.64</v>
      </c>
      <c r="S99" s="165"/>
      <c r="T99" s="377">
        <f>T3</f>
        <v>235135.62</v>
      </c>
      <c r="U99" s="165"/>
      <c r="V99" s="377">
        <f>V3+V4</f>
        <v>233020.98</v>
      </c>
      <c r="W99" s="165"/>
      <c r="X99" s="377">
        <f>X3</f>
        <v>233964.05</v>
      </c>
      <c r="Y99" s="165"/>
      <c r="Z99" s="534">
        <f t="shared" ref="Z99:Z104" si="38">B99+D99+F99+H99+J99+L99+N99+P99+R99+T99+V99+X99</f>
        <v>2807190.3200000003</v>
      </c>
      <c r="AA99" s="165"/>
      <c r="AB99" s="165"/>
      <c r="AC99" s="165"/>
      <c r="AD99" s="165"/>
      <c r="AE99" s="165"/>
    </row>
    <row r="100" spans="1:31" ht="14.4" x14ac:dyDescent="0.3">
      <c r="A100" s="533" t="s">
        <v>226</v>
      </c>
      <c r="B100" s="534">
        <f>B77-B44-B38</f>
        <v>115873.38000000003</v>
      </c>
      <c r="C100" s="165"/>
      <c r="D100" s="534">
        <f>D77-D44-D38</f>
        <v>120156.89000000003</v>
      </c>
      <c r="E100" s="165"/>
      <c r="F100" s="534">
        <f>F77-F44-F38</f>
        <v>116629.85999999997</v>
      </c>
      <c r="G100" s="165"/>
      <c r="H100" s="534">
        <f>H77-H101-H102</f>
        <v>154107.08000000002</v>
      </c>
      <c r="I100" s="165"/>
      <c r="J100" s="534">
        <f>J77-J101-J102+1730+3750</f>
        <v>146061.73999999996</v>
      </c>
      <c r="K100" s="165"/>
      <c r="L100" s="534">
        <f>L77-L101-L102-3750-1730</f>
        <v>149220.74</v>
      </c>
      <c r="M100" s="165"/>
      <c r="N100" s="534">
        <f>N77-N101-N102</f>
        <v>132523.95000000001</v>
      </c>
      <c r="O100" s="165"/>
      <c r="P100" s="534">
        <f>P77-P101-P102</f>
        <v>130900.56</v>
      </c>
      <c r="Q100" s="165"/>
      <c r="R100" s="534">
        <f>R77-R101-R102</f>
        <v>114618.66999999995</v>
      </c>
      <c r="S100" s="165"/>
      <c r="T100" s="534">
        <f>T77-T101-T102+0.01</f>
        <v>161181.9</v>
      </c>
      <c r="U100" s="165"/>
      <c r="V100" s="534">
        <f>V77-V101-V102</f>
        <v>134846.85999999999</v>
      </c>
      <c r="W100" s="165"/>
      <c r="X100" s="534">
        <f>X77-X101-X102</f>
        <v>143021.48000000001</v>
      </c>
      <c r="Y100" s="165"/>
      <c r="Z100" s="534">
        <f t="shared" si="38"/>
        <v>1619143.1099999999</v>
      </c>
      <c r="AA100" s="165"/>
      <c r="AB100" s="165"/>
      <c r="AC100" s="165"/>
      <c r="AD100" s="165"/>
      <c r="AE100" s="165"/>
    </row>
    <row r="101" spans="1:31" ht="14.4" x14ac:dyDescent="0.3">
      <c r="A101" s="533" t="s">
        <v>243</v>
      </c>
      <c r="B101" s="534">
        <f>B38</f>
        <v>8741.9</v>
      </c>
      <c r="C101" s="165"/>
      <c r="D101" s="534">
        <f>D38</f>
        <v>9162.17</v>
      </c>
      <c r="E101" s="165"/>
      <c r="F101" s="534">
        <f>F38</f>
        <v>9162.17</v>
      </c>
      <c r="G101" s="165"/>
      <c r="H101" s="534">
        <f>H39</f>
        <v>5713.57</v>
      </c>
      <c r="I101" s="165"/>
      <c r="J101" s="534">
        <f>J39</f>
        <v>5729.17</v>
      </c>
      <c r="K101" s="165"/>
      <c r="L101" s="534">
        <f>L39</f>
        <v>5729.17</v>
      </c>
      <c r="M101" s="165"/>
      <c r="N101" s="534">
        <f>N39</f>
        <v>5729.17</v>
      </c>
      <c r="O101" s="165"/>
      <c r="P101" s="534">
        <f>P39</f>
        <v>5729.17</v>
      </c>
      <c r="Q101" s="165"/>
      <c r="R101" s="534">
        <f>R39</f>
        <v>5729.17</v>
      </c>
      <c r="S101" s="165"/>
      <c r="T101" s="534">
        <f>T39</f>
        <v>5729.17</v>
      </c>
      <c r="U101" s="165"/>
      <c r="V101" s="534">
        <f>V39</f>
        <v>5729.17</v>
      </c>
      <c r="W101" s="165"/>
      <c r="X101" s="534">
        <f>X39</f>
        <v>5729.17</v>
      </c>
      <c r="Y101" s="165"/>
      <c r="Z101" s="534">
        <f t="shared" si="38"/>
        <v>78613.169999999984</v>
      </c>
      <c r="AA101" s="165"/>
      <c r="AB101" s="165"/>
      <c r="AC101" s="165"/>
      <c r="AD101" s="165"/>
      <c r="AE101" s="165"/>
    </row>
    <row r="102" spans="1:31" ht="14.4" x14ac:dyDescent="0.3">
      <c r="A102" s="533" t="s">
        <v>244</v>
      </c>
      <c r="B102" s="534">
        <v>25000</v>
      </c>
      <c r="C102" s="165"/>
      <c r="D102" s="534">
        <v>25000</v>
      </c>
      <c r="E102" s="165"/>
      <c r="F102" s="534">
        <v>25000</v>
      </c>
      <c r="G102" s="165"/>
      <c r="H102" s="534">
        <v>25000</v>
      </c>
      <c r="I102" s="165"/>
      <c r="J102" s="534">
        <v>25000</v>
      </c>
      <c r="K102" s="165"/>
      <c r="L102" s="534">
        <v>25000</v>
      </c>
      <c r="M102" s="165"/>
      <c r="N102" s="534">
        <v>25000</v>
      </c>
      <c r="O102" s="165"/>
      <c r="P102" s="534">
        <v>25000</v>
      </c>
      <c r="Q102" s="165"/>
      <c r="R102" s="534">
        <v>25000</v>
      </c>
      <c r="S102" s="165"/>
      <c r="T102" s="534">
        <v>25000</v>
      </c>
      <c r="U102" s="165"/>
      <c r="V102" s="534">
        <v>25000</v>
      </c>
      <c r="W102" s="165"/>
      <c r="X102" s="534">
        <v>25000</v>
      </c>
      <c r="Y102" s="165"/>
      <c r="Z102" s="534">
        <f t="shared" si="38"/>
        <v>300000</v>
      </c>
      <c r="AA102" s="165"/>
      <c r="AB102" s="165"/>
      <c r="AC102" s="165"/>
      <c r="AD102" s="165"/>
      <c r="AE102" s="165"/>
    </row>
    <row r="103" spans="1:31" ht="14.4" x14ac:dyDescent="0.3">
      <c r="A103" s="533" t="s">
        <v>220</v>
      </c>
      <c r="B103" s="534">
        <v>45000</v>
      </c>
      <c r="C103" s="165"/>
      <c r="D103" s="534">
        <v>185000</v>
      </c>
      <c r="E103" s="165"/>
      <c r="F103" s="534">
        <v>5000</v>
      </c>
      <c r="G103" s="165"/>
      <c r="H103" s="534">
        <v>5000</v>
      </c>
      <c r="I103" s="165"/>
      <c r="J103" s="534">
        <v>30000</v>
      </c>
      <c r="K103" s="165"/>
      <c r="L103" s="534">
        <v>80000</v>
      </c>
      <c r="M103" s="165"/>
      <c r="N103" s="534">
        <v>86000</v>
      </c>
      <c r="O103" s="165"/>
      <c r="P103" s="534">
        <f>P79</f>
        <v>30000</v>
      </c>
      <c r="Q103" s="165"/>
      <c r="R103" s="534">
        <v>195000</v>
      </c>
      <c r="S103" s="165"/>
      <c r="T103" s="534">
        <f>T79</f>
        <v>205000</v>
      </c>
      <c r="U103" s="165"/>
      <c r="V103" s="534">
        <f>V79</f>
        <v>68500</v>
      </c>
      <c r="W103" s="165"/>
      <c r="X103" s="534">
        <f>X79</f>
        <v>65000</v>
      </c>
      <c r="Y103" s="165"/>
      <c r="Z103" s="534">
        <f t="shared" si="38"/>
        <v>999500</v>
      </c>
      <c r="AA103" s="165"/>
      <c r="AB103" s="165"/>
      <c r="AC103" s="165"/>
      <c r="AD103" s="165"/>
      <c r="AE103" s="165"/>
    </row>
    <row r="104" spans="1:31" ht="14.4" x14ac:dyDescent="0.3">
      <c r="A104" s="533" t="s">
        <v>245</v>
      </c>
      <c r="B104" s="534">
        <f>B78</f>
        <v>0</v>
      </c>
      <c r="C104" s="165"/>
      <c r="D104" s="534">
        <v>-100000</v>
      </c>
      <c r="E104" s="165"/>
      <c r="F104" s="534">
        <f>75000+40000</f>
        <v>115000</v>
      </c>
      <c r="G104" s="165"/>
      <c r="H104" s="534">
        <v>30000</v>
      </c>
      <c r="I104" s="165"/>
      <c r="J104" s="534"/>
      <c r="K104" s="165"/>
      <c r="L104" s="534">
        <f>L78</f>
        <v>0</v>
      </c>
      <c r="M104" s="165"/>
      <c r="N104" s="534">
        <v>-10000</v>
      </c>
      <c r="O104" s="165"/>
      <c r="P104" s="534">
        <f>P78</f>
        <v>0</v>
      </c>
      <c r="Q104" s="165"/>
      <c r="R104" s="534"/>
      <c r="S104" s="165"/>
      <c r="T104" s="534">
        <v>-110000</v>
      </c>
      <c r="U104" s="165"/>
      <c r="V104" s="534">
        <v>-60700</v>
      </c>
      <c r="W104" s="165"/>
      <c r="X104" s="534">
        <v>-6500</v>
      </c>
      <c r="Y104" s="165"/>
      <c r="Z104" s="534">
        <f t="shared" si="38"/>
        <v>-142200</v>
      </c>
      <c r="AA104" s="165"/>
      <c r="AB104" s="165"/>
      <c r="AC104" s="165"/>
      <c r="AD104" s="165"/>
      <c r="AE104" s="165"/>
    </row>
    <row r="105" spans="1:31" ht="14.4" x14ac:dyDescent="0.3">
      <c r="A105" s="535" t="s">
        <v>246</v>
      </c>
      <c r="B105" s="536">
        <f>B98+B99-B100-B101-B102-B104-B103</f>
        <v>153071.65999999997</v>
      </c>
      <c r="C105" s="165"/>
      <c r="D105" s="536">
        <f>D98+D99-D100-D101-D102-D103-D104</f>
        <v>102375.82999999999</v>
      </c>
      <c r="E105" s="165"/>
      <c r="F105" s="536">
        <f>F98+F99-F100-F101-F102-F103-F104</f>
        <v>110476.84</v>
      </c>
      <c r="G105" s="165"/>
      <c r="H105" s="536">
        <f>H98+H99-H100-H101-H102-H103-H104</f>
        <v>87137.239999999991</v>
      </c>
      <c r="I105" s="165"/>
      <c r="J105" s="536">
        <f>J98+J99-J100-J101-J102-J103-J104</f>
        <v>148684.95000000001</v>
      </c>
      <c r="K105" s="165"/>
      <c r="L105" s="536">
        <f>L98+L99-L100-L101-L102-L103-L104</f>
        <v>107452.43000000002</v>
      </c>
      <c r="M105" s="165"/>
      <c r="N105" s="536">
        <f>N98+N99-N100-N101-N102-N103-N104</f>
        <v>63251.459999999992</v>
      </c>
      <c r="O105" s="165"/>
      <c r="P105" s="536">
        <f>P98+P99-P100-P101-P102-P103-P104</f>
        <v>93438.079999999987</v>
      </c>
      <c r="Q105" s="165"/>
      <c r="R105" s="536">
        <f>R98+R99-R100-R101-R102-R103-R104</f>
        <v>60710.880000000063</v>
      </c>
      <c r="S105" s="165"/>
      <c r="T105" s="536">
        <f>T98+T99-T100-T101-T102-T103-T104</f>
        <v>8935.4300000000658</v>
      </c>
      <c r="U105" s="165"/>
      <c r="V105" s="536">
        <f>V98+V99-V100-V101-V102-V103-V104</f>
        <v>68580.380000000107</v>
      </c>
      <c r="W105" s="165"/>
      <c r="X105" s="536">
        <f>X98+X99-X100-X101-X102-X103-X104</f>
        <v>70293.780000000086</v>
      </c>
      <c r="Y105" s="165"/>
      <c r="Z105" s="536">
        <f>Z98+Z99-Z100-Z101-Z102-Z103-Z104</f>
        <v>-47865.959999999497</v>
      </c>
      <c r="AA105" s="165"/>
      <c r="AB105" s="165"/>
      <c r="AC105" s="165"/>
      <c r="AD105" s="165"/>
      <c r="AE105" s="165"/>
    </row>
    <row r="106" spans="1:31" ht="14.4" x14ac:dyDescent="0.3">
      <c r="A106" s="165"/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 t="s">
        <v>256</v>
      </c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  <c r="AA106" s="165"/>
      <c r="AB106" s="165"/>
      <c r="AC106" s="165"/>
      <c r="AD106" s="165"/>
      <c r="AE106" s="165"/>
    </row>
    <row r="107" spans="1:31" x14ac:dyDescent="0.25">
      <c r="V107" s="537">
        <f>V105-V87</f>
        <v>0.53000000015890691</v>
      </c>
      <c r="X107" s="537">
        <f>X105-X87</f>
        <v>0.53000000012980308</v>
      </c>
    </row>
    <row r="113" spans="18:18" x14ac:dyDescent="0.25">
      <c r="R113">
        <f>2800+900</f>
        <v>3700</v>
      </c>
    </row>
  </sheetData>
  <protectedRanges>
    <protectedRange algorithmName="SHA-512" hashValue="KiP8vB2P0y7yMy9S7nNcjUu9byIf+jQ/6dXJiUCJBkcoOq/dvHzW+F8dBDUPpOUaErAMTbnnddRa1jMvEiSlAQ==" saltValue="7TY3ln36oRVa6uwwWG8evw==" spinCount="100000" sqref="A2:AE2" name="Intervalo1"/>
  </protectedRanges>
  <mergeCells count="1">
    <mergeCell ref="C88:C90"/>
  </mergeCells>
  <conditionalFormatting sqref="F80:X81 B80:B85 D80:D85 E82:X82 F83:X85">
    <cfRule type="cellIs" dxfId="7" priority="2" operator="lessThan">
      <formula>0</formula>
    </cfRule>
  </conditionalFormatting>
  <conditionalFormatting sqref="Z74:AC75 B74:Y77 AB76:AC77">
    <cfRule type="cellIs" dxfId="6" priority="3" operator="lessThan">
      <formula>0</formula>
    </cfRule>
  </conditionalFormatting>
  <conditionalFormatting sqref="AA74:AA75">
    <cfRule type="cellIs" dxfId="5" priority="1" operator="greaterThan">
      <formula>0.9961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76E3-817A-4794-BED4-3E34B38F38FD}">
  <sheetPr>
    <tabColor theme="5" tint="0.39997558519241921"/>
  </sheetPr>
  <dimension ref="A1:AC44"/>
  <sheetViews>
    <sheetView topLeftCell="A4" workbookViewId="0">
      <pane xSplit="2" ySplit="1" topLeftCell="H5" activePane="bottomRight" state="frozen"/>
      <selection activeCell="A4" sqref="A4"/>
      <selection pane="topRight" activeCell="C4" sqref="C4"/>
      <selection pane="bottomLeft" activeCell="A5" sqref="A5"/>
      <selection pane="bottomRight" activeCell="L30" sqref="L30"/>
    </sheetView>
  </sheetViews>
  <sheetFormatPr defaultColWidth="10.33203125" defaultRowHeight="16.5" customHeight="1" x14ac:dyDescent="0.25"/>
  <cols>
    <col min="1" max="1" width="4.6640625" style="543" customWidth="1"/>
    <col min="2" max="2" width="29.109375" style="543" customWidth="1"/>
    <col min="3" max="3" width="16.6640625" style="543" customWidth="1"/>
    <col min="4" max="4" width="15.6640625" style="543" customWidth="1"/>
    <col min="5" max="5" width="8.6640625" style="547" customWidth="1"/>
    <col min="6" max="6" width="16.88671875" style="543" customWidth="1"/>
    <col min="7" max="7" width="8.88671875" style="547" customWidth="1"/>
    <col min="8" max="8" width="17.5546875" style="543" customWidth="1"/>
    <col min="9" max="9" width="7.33203125" style="547" customWidth="1"/>
    <col min="10" max="10" width="16.33203125" style="543" customWidth="1"/>
    <col min="11" max="11" width="9.44140625" style="543" customWidth="1"/>
    <col min="12" max="12" width="16.109375" style="543" customWidth="1"/>
    <col min="13" max="13" width="8.6640625" style="543" customWidth="1"/>
    <col min="14" max="14" width="18" style="543" customWidth="1"/>
    <col min="15" max="15" width="11.44140625" style="543" customWidth="1"/>
    <col min="16" max="26" width="10.33203125" style="543"/>
    <col min="27" max="27" width="6.88671875" style="543" customWidth="1"/>
    <col min="28" max="28" width="5" style="543" customWidth="1"/>
    <col min="29" max="16384" width="10.33203125" style="543"/>
  </cols>
  <sheetData>
    <row r="1" spans="1:28" ht="19.2" x14ac:dyDescent="0.35">
      <c r="A1" s="538"/>
      <c r="B1" s="605" t="s">
        <v>257</v>
      </c>
      <c r="C1" s="605"/>
      <c r="D1" s="605"/>
      <c r="E1" s="540"/>
      <c r="F1" s="539"/>
      <c r="G1" s="540"/>
      <c r="H1" s="539"/>
      <c r="I1" s="540"/>
      <c r="J1" s="539"/>
      <c r="K1" s="539"/>
      <c r="L1" s="539"/>
      <c r="M1" s="539"/>
      <c r="N1" s="541"/>
      <c r="O1" s="606"/>
      <c r="P1" s="606"/>
      <c r="Q1" s="606"/>
      <c r="R1" s="606"/>
      <c r="S1" s="606"/>
      <c r="T1" s="606"/>
      <c r="U1" s="606"/>
      <c r="V1" s="606"/>
      <c r="W1" s="606"/>
      <c r="X1" s="606"/>
      <c r="Y1" s="606"/>
      <c r="Z1" s="606"/>
      <c r="AA1" s="606"/>
      <c r="AB1" s="542"/>
    </row>
    <row r="2" spans="1:28" ht="37.200000000000003" x14ac:dyDescent="0.6">
      <c r="A2" s="538"/>
      <c r="B2" s="544" t="s">
        <v>258</v>
      </c>
      <c r="C2" s="545"/>
      <c r="D2" s="545"/>
      <c r="E2" s="546"/>
      <c r="F2" s="545"/>
      <c r="G2" s="546"/>
      <c r="H2" s="545"/>
      <c r="I2" s="546"/>
      <c r="J2" s="545"/>
      <c r="K2" s="545"/>
      <c r="L2" s="545"/>
      <c r="M2" s="545"/>
      <c r="N2" s="541"/>
      <c r="O2" s="606"/>
      <c r="P2" s="606"/>
      <c r="Q2" s="606"/>
      <c r="R2" s="606"/>
      <c r="S2" s="606"/>
      <c r="T2" s="606"/>
      <c r="U2" s="606"/>
      <c r="V2" s="606"/>
      <c r="W2" s="606"/>
      <c r="X2" s="606"/>
      <c r="Y2" s="606"/>
      <c r="Z2" s="606"/>
      <c r="AA2" s="606"/>
      <c r="AB2" s="542"/>
    </row>
    <row r="3" spans="1:28" ht="13.2" x14ac:dyDescent="0.25">
      <c r="AB3" s="542"/>
    </row>
    <row r="4" spans="1:28" s="548" customFormat="1" ht="20.399999999999999" thickBot="1" x14ac:dyDescent="0.35">
      <c r="B4" s="549" t="s">
        <v>259</v>
      </c>
      <c r="C4" s="550" t="s">
        <v>260</v>
      </c>
      <c r="D4" s="550" t="s">
        <v>261</v>
      </c>
      <c r="E4" s="551" t="s">
        <v>262</v>
      </c>
      <c r="F4" s="550" t="s">
        <v>263</v>
      </c>
      <c r="G4" s="551" t="s">
        <v>264</v>
      </c>
      <c r="H4" s="550" t="s">
        <v>265</v>
      </c>
      <c r="I4" s="551" t="s">
        <v>266</v>
      </c>
      <c r="J4" s="550" t="s">
        <v>267</v>
      </c>
      <c r="K4" s="551" t="s">
        <v>272</v>
      </c>
      <c r="L4" s="562" t="s">
        <v>274</v>
      </c>
      <c r="M4" s="551" t="s">
        <v>273</v>
      </c>
      <c r="N4" s="564" t="s">
        <v>275</v>
      </c>
      <c r="O4" s="583" t="s">
        <v>280</v>
      </c>
      <c r="AB4" s="552"/>
    </row>
    <row r="5" spans="1:28" s="569" customFormat="1" ht="15" thickTop="1" x14ac:dyDescent="0.3">
      <c r="B5" s="565" t="s">
        <v>210</v>
      </c>
      <c r="C5" s="577">
        <v>369928.42</v>
      </c>
      <c r="D5" s="577">
        <v>910084.6100000001</v>
      </c>
      <c r="E5" s="578">
        <f>(Tabela25[[#This Row],[2019]]-Tabela25[[#This Row],[2018]])/Tabela25[[#This Row],[2018]]</f>
        <v>1.4601640771476823</v>
      </c>
      <c r="F5" s="577">
        <v>1131510.6099999999</v>
      </c>
      <c r="G5" s="578">
        <f>(Tabela25[[#This Row],[2020]]-Tabela25[[#This Row],[2019]])/Tabela25[[#This Row],[2019]]</f>
        <v>0.24330265292586339</v>
      </c>
      <c r="H5" s="577">
        <v>2036810.95</v>
      </c>
      <c r="I5" s="578">
        <f>(Tabela25[[#This Row],[2021]]-Tabela25[[#This Row],[2020]])/Tabela25[[#This Row],[2020]]</f>
        <v>0.80008117643722332</v>
      </c>
      <c r="J5" s="577">
        <v>2895603.23</v>
      </c>
      <c r="K5" s="578">
        <f>(Tabela25[[#This Row],[2022]]-Tabela25[[#This Row],[2021]])/Tabela25[[#This Row],[2021]]</f>
        <v>0.42163573403805593</v>
      </c>
      <c r="L5" s="577">
        <v>2807190.32</v>
      </c>
      <c r="M5" s="578">
        <f>(Tabela25[[#This Row],[2023]]-Tabela25[[#This Row],[2022]])/Tabela25[[#This Row],[2022]]</f>
        <v>-3.0533503031076586E-2</v>
      </c>
      <c r="N5" s="586">
        <f>[1]Resultado!$AB$2</f>
        <v>2601824.0999999996</v>
      </c>
      <c r="O5" s="584">
        <f>(Tabela25[[#This Row],[2024]]-Tabela25[[#This Row],[2023]])/Tabela25[[#This Row],[2023]]</f>
        <v>-7.3157212938807878E-2</v>
      </c>
      <c r="AB5" s="570"/>
    </row>
    <row r="6" spans="1:28" s="571" customFormat="1" ht="14.4" x14ac:dyDescent="0.3">
      <c r="B6" s="565" t="s">
        <v>105</v>
      </c>
      <c r="C6" s="567">
        <v>31737.530000000002</v>
      </c>
      <c r="D6" s="567">
        <v>99598.209999999992</v>
      </c>
      <c r="E6" s="554">
        <f>(Tabela25[[#This Row],[2019]]-Tabela25[[#This Row],[2018]])/Tabela25[[#This Row],[2018]]</f>
        <v>2.1381840363758613</v>
      </c>
      <c r="F6" s="567">
        <v>134063.82</v>
      </c>
      <c r="G6" s="554">
        <f>(Tabela25[[#This Row],[2020]]-Tabela25[[#This Row],[2019]])/Tabela25[[#This Row],[2019]]</f>
        <v>0.34604648015260531</v>
      </c>
      <c r="H6" s="567">
        <v>261932.2</v>
      </c>
      <c r="I6" s="554">
        <f>(Tabela25[[#This Row],[2021]]-Tabela25[[#This Row],[2020]])/Tabela25[[#This Row],[2020]]</f>
        <v>0.95378738275546671</v>
      </c>
      <c r="J6" s="567">
        <v>486710.12</v>
      </c>
      <c r="K6" s="554">
        <f>(Tabela25[[#This Row],[2022]]-Tabela25[[#This Row],[2021]])/Tabela25[[#This Row],[2021]]</f>
        <v>0.85815306403718206</v>
      </c>
      <c r="L6" s="567">
        <v>591300.49</v>
      </c>
      <c r="M6" s="554">
        <f>(Tabela25[[#This Row],[2023]]-Tabela25[[#This Row],[2022]])/Tabela25[[#This Row],[2022]]</f>
        <v>0.21489253192434132</v>
      </c>
      <c r="N6" s="589">
        <f>[1]Resultado!$AB$6</f>
        <v>533905.94479999994</v>
      </c>
      <c r="O6" s="585">
        <f>(Tabela25[[#This Row],[2024]]-Tabela25[[#This Row],[2023]])/Tabela25[[#This Row],[2023]]</f>
        <v>-9.7064937659699979E-2</v>
      </c>
      <c r="AB6" s="572"/>
    </row>
    <row r="7" spans="1:28" ht="14.4" x14ac:dyDescent="0.3">
      <c r="B7" s="566" t="s">
        <v>48</v>
      </c>
      <c r="C7" s="568">
        <v>23756.67</v>
      </c>
      <c r="D7" s="568">
        <v>80494.91</v>
      </c>
      <c r="E7" s="557">
        <f>(Tabela25[[#This Row],[2019]]-Tabela25[[#This Row],[2018]])/Tabela25[[#This Row],[2018]]</f>
        <v>2.3883077889283308</v>
      </c>
      <c r="F7" s="568">
        <v>121619.69</v>
      </c>
      <c r="G7" s="557">
        <f>(Tabela25[[#This Row],[2020]]-Tabela25[[#This Row],[2019]])/Tabela25[[#This Row],[2019]]</f>
        <v>0.5108991363553298</v>
      </c>
      <c r="H7" s="568">
        <v>240978.23</v>
      </c>
      <c r="I7" s="557">
        <f>(Tabela25[[#This Row],[2021]]-Tabela25[[#This Row],[2020]])/Tabela25[[#This Row],[2020]]</f>
        <v>0.98140802694037454</v>
      </c>
      <c r="J7" s="568">
        <v>385775.7</v>
      </c>
      <c r="K7" s="557">
        <f>(Tabela25[[#This Row],[2022]]-Tabela25[[#This Row],[2021]])/Tabela25[[#This Row],[2021]]</f>
        <v>0.60087365568250706</v>
      </c>
      <c r="L7" s="568">
        <v>433282.76</v>
      </c>
      <c r="M7" s="557">
        <f>(Tabela25[[#This Row],[2023]]-Tabela25[[#This Row],[2022]])/Tabela25[[#This Row],[2022]]</f>
        <v>0.12314684413766859</v>
      </c>
      <c r="N7" s="590">
        <f>[1]Resultado!$AB$7</f>
        <v>409700.74479999999</v>
      </c>
      <c r="O7" s="585">
        <f>(Tabela25[[#This Row],[2024]]-Tabela25[[#This Row],[2023]])/Tabela25[[#This Row],[2023]]</f>
        <v>-5.4426387054956962E-2</v>
      </c>
      <c r="AB7" s="542"/>
    </row>
    <row r="8" spans="1:28" ht="14.4" x14ac:dyDescent="0.3">
      <c r="B8" s="566" t="s">
        <v>27</v>
      </c>
      <c r="C8" s="568">
        <v>2590.15</v>
      </c>
      <c r="D8" s="568">
        <v>19103.3</v>
      </c>
      <c r="E8" s="557">
        <f>(Tabela25[[#This Row],[2019]]-Tabela25[[#This Row],[2018]])/Tabela25[[#This Row],[2018]]</f>
        <v>6.3753643611373851</v>
      </c>
      <c r="F8" s="568">
        <v>12444.13</v>
      </c>
      <c r="G8" s="557">
        <f>(Tabela25[[#This Row],[2020]]-Tabela25[[#This Row],[2019]])/Tabela25[[#This Row],[2019]]</f>
        <v>-0.34858741683374078</v>
      </c>
      <c r="H8" s="568">
        <v>20953.97</v>
      </c>
      <c r="I8" s="557">
        <f>(Tabela25[[#This Row],[2021]]-Tabela25[[#This Row],[2020]])/Tabela25[[#This Row],[2020]]</f>
        <v>0.68384370783654647</v>
      </c>
      <c r="J8" s="568">
        <v>100934.42</v>
      </c>
      <c r="K8" s="557">
        <f>(Tabela25[[#This Row],[2022]]-Tabela25[[#This Row],[2021]])/Tabela25[[#This Row],[2021]]</f>
        <v>3.8169592683391258</v>
      </c>
      <c r="L8" s="568">
        <v>158017.73000000001</v>
      </c>
      <c r="M8" s="557">
        <f>(Tabela25[[#This Row],[2023]]-Tabela25[[#This Row],[2022]])/Tabela25[[#This Row],[2022]]</f>
        <v>0.56554850169050375</v>
      </c>
      <c r="N8" s="590">
        <f>[1]Resultado!$AB$8</f>
        <v>3744.98</v>
      </c>
      <c r="O8" s="585">
        <f>(Tabela25[[#This Row],[2024]]-Tabela25[[#This Row],[2023]])/Tabela25[[#This Row],[2023]]</f>
        <v>-0.97630025440816037</v>
      </c>
      <c r="AB8" s="542"/>
    </row>
    <row r="9" spans="1:28" ht="14.4" x14ac:dyDescent="0.3">
      <c r="B9" s="566" t="s">
        <v>8</v>
      </c>
      <c r="C9" s="568">
        <v>303754.39999999991</v>
      </c>
      <c r="D9" s="568">
        <v>809962.79000000015</v>
      </c>
      <c r="E9" s="557">
        <f>(Tabela25[[#This Row],[2019]]-Tabela25[[#This Row],[2018]])/Tabela25[[#This Row],[2018]]</f>
        <v>1.6665055386852023</v>
      </c>
      <c r="F9" s="568">
        <v>997446.7899999998</v>
      </c>
      <c r="G9" s="557">
        <f>(Tabela25[[#This Row],[2020]]-Tabela25[[#This Row],[2019]])/Tabela25[[#This Row],[2019]]</f>
        <v>0.23147236183528827</v>
      </c>
      <c r="H9" s="568">
        <v>1774878.75</v>
      </c>
      <c r="I9" s="557">
        <f>(Tabela25[[#This Row],[2021]]-Tabela25[[#This Row],[2020]])/Tabela25[[#This Row],[2020]]</f>
        <v>0.77942198801401763</v>
      </c>
      <c r="J9" s="568">
        <v>2408893.11</v>
      </c>
      <c r="K9" s="557">
        <f>(Tabela25[[#This Row],[2022]]-Tabela25[[#This Row],[2021]])/Tabela25[[#This Row],[2021]]</f>
        <v>0.35721559007904052</v>
      </c>
      <c r="L9" s="568">
        <v>2215889.83</v>
      </c>
      <c r="M9" s="557">
        <f>(Tabela25[[#This Row],[2023]]-Tabela25[[#This Row],[2022]])/Tabela25[[#This Row],[2022]]</f>
        <v>-8.0121147426088904E-2</v>
      </c>
      <c r="N9" s="590">
        <f>[1]Resultado!$AB$14</f>
        <v>1500</v>
      </c>
      <c r="O9" s="585">
        <f>(Tabela25[[#This Row],[2024]]-Tabela25[[#This Row],[2023]])/Tabela25[[#This Row],[2023]]</f>
        <v>-0.99932307103914098</v>
      </c>
      <c r="AB9" s="542"/>
    </row>
    <row r="10" spans="1:28" s="571" customFormat="1" ht="14.4" x14ac:dyDescent="0.3">
      <c r="B10" s="565" t="s">
        <v>106</v>
      </c>
      <c r="C10" s="577">
        <v>146702.54999999996</v>
      </c>
      <c r="D10" s="577">
        <v>576124.63</v>
      </c>
      <c r="E10" s="578">
        <f>(Tabela25[[#This Row],[2019]]-Tabela25[[#This Row],[2018]])/Tabela25[[#This Row],[2018]]</f>
        <v>2.9271616614707803</v>
      </c>
      <c r="F10" s="577">
        <f>'2020'!AB15</f>
        <v>552253.89999999991</v>
      </c>
      <c r="G10" s="578">
        <f>(Tabela25[[#This Row],[2020]]-Tabela25[[#This Row],[2019]])/Tabela25[[#This Row],[2019]]</f>
        <v>-4.1433274602406943E-2</v>
      </c>
      <c r="H10" s="577">
        <v>877988.83</v>
      </c>
      <c r="I10" s="578">
        <f>(Tabela25[[#This Row],[2021]]-Tabela25[[#This Row],[2020]])/Tabela25[[#This Row],[2020]]</f>
        <v>0.5898282112629718</v>
      </c>
      <c r="J10" s="577">
        <v>1288971.8500000001</v>
      </c>
      <c r="K10" s="578">
        <f>(Tabela25[[#This Row],[2022]]-Tabela25[[#This Row],[2021]])/Tabela25[[#This Row],[2021]]</f>
        <v>0.46809595516152541</v>
      </c>
      <c r="L10" s="577">
        <v>1308821.58</v>
      </c>
      <c r="M10" s="578">
        <f>(Tabela25[[#This Row],[2023]]-Tabela25[[#This Row],[2022]])/Tabela25[[#This Row],[2022]]</f>
        <v>1.5399661365762162E-2</v>
      </c>
      <c r="N10" s="586">
        <f>[1]Resultado!$AB$15</f>
        <v>20741.849999999999</v>
      </c>
      <c r="O10" s="584">
        <f>(Tabela25[[#This Row],[2024]]-Tabela25[[#This Row],[2023]])/Tabela25[[#This Row],[2023]]</f>
        <v>-0.98415227077780909</v>
      </c>
      <c r="AB10" s="572"/>
    </row>
    <row r="11" spans="1:28" ht="14.4" x14ac:dyDescent="0.3">
      <c r="B11" s="566" t="s">
        <v>123</v>
      </c>
      <c r="C11" s="568">
        <v>61994.41</v>
      </c>
      <c r="D11" s="568">
        <v>233025.26</v>
      </c>
      <c r="E11" s="557">
        <f>(Tabela25[[#This Row],[2019]]-Tabela25[[#This Row],[2018]])/Tabela25[[#This Row],[2018]]</f>
        <v>2.7588108347188078</v>
      </c>
      <c r="F11" s="568">
        <v>258037.1</v>
      </c>
      <c r="G11" s="557">
        <f>(Tabela25[[#This Row],[2020]]-Tabela25[[#This Row],[2019]])/Tabela25[[#This Row],[2019]]</f>
        <v>0.10733531635154059</v>
      </c>
      <c r="H11" s="568">
        <v>498576.09</v>
      </c>
      <c r="I11" s="557">
        <f>(Tabela25[[#This Row],[2021]]-Tabela25[[#This Row],[2020]])/Tabela25[[#This Row],[2020]]</f>
        <v>0.93218761953223006</v>
      </c>
      <c r="J11" s="568">
        <v>749132.49</v>
      </c>
      <c r="K11" s="557">
        <f>(Tabela25[[#This Row],[2022]]-Tabela25[[#This Row],[2021]])/Tabela25[[#This Row],[2021]]</f>
        <v>0.50254395472514524</v>
      </c>
      <c r="L11" s="568">
        <v>725339.54</v>
      </c>
      <c r="M11" s="557">
        <f>(Tabela25[[#This Row],[2023]]-Tabela25[[#This Row],[2022]])/Tabela25[[#This Row],[2022]]</f>
        <v>-3.1760670265415875E-2</v>
      </c>
      <c r="N11" s="590">
        <f>[1]Resultado!$AB$21</f>
        <v>18719.469999999998</v>
      </c>
      <c r="O11" s="585">
        <f>(Tabela25[[#This Row],[2024]]-Tabela25[[#This Row],[2023]])/Tabela25[[#This Row],[2023]]</f>
        <v>-0.97419212800669885</v>
      </c>
      <c r="AB11" s="542"/>
    </row>
    <row r="12" spans="1:28" ht="14.4" x14ac:dyDescent="0.3">
      <c r="B12" s="566" t="s">
        <v>243</v>
      </c>
      <c r="C12" s="568">
        <v>31586.240000000002</v>
      </c>
      <c r="D12" s="568">
        <v>75287.100000000006</v>
      </c>
      <c r="E12" s="557">
        <f>(Tabela25[[#This Row],[2019]]-Tabela25[[#This Row],[2018]])/Tabela25[[#This Row],[2018]]</f>
        <v>1.3835410609176653</v>
      </c>
      <c r="F12" s="568">
        <v>86634.83</v>
      </c>
      <c r="G12" s="557">
        <f>(Tabela25[[#This Row],[2020]]-Tabela25[[#This Row],[2019]])/Tabela25[[#This Row],[2019]]</f>
        <v>0.15072608720484645</v>
      </c>
      <c r="H12" s="568">
        <v>92488.23</v>
      </c>
      <c r="I12" s="557">
        <f>(Tabela25[[#This Row],[2021]]-Tabela25[[#This Row],[2020]])/Tabela25[[#This Row],[2020]]</f>
        <v>6.7564050163196415E-2</v>
      </c>
      <c r="J12" s="568">
        <v>101364.37</v>
      </c>
      <c r="K12" s="557">
        <f>(Tabela25[[#This Row],[2022]]-Tabela25[[#This Row],[2021]])/Tabela25[[#This Row],[2021]]</f>
        <v>9.5970481865638474E-2</v>
      </c>
      <c r="L12" s="568">
        <v>110010.52</v>
      </c>
      <c r="M12" s="557">
        <f>(Tabela25[[#This Row],[2023]]-Tabela25[[#This Row],[2022]])/Tabela25[[#This Row],[2022]]</f>
        <v>8.5297723450557722E-2</v>
      </c>
      <c r="N12" s="590">
        <f>[1]Resultado!$AB$37</f>
        <v>38255.71</v>
      </c>
      <c r="O12" s="585">
        <f>(Tabela25[[#This Row],[2024]]-Tabela25[[#This Row],[2023]])/Tabela25[[#This Row],[2023]]</f>
        <v>-0.65225407533752222</v>
      </c>
      <c r="AB12" s="542"/>
    </row>
    <row r="13" spans="1:28" ht="14.4" x14ac:dyDescent="0.3">
      <c r="B13" s="566" t="s">
        <v>278</v>
      </c>
      <c r="C13" s="568">
        <v>0.01</v>
      </c>
      <c r="D13" s="568">
        <v>149000</v>
      </c>
      <c r="E13" s="557">
        <v>1</v>
      </c>
      <c r="F13" s="568">
        <v>122526.39999999999</v>
      </c>
      <c r="G13" s="557">
        <f>(Tabela25[[#This Row],[2020]]-Tabela25[[#This Row],[2019]])/Tabela25[[#This Row],[2019]]</f>
        <v>-0.17767516778523493</v>
      </c>
      <c r="H13" s="568">
        <v>175000</v>
      </c>
      <c r="I13" s="557">
        <f>(Tabela25[[#This Row],[2021]]-Tabela25[[#This Row],[2020]])/Tabela25[[#This Row],[2020]]</f>
        <v>0.42826362318651334</v>
      </c>
      <c r="J13" s="568">
        <v>240000</v>
      </c>
      <c r="K13" s="557">
        <f>(Tabela25[[#This Row],[2022]]-Tabela25[[#This Row],[2021]])/Tabela25[[#This Row],[2021]]</f>
        <v>0.37142857142857144</v>
      </c>
      <c r="L13" s="568">
        <v>300000</v>
      </c>
      <c r="M13" s="557">
        <f>(Tabela25[[#This Row],[2023]]-Tabela25[[#This Row],[2022]])/Tabela25[[#This Row],[2022]]</f>
        <v>0.25</v>
      </c>
      <c r="N13" s="590">
        <f>[1]Resultado!$AB$43</f>
        <v>71275.78</v>
      </c>
      <c r="O13" s="585">
        <f>(Tabela25[[#This Row],[2024]]-Tabela25[[#This Row],[2023]])/Tabela25[[#This Row],[2023]]</f>
        <v>-0.76241406666666667</v>
      </c>
      <c r="AB13" s="542"/>
    </row>
    <row r="14" spans="1:28" s="571" customFormat="1" ht="14.4" x14ac:dyDescent="0.3">
      <c r="B14" s="565" t="s">
        <v>107</v>
      </c>
      <c r="C14" s="577">
        <v>120840.79</v>
      </c>
      <c r="D14" s="577">
        <v>50436.729999999989</v>
      </c>
      <c r="E14" s="578">
        <f>(Tabela25[[#This Row],[2019]]-Tabela25[[#This Row],[2018]])/Tabela25[[#This Row],[2018]]</f>
        <v>-0.58261833607675029</v>
      </c>
      <c r="F14" s="577">
        <v>58741.679999999993</v>
      </c>
      <c r="G14" s="578">
        <f>(Tabela25[[#This Row],[2020]]-Tabela25[[#This Row],[2019]])/Tabela25[[#This Row],[2019]]</f>
        <v>0.16466075417656947</v>
      </c>
      <c r="H14" s="577">
        <v>179856.49000000002</v>
      </c>
      <c r="I14" s="578">
        <f>(Tabela25[[#This Row],[2021]]-Tabela25[[#This Row],[2020]])/Tabela25[[#This Row],[2020]]</f>
        <v>2.0618206697527213</v>
      </c>
      <c r="J14" s="577">
        <v>165934.65</v>
      </c>
      <c r="K14" s="578">
        <f>(Tabela25[[#This Row],[2022]]-Tabela25[[#This Row],[2021]])/Tabela25[[#This Row],[2021]]</f>
        <v>-7.740526905645731E-2</v>
      </c>
      <c r="L14" s="577">
        <v>97634.2</v>
      </c>
      <c r="M14" s="578">
        <f>(Tabela25[[#This Row],[2023]]-Tabela25[[#This Row],[2022]])/Tabela25[[#This Row],[2022]]</f>
        <v>-0.41161053462914465</v>
      </c>
      <c r="N14" s="586">
        <f>[1]Resultado!$AB$63</f>
        <v>3000</v>
      </c>
      <c r="O14" s="584">
        <f>(Tabela25[[#This Row],[2024]]-Tabela25[[#This Row],[2023]])/Tabela25[[#This Row],[2023]]</f>
        <v>-0.96927306210323838</v>
      </c>
      <c r="AB14" s="572"/>
    </row>
    <row r="15" spans="1:28" ht="14.4" x14ac:dyDescent="0.3">
      <c r="B15" s="566" t="s">
        <v>276</v>
      </c>
      <c r="C15" s="568">
        <v>57094.93</v>
      </c>
      <c r="D15" s="568">
        <v>16355.53</v>
      </c>
      <c r="E15" s="557">
        <f>(Tabela25[[#This Row],[2019]]-Tabela25[[#This Row],[2018]])/Tabela25[[#This Row],[2018]]</f>
        <v>-0.71353796212728526</v>
      </c>
      <c r="F15" s="568">
        <v>29132.28</v>
      </c>
      <c r="G15" s="557">
        <f>(Tabela25[[#This Row],[2020]]-Tabela25[[#This Row],[2019]])/Tabela25[[#This Row],[2019]]</f>
        <v>0.78118838093293197</v>
      </c>
      <c r="H15" s="568">
        <v>46388.13</v>
      </c>
      <c r="I15" s="557">
        <f>(Tabela25[[#This Row],[2021]]-Tabela25[[#This Row],[2020]])/Tabela25[[#This Row],[2020]]</f>
        <v>0.59232748003245883</v>
      </c>
      <c r="J15" s="568">
        <v>98364.71</v>
      </c>
      <c r="K15" s="557">
        <f>(Tabela25[[#This Row],[2022]]-Tabela25[[#This Row],[2021]])/Tabela25[[#This Row],[2021]]</f>
        <v>1.1204715516663424</v>
      </c>
      <c r="L15" s="568">
        <v>97634.2</v>
      </c>
      <c r="M15" s="557">
        <f>(Tabela25[[#This Row],[2023]]-Tabela25[[#This Row],[2022]])/Tabela25[[#This Row],[2022]]</f>
        <v>-7.4265455568364837E-3</v>
      </c>
      <c r="N15" s="590">
        <f>[1]Resultado!$AB$63</f>
        <v>3000</v>
      </c>
      <c r="O15" s="585">
        <f>(Tabela25[[#This Row],[2024]]-Tabela25[[#This Row],[2023]])/Tabela25[[#This Row],[2023]]</f>
        <v>-0.96927306210323838</v>
      </c>
      <c r="AB15" s="542"/>
    </row>
    <row r="16" spans="1:28" ht="14.4" x14ac:dyDescent="0.3">
      <c r="B16" s="566" t="s">
        <v>277</v>
      </c>
      <c r="C16" s="568">
        <v>63745.86</v>
      </c>
      <c r="D16" s="568">
        <v>34081.199999999997</v>
      </c>
      <c r="E16" s="557">
        <f>(Tabela25[[#This Row],[2019]]-Tabela25[[#This Row],[2018]])/Tabela25[[#This Row],[2018]]</f>
        <v>-0.46535822091034623</v>
      </c>
      <c r="F16" s="568">
        <v>29609.4</v>
      </c>
      <c r="G16" s="557">
        <f>(Tabela25[[#This Row],[2020]]-Tabela25[[#This Row],[2019]])/Tabela25[[#This Row],[2019]]</f>
        <v>-0.13121016865603313</v>
      </c>
      <c r="H16" s="568">
        <v>133468.35999999999</v>
      </c>
      <c r="I16" s="557">
        <f>(Tabela25[[#This Row],[2021]]-Tabela25[[#This Row],[2020]])/Tabela25[[#This Row],[2020]]</f>
        <v>3.5076347376171078</v>
      </c>
      <c r="J16" s="568">
        <v>67569.94</v>
      </c>
      <c r="K16" s="557">
        <f>(Tabela25[[#This Row],[2022]]-Tabela25[[#This Row],[2021]])/Tabela25[[#This Row],[2021]]</f>
        <v>-0.49373814138422012</v>
      </c>
      <c r="L16" s="568"/>
      <c r="M16" s="557">
        <f>(Tabela25[[#This Row],[2023]]-Tabela25[[#This Row],[2022]])/Tabela25[[#This Row],[2022]]</f>
        <v>-1</v>
      </c>
      <c r="N16" s="590"/>
      <c r="O16" s="585"/>
      <c r="AB16" s="542"/>
    </row>
    <row r="17" spans="2:29" s="553" customFormat="1" ht="14.4" x14ac:dyDescent="0.3">
      <c r="B17" s="565" t="s">
        <v>268</v>
      </c>
      <c r="C17" s="577">
        <v>36211.059999999954</v>
      </c>
      <c r="D17" s="577">
        <v>183925.04</v>
      </c>
      <c r="E17" s="578">
        <f>(Tabela25[[#This Row],[2019]]-Tabela25[[#This Row],[2018]])/Tabela25[[#This Row],[2018]]</f>
        <v>4.0792503726761993</v>
      </c>
      <c r="F17" s="577">
        <v>386444.33</v>
      </c>
      <c r="G17" s="578">
        <f>(Tabela25[[#This Row],[2020]]-Tabela25[[#This Row],[2019]])/Tabela25[[#This Row],[2019]]</f>
        <v>1.1010968925166469</v>
      </c>
      <c r="H17" s="577">
        <v>717033.43</v>
      </c>
      <c r="I17" s="578">
        <f>(Tabela25[[#This Row],[2021]]-Tabela25[[#This Row],[2020]])/Tabela25[[#This Row],[2020]]</f>
        <v>0.85546370935239247</v>
      </c>
      <c r="J17" s="577">
        <v>953986.61</v>
      </c>
      <c r="K17" s="578">
        <f>(Tabela25[[#This Row],[2022]]-Tabela25[[#This Row],[2021]])/Tabela25[[#This Row],[2021]]</f>
        <v>0.33046322540359091</v>
      </c>
      <c r="L17" s="577">
        <v>809434.05</v>
      </c>
      <c r="M17" s="578">
        <f>(Tabela25[[#This Row],[2023]]-Tabela25[[#This Row],[2022]])/Tabela25[[#This Row],[2022]]</f>
        <v>-0.1515247263271336</v>
      </c>
      <c r="N17" s="587">
        <f>[1]Resultado!$AB$74</f>
        <v>0</v>
      </c>
      <c r="O17" s="584">
        <f>(Tabela25[[#This Row],[2024]]-Tabela25[[#This Row],[2023]])/Tabela25[[#This Row],[2023]]</f>
        <v>-1</v>
      </c>
      <c r="AB17" s="555"/>
    </row>
    <row r="18" spans="2:29" ht="14.4" x14ac:dyDescent="0.3">
      <c r="B18" s="566" t="s">
        <v>269</v>
      </c>
      <c r="C18" s="568">
        <v>325828.65000000002</v>
      </c>
      <c r="D18" s="568">
        <v>704012.4</v>
      </c>
      <c r="E18" s="557">
        <f>(Tabela25[[#This Row],[2019]]-Tabela25[[#This Row],[2018]])/Tabela25[[#This Row],[2018]]</f>
        <v>1.1606829233709191</v>
      </c>
      <c r="F18" s="568">
        <v>1044783.82</v>
      </c>
      <c r="G18" s="557">
        <f>(Tabela25[[#This Row],[2020]]-Tabela25[[#This Row],[2019]])/Tabela25[[#This Row],[2019]]</f>
        <v>0.48404178676398302</v>
      </c>
      <c r="H18" s="568">
        <v>1213959.51</v>
      </c>
      <c r="I18" s="557">
        <f>(Tabela25[[#This Row],[2021]]-Tabela25[[#This Row],[2020]])/Tabela25[[#This Row],[2020]]</f>
        <v>0.16192410981249697</v>
      </c>
      <c r="J18" s="568">
        <v>1748866.29</v>
      </c>
      <c r="K18" s="557">
        <f>(Tabela25[[#This Row],[2022]]-Tabela25[[#This Row],[2021]])/Tabela25[[#This Row],[2021]]</f>
        <v>0.44062983616315177</v>
      </c>
      <c r="L18" s="568">
        <v>1781762.34</v>
      </c>
      <c r="M18" s="557">
        <f>(Tabela25[[#This Row],[2023]]-Tabela25[[#This Row],[2022]])/Tabela25[[#This Row],[2022]]</f>
        <v>1.8809928573784818E-2</v>
      </c>
      <c r="N18" s="590">
        <f>[1]Resultado!$AB$76</f>
        <v>53517.960000000014</v>
      </c>
      <c r="O18" s="585">
        <f>(Tabela25[[#This Row],[2024]]-Tabela25[[#This Row],[2023]])/Tabela25[[#This Row],[2023]]</f>
        <v>-0.96996346886532581</v>
      </c>
      <c r="AB18" s="542"/>
    </row>
    <row r="19" spans="2:29" s="553" customFormat="1" ht="14.4" x14ac:dyDescent="0.3">
      <c r="B19" s="565" t="s">
        <v>270</v>
      </c>
      <c r="C19" s="577">
        <v>299280.87</v>
      </c>
      <c r="D19" s="577">
        <v>726159.57</v>
      </c>
      <c r="E19" s="579">
        <f>(Tabela25[[#This Row],[2019]]-Tabela25[[#This Row],[2018]])/Tabela25[[#This Row],[2018]]</f>
        <v>1.4263480990281803</v>
      </c>
      <c r="F19" s="577">
        <v>745066.28</v>
      </c>
      <c r="G19" s="579">
        <f>(Tabela25[[#This Row],[2020]]-Tabela25[[#This Row],[2019]])/Tabela25[[#This Row],[2019]]</f>
        <v>2.6036577607866658E-2</v>
      </c>
      <c r="H19" s="577">
        <v>1319777.52</v>
      </c>
      <c r="I19" s="579">
        <f>(Tabela25[[#This Row],[2021]]-Tabela25[[#This Row],[2020]])/Tabela25[[#This Row],[2020]]</f>
        <v>0.77135585843450061</v>
      </c>
      <c r="J19" s="577">
        <v>1941616.62</v>
      </c>
      <c r="K19" s="579">
        <f>(Tabela25[[#This Row],[2022]]-Tabela25[[#This Row],[2021]])/Tabela25[[#This Row],[2021]]</f>
        <v>0.47116964077399959</v>
      </c>
      <c r="L19" s="577">
        <v>1997756.27</v>
      </c>
      <c r="M19" s="579">
        <f>(Tabela25[[#This Row],[2023]]-Tabela25[[#This Row],[2022]])/Tabela25[[#This Row],[2022]]</f>
        <v>2.8913869721613684E-2</v>
      </c>
      <c r="N19" s="587">
        <v>2020941.98</v>
      </c>
      <c r="O19" s="584">
        <f>(Tabela25[[#This Row],[2024]]-Tabela25[[#This Row],[2023]])/Tabela25[[#This Row],[2023]]</f>
        <v>1.1605875225209511E-2</v>
      </c>
      <c r="AB19" s="555"/>
    </row>
    <row r="20" spans="2:29" s="553" customFormat="1" ht="14.4" x14ac:dyDescent="0.3">
      <c r="B20" s="565" t="s">
        <v>271</v>
      </c>
      <c r="C20" s="580">
        <v>9.7900000000000001E-2</v>
      </c>
      <c r="D20" s="581">
        <v>0.2</v>
      </c>
      <c r="E20" s="579">
        <f>(Tabela25[[#This Row],[2019]]-Tabela25[[#This Row],[2018]])/Tabela25[[#This Row],[2018]]</f>
        <v>1.0429009193054137</v>
      </c>
      <c r="F20" s="581">
        <v>0.34</v>
      </c>
      <c r="G20" s="579">
        <f>(Tabela25[[#This Row],[2020]]-Tabela25[[#This Row],[2019]])/Tabela25[[#This Row],[2019]]</f>
        <v>0.70000000000000007</v>
      </c>
      <c r="H20" s="581">
        <v>0.35</v>
      </c>
      <c r="I20" s="579">
        <f>(Tabela25[[#This Row],[2021]]-Tabela25[[#This Row],[2020]])/Tabela25[[#This Row],[2020]]</f>
        <v>2.9411764705882214E-2</v>
      </c>
      <c r="J20" s="582">
        <v>0.33</v>
      </c>
      <c r="K20" s="579">
        <f>(Tabela25[[#This Row],[2022]]-Tabela25[[#This Row],[2021]])/Tabela25[[#This Row],[2021]]</f>
        <v>-5.7142857142857037E-2</v>
      </c>
      <c r="L20" s="582">
        <v>0.28999999999999998</v>
      </c>
      <c r="M20" s="579">
        <f>(Tabela25[[#This Row],[2023]]-Tabela25[[#This Row],[2022]])/Tabela25[[#This Row],[2022]]</f>
        <v>-0.12121212121212131</v>
      </c>
      <c r="N20" s="584">
        <v>0.22</v>
      </c>
      <c r="O20" s="584">
        <f>(Tabela25[[#This Row],[2024]]-Tabela25[[#This Row],[2023]])/Tabela25[[#This Row],[2023]]</f>
        <v>-0.24137931034482754</v>
      </c>
      <c r="AB20" s="555"/>
    </row>
    <row r="21" spans="2:29" ht="14.4" x14ac:dyDescent="0.3">
      <c r="B21" s="558"/>
      <c r="C21" s="556"/>
      <c r="D21" s="556"/>
      <c r="E21" s="559"/>
      <c r="F21" s="556"/>
      <c r="G21" s="559"/>
      <c r="H21" s="556"/>
      <c r="I21" s="559"/>
      <c r="J21" s="556"/>
      <c r="K21" s="165"/>
      <c r="L21" s="165"/>
      <c r="M21" s="165"/>
      <c r="N21" s="588"/>
      <c r="O21" s="376"/>
      <c r="AB21" s="542"/>
    </row>
    <row r="22" spans="2:29" ht="13.2" x14ac:dyDescent="0.25">
      <c r="AB22" s="542"/>
    </row>
    <row r="23" spans="2:29" ht="14.4" x14ac:dyDescent="0.25">
      <c r="Y23" s="560"/>
      <c r="Z23" s="560"/>
    </row>
    <row r="24" spans="2:29" ht="14.4" x14ac:dyDescent="0.25">
      <c r="Y24" s="560"/>
      <c r="Z24" s="560"/>
    </row>
    <row r="25" spans="2:29" ht="14.4" x14ac:dyDescent="0.25">
      <c r="Y25" s="560"/>
      <c r="Z25" s="560"/>
    </row>
    <row r="26" spans="2:29" ht="14.4" x14ac:dyDescent="0.25">
      <c r="Y26" s="560"/>
      <c r="Z26" s="560"/>
    </row>
    <row r="27" spans="2:29" ht="14.4" x14ac:dyDescent="0.25">
      <c r="Y27" s="560"/>
      <c r="Z27" s="560"/>
    </row>
    <row r="28" spans="2:29" ht="22.8" x14ac:dyDescent="0.4">
      <c r="Y28" s="560"/>
      <c r="Z28" s="560"/>
      <c r="AA28" s="561"/>
      <c r="AB28" s="561"/>
      <c r="AC28" s="561"/>
    </row>
    <row r="29" spans="2:29" ht="14.4" x14ac:dyDescent="0.25">
      <c r="Y29" s="560"/>
      <c r="Z29" s="560"/>
    </row>
    <row r="30" spans="2:29" ht="14.4" x14ac:dyDescent="0.25">
      <c r="Y30" s="560"/>
      <c r="Z30" s="560"/>
    </row>
    <row r="31" spans="2:29" ht="14.4" x14ac:dyDescent="0.25">
      <c r="Y31" s="560"/>
      <c r="Z31" s="560"/>
    </row>
    <row r="32" spans="2:29" ht="14.4" x14ac:dyDescent="0.25">
      <c r="Y32" s="560"/>
      <c r="Z32" s="560"/>
    </row>
    <row r="33" spans="25:26" ht="14.4" x14ac:dyDescent="0.25">
      <c r="Y33" s="560"/>
      <c r="Z33" s="560"/>
    </row>
    <row r="34" spans="25:26" ht="14.4" x14ac:dyDescent="0.25">
      <c r="Y34" s="560"/>
      <c r="Z34" s="560"/>
    </row>
    <row r="35" spans="25:26" ht="14.4" x14ac:dyDescent="0.25">
      <c r="Y35" s="560"/>
      <c r="Z35" s="560"/>
    </row>
    <row r="36" spans="25:26" ht="14.4" x14ac:dyDescent="0.25">
      <c r="Y36" s="560"/>
      <c r="Z36" s="560"/>
    </row>
    <row r="37" spans="25:26" ht="14.4" x14ac:dyDescent="0.25">
      <c r="Y37" s="560"/>
      <c r="Z37" s="560"/>
    </row>
    <row r="38" spans="25:26" ht="14.4" x14ac:dyDescent="0.25">
      <c r="Y38" s="560"/>
      <c r="Z38" s="560"/>
    </row>
    <row r="39" spans="25:26" ht="14.4" x14ac:dyDescent="0.25">
      <c r="Y39" s="560"/>
      <c r="Z39" s="560"/>
    </row>
    <row r="40" spans="25:26" ht="14.4" x14ac:dyDescent="0.25">
      <c r="Y40" s="560"/>
      <c r="Z40" s="560"/>
    </row>
    <row r="41" spans="25:26" ht="14.4" x14ac:dyDescent="0.25">
      <c r="Y41" s="560"/>
      <c r="Z41" s="560"/>
    </row>
    <row r="42" spans="25:26" ht="14.4" x14ac:dyDescent="0.25">
      <c r="Y42" s="560"/>
      <c r="Z42" s="560"/>
    </row>
    <row r="43" spans="25:26" ht="14.4" x14ac:dyDescent="0.25">
      <c r="Y43" s="560"/>
      <c r="Z43" s="560"/>
    </row>
    <row r="44" spans="25:26" ht="14.4" x14ac:dyDescent="0.25">
      <c r="Y44" s="560"/>
      <c r="Z44" s="560"/>
    </row>
  </sheetData>
  <mergeCells count="2">
    <mergeCell ref="B1:D1"/>
    <mergeCell ref="O1:AA2"/>
  </mergeCells>
  <phoneticPr fontId="77" type="noConversion"/>
  <conditionalFormatting sqref="C5:M67">
    <cfRule type="cellIs" dxfId="4" priority="2" operator="lessThan">
      <formula>0</formula>
    </cfRule>
  </conditionalFormatting>
  <conditionalFormatting sqref="Q23:S44 W23:Y44">
    <cfRule type="cellIs" dxfId="3" priority="3" operator="lessThan">
      <formula>0</formula>
    </cfRule>
  </conditionalFormatting>
  <dataValidations count="8">
    <dataValidation allowBlank="1" showInputMessage="1" showErrorMessage="1" prompt="Crie um orçamento de negócios mensal nesta pasta de trabalho. A visão geral está nesta planilha. Insira os detalhes da renda em Renda Mensal, Equipe e Despesas Operacionais nas respectivas planilhas" sqref="A1" xr:uid="{60A41436-9B83-433E-B26B-C0E8142CA47D}"/>
    <dataValidation allowBlank="1" showInputMessage="1" showErrorMessage="1" prompt="Insira o Nome da Empresa nesta célula" sqref="B1 U26" xr:uid="{2350D773-C11B-42DC-B234-A3D7DF6A2F25}"/>
    <dataValidation allowBlank="1" showInputMessage="1" showErrorMessage="1" prompt="Digite a Data nesta célula. O gráfico de visão geral de orçamento está na célula B9" sqref="X27:Y27" xr:uid="{7320C6A9-8AC9-40B8-B94E-8701A17A17B7}"/>
    <dataValidation allowBlank="1" showInputMessage="1" showErrorMessage="1" prompt="Os totais estimados e reais de orçamento de renda e despesas são calculados automaticamente a partir de valores inseridos em outras planilhas. O Saldo e a Diferença são ajustados automaticamente" sqref="B4" xr:uid="{711950C3-A41B-4F40-ACEF-C5FF1869302D}"/>
    <dataValidation allowBlank="1" showInputMessage="1" showErrorMessage="1" prompt="Os totais estimados são calculados automaticamente na coluna abaixo deste título." sqref="C4" xr:uid="{D593DA04-F900-4416-A694-553B5DEF5F3D}"/>
    <dataValidation allowBlank="1" showInputMessage="1" showErrorMessage="1" prompt="O título desta planilha está nesta célula. Digite a Data na célula à direita. Os totais do orçamento são calculados automaticamente na tabela Totais, começando pela célula B4" sqref="U27:W30 X28:AC28" xr:uid="{33D96505-9B8F-4369-882A-20D398406C3C}"/>
    <dataValidation allowBlank="1" showInputMessage="1" showErrorMessage="1" prompt="O título desta planilha está nesta célula. Digite a data na célula E1. Os totais do orçamento são calculados automaticamente na tabela Totais, começando pela célula B4" sqref="B2" xr:uid="{3BAFCFC6-1E39-420E-A620-0163E2DF1FE9}"/>
    <dataValidation allowBlank="1" showInputMessage="1" showErrorMessage="1" prompt="Os totais reais são calculados automaticamente na coluna abaixo deste título." sqref="D4:M4" xr:uid="{CB66E4D4-E15B-4854-9018-BEDB866F609D}"/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E17B5-5855-4A8B-A876-66C9AE16B218}">
  <dimension ref="A1:G33"/>
  <sheetViews>
    <sheetView workbookViewId="0">
      <selection activeCell="M19" sqref="M19"/>
    </sheetView>
  </sheetViews>
  <sheetFormatPr defaultColWidth="8.88671875" defaultRowHeight="14.4" x14ac:dyDescent="0.3"/>
  <cols>
    <col min="1" max="1" width="11.6640625" style="165" bestFit="1" customWidth="1"/>
    <col min="2" max="2" width="13.33203125" style="165" bestFit="1" customWidth="1"/>
    <col min="3" max="3" width="13.33203125" style="165" customWidth="1"/>
    <col min="4" max="4" width="11.5546875" style="165" bestFit="1" customWidth="1"/>
    <col min="5" max="5" width="30.6640625" style="165" bestFit="1" customWidth="1"/>
    <col min="6" max="6" width="22.6640625" style="165" bestFit="1" customWidth="1"/>
    <col min="7" max="7" width="16.109375" style="165" bestFit="1" customWidth="1"/>
    <col min="8" max="16384" width="8.88671875" style="165"/>
  </cols>
  <sheetData>
    <row r="1" spans="1:7" x14ac:dyDescent="0.3">
      <c r="A1" s="374" t="s">
        <v>228</v>
      </c>
      <c r="B1" s="374" t="s">
        <v>224</v>
      </c>
      <c r="C1" s="374"/>
      <c r="D1" s="374"/>
      <c r="E1" s="374" t="s">
        <v>225</v>
      </c>
      <c r="F1" s="374" t="s">
        <v>226</v>
      </c>
      <c r="G1" s="374" t="s">
        <v>227</v>
      </c>
    </row>
    <row r="2" spans="1:7" x14ac:dyDescent="0.3">
      <c r="A2" s="165">
        <v>2018</v>
      </c>
      <c r="B2" s="225">
        <v>369928.42</v>
      </c>
      <c r="C2" s="225"/>
      <c r="D2" s="225">
        <v>634163.01</v>
      </c>
      <c r="E2" s="225">
        <v>36211.06</v>
      </c>
      <c r="F2" s="225">
        <v>299280.87</v>
      </c>
    </row>
    <row r="3" spans="1:7" x14ac:dyDescent="0.3">
      <c r="A3" s="165">
        <v>2019</v>
      </c>
      <c r="B3" s="225">
        <v>910084.61</v>
      </c>
      <c r="C3" s="376">
        <f>B3/B2-1</f>
        <v>1.4601640771476818</v>
      </c>
      <c r="E3" s="225">
        <v>183925.04</v>
      </c>
      <c r="F3" s="225">
        <v>726159.57</v>
      </c>
      <c r="G3" s="373">
        <v>0.2</v>
      </c>
    </row>
    <row r="4" spans="1:7" x14ac:dyDescent="0.3">
      <c r="A4" s="165">
        <v>2020</v>
      </c>
      <c r="B4" s="225">
        <v>1131510.6100000001</v>
      </c>
      <c r="C4" s="376">
        <f>B4/B3-1</f>
        <v>0.24330265292586373</v>
      </c>
      <c r="E4" s="225">
        <v>386444.56</v>
      </c>
      <c r="F4" s="225">
        <v>745066.28</v>
      </c>
      <c r="G4" s="373">
        <v>0.34</v>
      </c>
    </row>
    <row r="5" spans="1:7" x14ac:dyDescent="0.3">
      <c r="A5" s="165">
        <v>2021</v>
      </c>
      <c r="B5" s="225">
        <v>2036810.95</v>
      </c>
      <c r="C5" s="376">
        <f>B5/B4-1</f>
        <v>0.80008117643722287</v>
      </c>
      <c r="E5" s="225">
        <v>717033.43</v>
      </c>
      <c r="F5" s="225">
        <v>1319777.52</v>
      </c>
      <c r="G5" s="373">
        <v>0.35</v>
      </c>
    </row>
    <row r="6" spans="1:7" x14ac:dyDescent="0.3">
      <c r="A6" s="165">
        <v>2022</v>
      </c>
      <c r="B6" s="225">
        <v>2895603.23</v>
      </c>
      <c r="C6" s="376">
        <f>B6/B5-1</f>
        <v>0.42163573403805588</v>
      </c>
      <c r="E6" s="225">
        <v>953986.61</v>
      </c>
      <c r="F6" s="225">
        <v>1941616.62</v>
      </c>
      <c r="G6" s="375">
        <v>0.33400000000000002</v>
      </c>
    </row>
    <row r="7" spans="1:7" x14ac:dyDescent="0.3">
      <c r="A7" s="165">
        <v>2023</v>
      </c>
      <c r="B7" s="225">
        <v>2807190.32</v>
      </c>
      <c r="C7" s="376">
        <f>B7/B6-1</f>
        <v>-3.0533503031076603E-2</v>
      </c>
      <c r="E7" s="225">
        <v>809434.05</v>
      </c>
      <c r="F7" s="225">
        <v>1997756.27</v>
      </c>
      <c r="G7" s="373">
        <v>0.28999999999999998</v>
      </c>
    </row>
    <row r="8" spans="1:7" x14ac:dyDescent="0.3">
      <c r="B8" s="225"/>
      <c r="C8" s="225"/>
      <c r="F8" s="225"/>
    </row>
    <row r="9" spans="1:7" x14ac:dyDescent="0.3">
      <c r="A9" s="165" t="s">
        <v>228</v>
      </c>
      <c r="B9" s="225" t="s">
        <v>224</v>
      </c>
      <c r="C9" s="225"/>
      <c r="F9" s="225"/>
    </row>
    <row r="10" spans="1:7" x14ac:dyDescent="0.3">
      <c r="A10" s="165">
        <v>2018</v>
      </c>
      <c r="B10" s="225">
        <f>'2018'!AF2</f>
        <v>369928.42</v>
      </c>
      <c r="C10" s="225"/>
      <c r="F10" s="225"/>
    </row>
    <row r="11" spans="1:7" x14ac:dyDescent="0.3">
      <c r="A11" s="165">
        <v>2019</v>
      </c>
      <c r="B11" s="225">
        <f>'2019'!AB2</f>
        <v>910084.6100000001</v>
      </c>
      <c r="C11" s="225"/>
      <c r="F11" s="225"/>
    </row>
    <row r="12" spans="1:7" x14ac:dyDescent="0.3">
      <c r="A12" s="165">
        <v>2020</v>
      </c>
      <c r="B12" s="225">
        <f>'2020'!AB2</f>
        <v>1131510.6099999999</v>
      </c>
      <c r="C12" s="225"/>
      <c r="F12" s="225"/>
    </row>
    <row r="13" spans="1:7" x14ac:dyDescent="0.3">
      <c r="A13" s="165">
        <v>2021</v>
      </c>
      <c r="B13" s="175">
        <f>'2021'!AB2</f>
        <v>2036810.95</v>
      </c>
      <c r="F13" s="225"/>
    </row>
    <row r="14" spans="1:7" x14ac:dyDescent="0.3">
      <c r="A14" s="165">
        <v>2022</v>
      </c>
      <c r="B14" s="175">
        <f>'2022'!AB2</f>
        <v>2895603.2300000004</v>
      </c>
      <c r="F14" s="225"/>
    </row>
    <row r="15" spans="1:7" x14ac:dyDescent="0.3">
      <c r="A15" s="165">
        <v>2023</v>
      </c>
      <c r="B15" s="491">
        <f>B7</f>
        <v>2807190.32</v>
      </c>
      <c r="F15" s="225"/>
    </row>
    <row r="16" spans="1:7" x14ac:dyDescent="0.3">
      <c r="F16" s="225"/>
    </row>
    <row r="27" spans="1:2" x14ac:dyDescent="0.3">
      <c r="A27" s="165" t="s">
        <v>228</v>
      </c>
      <c r="B27" s="165" t="s">
        <v>247</v>
      </c>
    </row>
    <row r="28" spans="1:2" x14ac:dyDescent="0.3">
      <c r="A28" s="165">
        <v>2018</v>
      </c>
      <c r="B28" s="175">
        <f>'2018'!AF48</f>
        <v>36211.059999999954</v>
      </c>
    </row>
    <row r="29" spans="1:2" x14ac:dyDescent="0.3">
      <c r="A29" s="165">
        <v>2019</v>
      </c>
      <c r="B29" s="175">
        <f>'2019'!AB61</f>
        <v>183925.04000000027</v>
      </c>
    </row>
    <row r="30" spans="1:2" x14ac:dyDescent="0.3">
      <c r="A30" s="165">
        <v>2020</v>
      </c>
      <c r="B30" s="175">
        <f>'2020'!AB70</f>
        <v>386444.32999999996</v>
      </c>
    </row>
    <row r="31" spans="1:2" x14ac:dyDescent="0.3">
      <c r="A31" s="165">
        <v>2021</v>
      </c>
      <c r="B31" s="175">
        <f>'2021'!AB64</f>
        <v>717033.43</v>
      </c>
    </row>
    <row r="32" spans="1:2" x14ac:dyDescent="0.3">
      <c r="A32" s="165">
        <v>2022</v>
      </c>
      <c r="B32" s="175">
        <f>'2022'!AB69</f>
        <v>953986.60999999975</v>
      </c>
    </row>
    <row r="33" spans="1:2" x14ac:dyDescent="0.3">
      <c r="A33" s="165">
        <v>2023</v>
      </c>
      <c r="B33" s="491">
        <f>E7</f>
        <v>809434.05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DRE 2011</vt:lpstr>
      <vt:lpstr>2018</vt:lpstr>
      <vt:lpstr>2019</vt:lpstr>
      <vt:lpstr>2020</vt:lpstr>
      <vt:lpstr>2021</vt:lpstr>
      <vt:lpstr>2022</vt:lpstr>
      <vt:lpstr>2023</vt:lpstr>
      <vt:lpstr>Comparativo anual</vt:lpstr>
      <vt:lpstr>Graficos anuais</vt:lpstr>
      <vt:lpstr>Comparativo semestral</vt:lpstr>
      <vt:lpstr>Projeções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 Marine Seguros</dc:creator>
  <cp:lastModifiedBy>Ellen Lima</cp:lastModifiedBy>
  <dcterms:created xsi:type="dcterms:W3CDTF">2018-09-18T20:56:36Z</dcterms:created>
  <dcterms:modified xsi:type="dcterms:W3CDTF">2025-01-29T17:07:17Z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1800285184</vt:i4>
  </property>
  <property fmtid="{D5CDD505-2E9C-101B-9397-08002B2CF9AE}" pid="3" name="_NewReviewCycle">
    <vt:lpwstr/>
  </property>
  <property fmtid="{D5CDD505-2E9C-101B-9397-08002B2CF9AE}" pid="4" name="_EmailSubject">
    <vt:lpwstr>Pauta reunião hoje</vt:lpwstr>
  </property>
  <property fmtid="{D5CDD505-2E9C-101B-9397-08002B2CF9AE}" pid="5" name="_AuthorEmail">
    <vt:lpwstr>nelise@aitaseguros.com.br</vt:lpwstr>
  </property>
  <property fmtid="{D5CDD505-2E9C-101B-9397-08002B2CF9AE}" pid="6" name="_AuthorEmailDisplayName">
    <vt:lpwstr>Nelise Alovisi</vt:lpwstr>
  </property>
  <property fmtid="{D5CDD505-2E9C-101B-9397-08002B2CF9AE}" pid="7" name="_ReviewingToolsShownOnce">
    <vt:lpwstr/>
  </property>
</Properties>
</file>