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720" windowHeight="9060" activeTab="7"/>
  </bookViews>
  <sheets>
    <sheet name="Vehicle Information" sheetId="1" r:id="rId1"/>
    <sheet name="State Sales Tax" sheetId="2" r:id="rId2"/>
    <sheet name="Federal Fuel Tax" sheetId="3" r:id="rId3"/>
    <sheet name="State Fuel Tax" sheetId="4" r:id="rId4"/>
    <sheet name="Title, Registration Fees" sheetId="5" r:id="rId5"/>
    <sheet name="Inspection Fees" sheetId="6" r:id="rId6"/>
    <sheet name="Calculation Sheet" sheetId="7" r:id="rId7"/>
    <sheet name="Total Fees" sheetId="8" r:id="rId8"/>
    <sheet name="Annual Fees" sheetId="9" r:id="rId9"/>
  </sheets>
  <definedNames>
    <definedName name="Drivetrain">'Calculation Sheet'!$A$1:$A$7</definedName>
    <definedName name="Fuels">'Calculation Sheet'!$C$1:$C$6</definedName>
  </definedNames>
  <calcPr calcId="144525"/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2" i="8"/>
  <c r="B52" i="6" l="1"/>
  <c r="G52" i="8" s="1"/>
  <c r="B50" i="6"/>
  <c r="B48" i="6"/>
  <c r="G48" i="8" s="1"/>
  <c r="B47" i="6"/>
  <c r="B46" i="6"/>
  <c r="L26" i="7"/>
  <c r="M26" i="7"/>
  <c r="N26" i="7"/>
  <c r="O26" i="7"/>
  <c r="P26" i="7"/>
  <c r="Q26" i="7"/>
  <c r="R26" i="7"/>
  <c r="S26" i="7"/>
  <c r="T26" i="7"/>
  <c r="U26" i="7"/>
  <c r="K26" i="7"/>
  <c r="J26" i="7"/>
  <c r="I26" i="7"/>
  <c r="H26" i="7"/>
  <c r="G26" i="7"/>
  <c r="E26" i="7"/>
  <c r="V26" i="7"/>
  <c r="B45" i="6"/>
  <c r="B44" i="6"/>
  <c r="B40" i="6"/>
  <c r="B39" i="6"/>
  <c r="G39" i="8" s="1"/>
  <c r="B34" i="6"/>
  <c r="G34" i="8" s="1"/>
  <c r="B33" i="6"/>
  <c r="G33" i="8" s="1"/>
  <c r="B31" i="6"/>
  <c r="G31" i="8" s="1"/>
  <c r="B30" i="6"/>
  <c r="G30" i="8" s="1"/>
  <c r="B29" i="6"/>
  <c r="B27" i="6"/>
  <c r="G3" i="8"/>
  <c r="G4" i="8"/>
  <c r="G5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2" i="8"/>
  <c r="G35" i="8"/>
  <c r="G36" i="8"/>
  <c r="G37" i="8"/>
  <c r="G38" i="8"/>
  <c r="G40" i="8"/>
  <c r="G41" i="8"/>
  <c r="G42" i="8"/>
  <c r="G43" i="8"/>
  <c r="G44" i="8"/>
  <c r="G45" i="8"/>
  <c r="G46" i="8"/>
  <c r="G47" i="8"/>
  <c r="G49" i="8"/>
  <c r="G50" i="8"/>
  <c r="G51" i="8"/>
  <c r="G2" i="8"/>
  <c r="B35" i="6"/>
  <c r="B26" i="6"/>
  <c r="B23" i="6"/>
  <c r="B20" i="6"/>
  <c r="B22" i="6"/>
  <c r="B21" i="6"/>
  <c r="B15" i="6"/>
  <c r="B14" i="6"/>
  <c r="B13" i="6"/>
  <c r="B12" i="6"/>
  <c r="B10" i="6"/>
  <c r="V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F25" i="7"/>
  <c r="B49" i="6"/>
  <c r="B8" i="6"/>
  <c r="B7" i="6"/>
  <c r="I24" i="7"/>
  <c r="V24" i="7" s="1"/>
  <c r="J24" i="7"/>
  <c r="K24" i="7"/>
  <c r="L24" i="7"/>
  <c r="M24" i="7"/>
  <c r="N24" i="7"/>
  <c r="O24" i="7"/>
  <c r="P24" i="7"/>
  <c r="Q24" i="7"/>
  <c r="R24" i="7"/>
  <c r="S24" i="7"/>
  <c r="T24" i="7"/>
  <c r="U24" i="7"/>
  <c r="H24" i="7"/>
  <c r="B6" i="6"/>
  <c r="G6" i="8" s="1"/>
  <c r="B5" i="6"/>
  <c r="B4" i="6"/>
  <c r="B3" i="6"/>
  <c r="B2" i="6"/>
  <c r="B41" i="5" l="1"/>
  <c r="O19" i="7" l="1"/>
  <c r="P19" i="7"/>
  <c r="Q19" i="7"/>
  <c r="R19" i="7"/>
  <c r="S19" i="7"/>
  <c r="T19" i="7"/>
  <c r="U19" i="7"/>
  <c r="N19" i="7"/>
  <c r="L19" i="7"/>
  <c r="M19" i="7"/>
  <c r="K19" i="7"/>
  <c r="I19" i="7"/>
  <c r="J19" i="7"/>
  <c r="H19" i="7"/>
  <c r="C19" i="7"/>
  <c r="D19" i="7"/>
  <c r="E19" i="7"/>
  <c r="F19" i="7"/>
  <c r="G19" i="7"/>
  <c r="B19" i="7"/>
  <c r="V19" i="7" s="1"/>
  <c r="B36" i="5" s="1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G17" i="7"/>
  <c r="C17" i="7"/>
  <c r="D17" i="7"/>
  <c r="E17" i="7"/>
  <c r="F17" i="7"/>
  <c r="B17" i="7"/>
  <c r="V17" i="7" s="1"/>
  <c r="B33" i="5" s="1"/>
  <c r="V11" i="7"/>
  <c r="B7" i="5" s="1"/>
  <c r="L11" i="7"/>
  <c r="M11" i="7"/>
  <c r="N11" i="7"/>
  <c r="O11" i="7"/>
  <c r="P11" i="7"/>
  <c r="Q11" i="7"/>
  <c r="R11" i="7"/>
  <c r="S11" i="7"/>
  <c r="T11" i="7"/>
  <c r="U11" i="7"/>
  <c r="K11" i="7"/>
  <c r="G11" i="7"/>
  <c r="H11" i="7"/>
  <c r="I11" i="7"/>
  <c r="J11" i="7"/>
  <c r="F11" i="7"/>
  <c r="E11" i="7"/>
  <c r="D11" i="7"/>
  <c r="C11" i="7"/>
  <c r="B11" i="7"/>
  <c r="C3" i="8" l="1"/>
  <c r="E3" i="8"/>
  <c r="F3" i="8"/>
  <c r="C4" i="8"/>
  <c r="F4" i="8"/>
  <c r="C5" i="8"/>
  <c r="F5" i="8"/>
  <c r="C6" i="8"/>
  <c r="D6" i="8"/>
  <c r="F6" i="8"/>
  <c r="E7" i="8"/>
  <c r="F7" i="8"/>
  <c r="E8" i="8"/>
  <c r="F8" i="8"/>
  <c r="B9" i="8"/>
  <c r="C9" i="8"/>
  <c r="E9" i="8"/>
  <c r="F9" i="8"/>
  <c r="C10" i="8"/>
  <c r="D10" i="8"/>
  <c r="F10" i="8"/>
  <c r="F11" i="8"/>
  <c r="C12" i="8"/>
  <c r="E12" i="8"/>
  <c r="F12" i="8"/>
  <c r="C13" i="8"/>
  <c r="F13" i="8"/>
  <c r="C14" i="8"/>
  <c r="D14" i="8"/>
  <c r="F14" i="8"/>
  <c r="C15" i="8"/>
  <c r="D15" i="8"/>
  <c r="F15" i="8"/>
  <c r="F16" i="8"/>
  <c r="C17" i="8"/>
  <c r="F17" i="8"/>
  <c r="C18" i="8"/>
  <c r="D18" i="8"/>
  <c r="F18" i="8"/>
  <c r="C19" i="8"/>
  <c r="D19" i="8"/>
  <c r="E19" i="8"/>
  <c r="F19" i="8"/>
  <c r="C20" i="8"/>
  <c r="F20" i="8"/>
  <c r="E21" i="8"/>
  <c r="F21" i="8"/>
  <c r="D22" i="8"/>
  <c r="E22" i="8"/>
  <c r="F22" i="8"/>
  <c r="E23" i="8"/>
  <c r="F23" i="8"/>
  <c r="F24" i="8"/>
  <c r="C25" i="8"/>
  <c r="F25" i="8"/>
  <c r="C26" i="8"/>
  <c r="D26" i="8"/>
  <c r="F26" i="8"/>
  <c r="C27" i="8"/>
  <c r="D27" i="8"/>
  <c r="F27" i="8"/>
  <c r="F28" i="8"/>
  <c r="C29" i="8"/>
  <c r="E29" i="8"/>
  <c r="F29" i="8"/>
  <c r="C30" i="8"/>
  <c r="E30" i="8"/>
  <c r="F30" i="8"/>
  <c r="C31" i="8"/>
  <c r="F31" i="8"/>
  <c r="C32" i="8"/>
  <c r="D32" i="8"/>
  <c r="F32" i="8"/>
  <c r="B33" i="8"/>
  <c r="C33" i="8"/>
  <c r="E33" i="8"/>
  <c r="F33" i="8"/>
  <c r="C34" i="8"/>
  <c r="D34" i="8"/>
  <c r="F34" i="8"/>
  <c r="C35" i="8"/>
  <c r="D35" i="8"/>
  <c r="F35" i="8"/>
  <c r="E36" i="8"/>
  <c r="F36" i="8"/>
  <c r="F37" i="8"/>
  <c r="C38" i="8"/>
  <c r="F38" i="8"/>
  <c r="C39" i="8"/>
  <c r="D39" i="8"/>
  <c r="E39" i="8"/>
  <c r="F39" i="8"/>
  <c r="C40" i="8"/>
  <c r="D40" i="8"/>
  <c r="E40" i="8"/>
  <c r="F40" i="8"/>
  <c r="C41" i="8"/>
  <c r="E41" i="8"/>
  <c r="F41" i="8"/>
  <c r="C42" i="8"/>
  <c r="D42" i="8"/>
  <c r="E42" i="8"/>
  <c r="F42" i="8"/>
  <c r="C43" i="8"/>
  <c r="D43" i="8"/>
  <c r="F43" i="8"/>
  <c r="C44" i="8"/>
  <c r="E44" i="8"/>
  <c r="F44" i="8"/>
  <c r="C45" i="8"/>
  <c r="F45" i="8"/>
  <c r="D46" i="8"/>
  <c r="E46" i="8"/>
  <c r="F46" i="8"/>
  <c r="E47" i="8"/>
  <c r="F47" i="8"/>
  <c r="F48" i="8"/>
  <c r="C49" i="8"/>
  <c r="F49" i="8"/>
  <c r="C50" i="8"/>
  <c r="D50" i="8"/>
  <c r="E50" i="8"/>
  <c r="F50" i="8"/>
  <c r="C51" i="8"/>
  <c r="D51" i="8"/>
  <c r="E51" i="8"/>
  <c r="F51" i="8"/>
  <c r="C52" i="8"/>
  <c r="D52" i="8"/>
  <c r="F52" i="8"/>
  <c r="F2" i="8"/>
  <c r="E2" i="8"/>
  <c r="C3" i="4"/>
  <c r="D3" i="8" s="1"/>
  <c r="C4" i="4"/>
  <c r="D4" i="8" s="1"/>
  <c r="C5" i="4"/>
  <c r="D5" i="8" s="1"/>
  <c r="C6" i="4"/>
  <c r="C7" i="4"/>
  <c r="D7" i="8" s="1"/>
  <c r="C8" i="4"/>
  <c r="D8" i="8" s="1"/>
  <c r="C9" i="4"/>
  <c r="D9" i="8" s="1"/>
  <c r="C10" i="4"/>
  <c r="C11" i="4"/>
  <c r="D11" i="8" s="1"/>
  <c r="C12" i="4"/>
  <c r="D12" i="8" s="1"/>
  <c r="C13" i="4"/>
  <c r="D13" i="8" s="1"/>
  <c r="C14" i="4"/>
  <c r="C15" i="4"/>
  <c r="C16" i="4"/>
  <c r="D16" i="8" s="1"/>
  <c r="C17" i="4"/>
  <c r="D17" i="8" s="1"/>
  <c r="C18" i="4"/>
  <c r="C19" i="4"/>
  <c r="C20" i="4"/>
  <c r="D20" i="8" s="1"/>
  <c r="C21" i="4"/>
  <c r="D21" i="8" s="1"/>
  <c r="C22" i="4"/>
  <c r="C23" i="4"/>
  <c r="D23" i="8" s="1"/>
  <c r="C24" i="4"/>
  <c r="D24" i="8" s="1"/>
  <c r="C25" i="4"/>
  <c r="D25" i="8" s="1"/>
  <c r="C26" i="4"/>
  <c r="C27" i="4"/>
  <c r="C28" i="4"/>
  <c r="D28" i="8" s="1"/>
  <c r="C29" i="4"/>
  <c r="D29" i="8" s="1"/>
  <c r="C30" i="4"/>
  <c r="D30" i="8" s="1"/>
  <c r="C31" i="4"/>
  <c r="D31" i="8" s="1"/>
  <c r="C32" i="4"/>
  <c r="C33" i="4"/>
  <c r="D33" i="8" s="1"/>
  <c r="C34" i="4"/>
  <c r="C35" i="4"/>
  <c r="C36" i="4"/>
  <c r="D36" i="8" s="1"/>
  <c r="C37" i="4"/>
  <c r="D37" i="8" s="1"/>
  <c r="C38" i="4"/>
  <c r="D38" i="8" s="1"/>
  <c r="C39" i="4"/>
  <c r="C40" i="4"/>
  <c r="C41" i="4"/>
  <c r="D41" i="8" s="1"/>
  <c r="C42" i="4"/>
  <c r="C43" i="4"/>
  <c r="C44" i="4"/>
  <c r="D44" i="8" s="1"/>
  <c r="C45" i="4"/>
  <c r="D45" i="8" s="1"/>
  <c r="C46" i="4"/>
  <c r="C47" i="4"/>
  <c r="D47" i="8" s="1"/>
  <c r="C48" i="4"/>
  <c r="D48" i="8" s="1"/>
  <c r="C49" i="4"/>
  <c r="D49" i="8" s="1"/>
  <c r="C50" i="4"/>
  <c r="C51" i="4"/>
  <c r="C52" i="4"/>
  <c r="C2" i="4"/>
  <c r="D2" i="8" s="1"/>
  <c r="B6" i="3"/>
  <c r="C7" i="8" s="1"/>
  <c r="E3" i="2"/>
  <c r="F3" i="2"/>
  <c r="E4" i="2"/>
  <c r="G4" i="2" s="1"/>
  <c r="B4" i="8" s="1"/>
  <c r="F4" i="2"/>
  <c r="E5" i="2"/>
  <c r="F5" i="2"/>
  <c r="G5" i="2" s="1"/>
  <c r="B5" i="8" s="1"/>
  <c r="E6" i="2"/>
  <c r="F6" i="2"/>
  <c r="G6" i="2" s="1"/>
  <c r="B6" i="8" s="1"/>
  <c r="E7" i="2"/>
  <c r="F7" i="2"/>
  <c r="E8" i="2"/>
  <c r="F8" i="2"/>
  <c r="G8" i="2"/>
  <c r="B8" i="8" s="1"/>
  <c r="E9" i="2"/>
  <c r="F9" i="2"/>
  <c r="G9" i="2" s="1"/>
  <c r="E10" i="2"/>
  <c r="G10" i="2" s="1"/>
  <c r="B10" i="8" s="1"/>
  <c r="F10" i="2"/>
  <c r="E11" i="2"/>
  <c r="F11" i="2"/>
  <c r="E12" i="2"/>
  <c r="G12" i="2" s="1"/>
  <c r="B12" i="8" s="1"/>
  <c r="F12" i="2"/>
  <c r="E13" i="2"/>
  <c r="F13" i="2"/>
  <c r="G13" i="2" s="1"/>
  <c r="B13" i="8" s="1"/>
  <c r="E14" i="2"/>
  <c r="F14" i="2"/>
  <c r="G14" i="2" s="1"/>
  <c r="B14" i="8" s="1"/>
  <c r="E15" i="2"/>
  <c r="F15" i="2"/>
  <c r="E16" i="2"/>
  <c r="F16" i="2"/>
  <c r="G16" i="2"/>
  <c r="B16" i="8" s="1"/>
  <c r="E17" i="2"/>
  <c r="F17" i="2"/>
  <c r="G17" i="2" s="1"/>
  <c r="B17" i="8" s="1"/>
  <c r="E18" i="2"/>
  <c r="G18" i="2" s="1"/>
  <c r="B18" i="8" s="1"/>
  <c r="F18" i="2"/>
  <c r="E19" i="2"/>
  <c r="F19" i="2"/>
  <c r="E20" i="2"/>
  <c r="G20" i="2" s="1"/>
  <c r="B20" i="8" s="1"/>
  <c r="F20" i="2"/>
  <c r="E21" i="2"/>
  <c r="F21" i="2"/>
  <c r="G21" i="2" s="1"/>
  <c r="B21" i="8" s="1"/>
  <c r="E22" i="2"/>
  <c r="F22" i="2"/>
  <c r="G22" i="2" s="1"/>
  <c r="B22" i="8" s="1"/>
  <c r="E23" i="2"/>
  <c r="F23" i="2"/>
  <c r="E24" i="2"/>
  <c r="F24" i="2"/>
  <c r="G24" i="2"/>
  <c r="B24" i="8" s="1"/>
  <c r="E25" i="2"/>
  <c r="F25" i="2"/>
  <c r="G25" i="2" s="1"/>
  <c r="B25" i="8" s="1"/>
  <c r="E26" i="2"/>
  <c r="G26" i="2" s="1"/>
  <c r="B26" i="8" s="1"/>
  <c r="F26" i="2"/>
  <c r="E27" i="2"/>
  <c r="F27" i="2"/>
  <c r="E28" i="2"/>
  <c r="G28" i="2" s="1"/>
  <c r="B28" i="8" s="1"/>
  <c r="F28" i="2"/>
  <c r="E29" i="2"/>
  <c r="F29" i="2"/>
  <c r="G29" i="2" s="1"/>
  <c r="B29" i="8" s="1"/>
  <c r="E30" i="2"/>
  <c r="F30" i="2"/>
  <c r="G30" i="2" s="1"/>
  <c r="B30" i="8" s="1"/>
  <c r="E31" i="2"/>
  <c r="F31" i="2"/>
  <c r="E32" i="2"/>
  <c r="F32" i="2"/>
  <c r="G32" i="2"/>
  <c r="B32" i="8" s="1"/>
  <c r="E33" i="2"/>
  <c r="F33" i="2"/>
  <c r="G33" i="2" s="1"/>
  <c r="E34" i="2"/>
  <c r="G34" i="2" s="1"/>
  <c r="B34" i="8" s="1"/>
  <c r="F34" i="2"/>
  <c r="E35" i="2"/>
  <c r="F35" i="2"/>
  <c r="E36" i="2"/>
  <c r="G36" i="2" s="1"/>
  <c r="B36" i="8" s="1"/>
  <c r="F36" i="2"/>
  <c r="E37" i="2"/>
  <c r="F37" i="2"/>
  <c r="G37" i="2" s="1"/>
  <c r="B37" i="8" s="1"/>
  <c r="E38" i="2"/>
  <c r="F38" i="2"/>
  <c r="G38" i="2" s="1"/>
  <c r="B38" i="8" s="1"/>
  <c r="E39" i="2"/>
  <c r="F39" i="2"/>
  <c r="E40" i="2"/>
  <c r="F40" i="2"/>
  <c r="G40" i="2"/>
  <c r="B40" i="8" s="1"/>
  <c r="E41" i="2"/>
  <c r="F41" i="2"/>
  <c r="G41" i="2" s="1"/>
  <c r="B41" i="8" s="1"/>
  <c r="E42" i="2"/>
  <c r="G42" i="2" s="1"/>
  <c r="B42" i="8" s="1"/>
  <c r="F42" i="2"/>
  <c r="E43" i="2"/>
  <c r="F43" i="2"/>
  <c r="E44" i="2"/>
  <c r="G44" i="2" s="1"/>
  <c r="B44" i="8" s="1"/>
  <c r="F44" i="2"/>
  <c r="E45" i="2"/>
  <c r="F45" i="2"/>
  <c r="G45" i="2" s="1"/>
  <c r="B45" i="8" s="1"/>
  <c r="E46" i="2"/>
  <c r="F46" i="2"/>
  <c r="G46" i="2" s="1"/>
  <c r="B46" i="8" s="1"/>
  <c r="E47" i="2"/>
  <c r="F47" i="2"/>
  <c r="E48" i="2"/>
  <c r="F48" i="2"/>
  <c r="G48" i="2"/>
  <c r="B48" i="8" s="1"/>
  <c r="E49" i="2"/>
  <c r="F49" i="2"/>
  <c r="G49" i="2" s="1"/>
  <c r="B49" i="8" s="1"/>
  <c r="E50" i="2"/>
  <c r="G50" i="2" s="1"/>
  <c r="B50" i="8" s="1"/>
  <c r="F50" i="2"/>
  <c r="E51" i="2"/>
  <c r="F51" i="2"/>
  <c r="E52" i="2"/>
  <c r="G52" i="2" s="1"/>
  <c r="B52" i="8" s="1"/>
  <c r="F52" i="2"/>
  <c r="F2" i="2"/>
  <c r="E2" i="2"/>
  <c r="G2" i="2" s="1"/>
  <c r="B2" i="8" s="1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G22" i="7"/>
  <c r="F22" i="7"/>
  <c r="E22" i="7"/>
  <c r="D22" i="7"/>
  <c r="C22" i="7"/>
  <c r="B22" i="7"/>
  <c r="V22" i="7" s="1"/>
  <c r="B52" i="5" s="1"/>
  <c r="E52" i="8" s="1"/>
  <c r="B51" i="5"/>
  <c r="B50" i="5"/>
  <c r="B49" i="5"/>
  <c r="E49" i="8" s="1"/>
  <c r="B48" i="5"/>
  <c r="E48" i="8" s="1"/>
  <c r="B47" i="5"/>
  <c r="B46" i="5"/>
  <c r="D22" i="5"/>
  <c r="B45" i="5"/>
  <c r="E45" i="8" s="1"/>
  <c r="B44" i="5"/>
  <c r="L21" i="7"/>
  <c r="M21" i="7"/>
  <c r="N21" i="7"/>
  <c r="O21" i="7"/>
  <c r="P21" i="7"/>
  <c r="Q21" i="7"/>
  <c r="R21" i="7"/>
  <c r="S21" i="7"/>
  <c r="T21" i="7"/>
  <c r="U21" i="7"/>
  <c r="K21" i="7"/>
  <c r="C21" i="7"/>
  <c r="D21" i="7"/>
  <c r="E21" i="7"/>
  <c r="F21" i="7"/>
  <c r="G21" i="7"/>
  <c r="H21" i="7"/>
  <c r="I21" i="7"/>
  <c r="J21" i="7"/>
  <c r="B21" i="7"/>
  <c r="AF9" i="7"/>
  <c r="AG9" i="7"/>
  <c r="AG8" i="7"/>
  <c r="AF8" i="7"/>
  <c r="AG7" i="7"/>
  <c r="AF7" i="7"/>
  <c r="AG6" i="7"/>
  <c r="AF6" i="7"/>
  <c r="B42" i="5"/>
  <c r="B40" i="5"/>
  <c r="B39" i="5"/>
  <c r="V20" i="7"/>
  <c r="B38" i="5" s="1"/>
  <c r="E38" i="8" s="1"/>
  <c r="B37" i="5"/>
  <c r="E37" i="8" s="1"/>
  <c r="B35" i="5"/>
  <c r="E35" i="8" s="1"/>
  <c r="B34" i="5"/>
  <c r="E34" i="8" s="1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D18" i="7"/>
  <c r="C18" i="7"/>
  <c r="B18" i="7"/>
  <c r="B31" i="5"/>
  <c r="E31" i="8" s="1"/>
  <c r="B30" i="5"/>
  <c r="B29" i="5"/>
  <c r="B26" i="5"/>
  <c r="E26" i="8" s="1"/>
  <c r="V16" i="7"/>
  <c r="B28" i="5" s="1"/>
  <c r="E28" i="8" s="1"/>
  <c r="B27" i="5"/>
  <c r="E27" i="8" s="1"/>
  <c r="C15" i="7"/>
  <c r="D15" i="7"/>
  <c r="E15" i="7"/>
  <c r="F15" i="7"/>
  <c r="G15" i="7"/>
  <c r="H15" i="7"/>
  <c r="I15" i="7"/>
  <c r="J15" i="7"/>
  <c r="K15" i="7"/>
  <c r="L15" i="7"/>
  <c r="M15" i="7"/>
  <c r="N15" i="7" s="1"/>
  <c r="O15" i="7" s="1"/>
  <c r="P15" i="7" s="1"/>
  <c r="Q15" i="7" s="1"/>
  <c r="R15" i="7" s="1"/>
  <c r="S15" i="7" s="1"/>
  <c r="T15" i="7" s="1"/>
  <c r="U15" i="7" s="1"/>
  <c r="B15" i="7"/>
  <c r="V15" i="7" s="1"/>
  <c r="B25" i="5" s="1"/>
  <c r="E25" i="8" s="1"/>
  <c r="B14" i="7"/>
  <c r="C14" i="7" s="1"/>
  <c r="D14" i="7" s="1"/>
  <c r="E14" i="7" s="1"/>
  <c r="F14" i="7" s="1"/>
  <c r="G14" i="7" s="1"/>
  <c r="H14" i="7" s="1"/>
  <c r="I14" i="7" s="1"/>
  <c r="J14" i="7" s="1"/>
  <c r="K14" i="7" s="1"/>
  <c r="L14" i="7" s="1"/>
  <c r="M14" i="7" s="1"/>
  <c r="N14" i="7" s="1"/>
  <c r="O14" i="7" s="1"/>
  <c r="P14" i="7" s="1"/>
  <c r="Q14" i="7" s="1"/>
  <c r="R14" i="7" s="1"/>
  <c r="S14" i="7" s="1"/>
  <c r="T14" i="7" s="1"/>
  <c r="U14" i="7" s="1"/>
  <c r="B23" i="5"/>
  <c r="B22" i="5"/>
  <c r="B21" i="5"/>
  <c r="B20" i="5"/>
  <c r="E20" i="8" s="1"/>
  <c r="B19" i="5"/>
  <c r="B18" i="5"/>
  <c r="E18" i="8" s="1"/>
  <c r="L13" i="7"/>
  <c r="K13" i="7"/>
  <c r="J13" i="7"/>
  <c r="I13" i="7"/>
  <c r="C13" i="7"/>
  <c r="D13" i="7"/>
  <c r="E13" i="7"/>
  <c r="F13" i="7"/>
  <c r="G13" i="7"/>
  <c r="H13" i="7"/>
  <c r="B13" i="7"/>
  <c r="V12" i="7"/>
  <c r="B14" i="5" s="1"/>
  <c r="E14" i="8" s="1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B10" i="7"/>
  <c r="C10" i="7"/>
  <c r="B16" i="5"/>
  <c r="E16" i="8" s="1"/>
  <c r="B15" i="5"/>
  <c r="E15" i="8" s="1"/>
  <c r="B13" i="5"/>
  <c r="E13" i="8" s="1"/>
  <c r="B10" i="5"/>
  <c r="E10" i="8" s="1"/>
  <c r="C2" i="8" l="1"/>
  <c r="C48" i="8"/>
  <c r="C47" i="8"/>
  <c r="C46" i="8"/>
  <c r="C37" i="8"/>
  <c r="C36" i="8"/>
  <c r="C28" i="8"/>
  <c r="C24" i="8"/>
  <c r="C23" i="8"/>
  <c r="C22" i="8"/>
  <c r="C21" i="8"/>
  <c r="C16" i="8"/>
  <c r="C11" i="8"/>
  <c r="C8" i="8"/>
  <c r="V21" i="7"/>
  <c r="B43" i="5" s="1"/>
  <c r="E43" i="8" s="1"/>
  <c r="V18" i="7"/>
  <c r="B32" i="5" s="1"/>
  <c r="E32" i="8" s="1"/>
  <c r="V13" i="7"/>
  <c r="B17" i="5" s="1"/>
  <c r="E17" i="8" s="1"/>
  <c r="G47" i="2"/>
  <c r="B47" i="8" s="1"/>
  <c r="G39" i="2"/>
  <c r="B39" i="8" s="1"/>
  <c r="G31" i="2"/>
  <c r="B31" i="8" s="1"/>
  <c r="G23" i="2"/>
  <c r="B23" i="8" s="1"/>
  <c r="G15" i="2"/>
  <c r="B15" i="8" s="1"/>
  <c r="G7" i="2"/>
  <c r="B7" i="8" s="1"/>
  <c r="V10" i="7"/>
  <c r="B4" i="5" s="1"/>
  <c r="E4" i="8" s="1"/>
  <c r="G51" i="2"/>
  <c r="B51" i="8" s="1"/>
  <c r="G43" i="2"/>
  <c r="B43" i="8" s="1"/>
  <c r="G35" i="2"/>
  <c r="B35" i="8" s="1"/>
  <c r="G27" i="2"/>
  <c r="B27" i="8" s="1"/>
  <c r="G19" i="2"/>
  <c r="B19" i="8" s="1"/>
  <c r="G11" i="2"/>
  <c r="B11" i="8" s="1"/>
  <c r="G3" i="2"/>
  <c r="B3" i="8" s="1"/>
  <c r="B12" i="5"/>
  <c r="B11" i="5"/>
  <c r="E11" i="8" s="1"/>
  <c r="B9" i="5"/>
  <c r="B8" i="5"/>
  <c r="B6" i="5"/>
  <c r="E6" i="8" s="1"/>
  <c r="B5" i="5"/>
  <c r="E5" i="8" s="1"/>
  <c r="B3" i="5"/>
  <c r="B2" i="5"/>
  <c r="V14" i="7" l="1"/>
  <c r="B24" i="5" s="1"/>
  <c r="E24" i="8" s="1"/>
  <c r="B3" i="3"/>
  <c r="B1" i="3"/>
  <c r="B2" i="3"/>
  <c r="K2" i="8" l="1"/>
  <c r="B4" i="3"/>
  <c r="K3" i="8" l="1"/>
  <c r="K4" i="8" l="1"/>
  <c r="K5" i="8" s="1"/>
  <c r="K6" i="8" l="1"/>
  <c r="K7" i="8" l="1"/>
  <c r="K8" i="8" s="1"/>
  <c r="K9" i="8" s="1"/>
  <c r="K10" i="8" s="1"/>
  <c r="K11" i="8" s="1"/>
  <c r="K12" i="8" s="1"/>
  <c r="K13" i="8" s="1"/>
  <c r="K14" i="8" s="1"/>
  <c r="K15" i="8" s="1"/>
  <c r="K16" i="8" l="1"/>
</calcChain>
</file>

<file path=xl/sharedStrings.xml><?xml version="1.0" encoding="utf-8"?>
<sst xmlns="http://schemas.openxmlformats.org/spreadsheetml/2006/main" count="504" uniqueCount="192">
  <si>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</si>
  <si>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</si>
  <si>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</si>
  <si>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</si>
  <si>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</si>
  <si>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</si>
  <si>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</si>
  <si>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</si>
  <si>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</si>
  <si>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</si>
  <si>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</si>
  <si>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</si>
  <si>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</si>
  <si>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</si>
  <si>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</si>
  <si>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</si>
  <si>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</si>
  <si>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</si>
  <si>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</si>
  <si>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</si>
  <si>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</si>
  <si>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</si>
  <si>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</si>
  <si>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</si>
  <si>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</si>
  <si>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</si>
  <si>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</si>
  <si>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</si>
  <si>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</si>
  <si>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</si>
  <si>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</si>
  <si>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</si>
  <si>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</si>
  <si>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</si>
  <si>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</si>
  <si>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</si>
  <si>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</si>
  <si>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</si>
  <si>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</si>
  <si>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</si>
  <si>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</si>
  <si>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</si>
  <si>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</si>
  <si>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</si>
  <si>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</si>
  <si>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</si>
  <si>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</si>
  <si>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</si>
  <si>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</si>
  <si>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</si>
  <si>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</si>
  <si>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</si>
  <si>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 Rate</t>
  </si>
  <si>
    <t>Minimum Local Rate</t>
  </si>
  <si>
    <t>Maximum Local Rate</t>
  </si>
  <si>
    <t>Highway Trust Fund</t>
  </si>
  <si>
    <t>Mass Transit</t>
  </si>
  <si>
    <t>Leaking Underground Storage</t>
  </si>
  <si>
    <t>Total</t>
  </si>
  <si>
    <t>$/gallon</t>
  </si>
  <si>
    <t>Title Fee ($)</t>
  </si>
  <si>
    <t>Annually: $17/car 3,000 lbs. or less, $25/car 3,000 lbs. - 4,500 lbs., $30/car over 4,500 lbs., $2.50 validation decal for all automobiles.</t>
  </si>
  <si>
    <t>Vehicle Make</t>
  </si>
  <si>
    <t>Vehicle Model</t>
  </si>
  <si>
    <t>MSRP</t>
  </si>
  <si>
    <t>Curb Weight</t>
  </si>
  <si>
    <t>$</t>
  </si>
  <si>
    <t>lb</t>
  </si>
  <si>
    <t>mi</t>
  </si>
  <si>
    <t>Annual VMT</t>
  </si>
  <si>
    <t>Vehicle Lifetime</t>
  </si>
  <si>
    <t>years</t>
  </si>
  <si>
    <t>Registration Notes</t>
  </si>
  <si>
    <t>Lifetime Registration Fees ($)</t>
  </si>
  <si>
    <t>$23 Annually</t>
  </si>
  <si>
    <t>$100 biannually</t>
  </si>
  <si>
    <t>$9.50 Annually ($1.50 for air quality research), plus vehicle license tax of 2.8% (assessed value of 60% of the MSRP - reduced by 16.25% each year)</t>
  </si>
  <si>
    <t>Toyota</t>
  </si>
  <si>
    <t>Prius</t>
  </si>
  <si>
    <t>$46 Annually, plus additional fees based on vehicle type, license plate type, county of residence, and driving record</t>
  </si>
  <si>
    <t>$40 Annually</t>
  </si>
  <si>
    <t>Fuel Efficiency</t>
  </si>
  <si>
    <t>mi/gal</t>
  </si>
  <si>
    <t>$225 - initial registration plus Annually: $19.50- vehicle under 2,500 lbs., $30.50 - vehicle between 2,500 lbs. - 3,499 lbs., $44.00 - vehicle over 3,500 lbs.</t>
  </si>
  <si>
    <t>$20 Annually</t>
  </si>
  <si>
    <t>Drivetrain</t>
  </si>
  <si>
    <t>ICV</t>
  </si>
  <si>
    <t>HEV</t>
  </si>
  <si>
    <t>PHEV</t>
  </si>
  <si>
    <t>FFV</t>
  </si>
  <si>
    <t>BEV</t>
  </si>
  <si>
    <t>FCV</t>
  </si>
  <si>
    <t>CNG</t>
  </si>
  <si>
    <t>Annually: $72/car 3,499 lbs. or less, $115/car 3,500 lbs. - 4,999 lbs., $155/car over 5,000 lbs.</t>
  </si>
  <si>
    <t>Annually: $45 plus $0.0075 per pound for vehicles &lt;4,000 lbs., $0.01 per pound for vehicles 4,000 to 7,000 lbs., $0.0125 per pound for vehicles &gt;7,000 lbs.</t>
  </si>
  <si>
    <t>Annually: $48 for vehicles 1-2 years old, $36 for vehicles 3-6 years old, $24 for vehicles 7 or more years old</t>
  </si>
  <si>
    <t>$99 Annually</t>
  </si>
  <si>
    <t>$21.05 Annually</t>
  </si>
  <si>
    <t>Registration fees for vehicles up to 11 years old are $0.40 per 100 lbs. plus a percentage of the vehicle's value: vehicles up to 7 years old - 1%, vehicles 8-9 years old - .75%, vehicles up to 10-11 years old - .5%, For vehicles 12 years old and older registration fee is $50</t>
  </si>
  <si>
    <t>Year</t>
  </si>
  <si>
    <t>Annually: $35/car less than 4500 lbs., $45/car over 4500 lbs.</t>
  </si>
  <si>
    <t>$21 Annually</t>
  </si>
  <si>
    <t>Rate is 0.1% of vehicle price with a minimum base of $10,000; License plates sold every two years. ﻿An $8.00 handling fee added to all transactions</t>
  </si>
  <si>
    <t>$35 Annually</t>
  </si>
  <si>
    <t>Annually: $128/car less than 3700 lbs., $180/car over 3700 lbs.</t>
  </si>
  <si>
    <t>$50 biannually</t>
  </si>
  <si>
    <t>Fees depend on the price of the vehicle; vary from $33 to $148 and decline by 10% each year until the fifth renewal.</t>
  </si>
  <si>
    <t>Registration tax system for passenger vehicles based on value of vehicle</t>
  </si>
  <si>
    <t>a</t>
  </si>
  <si>
    <t>b</t>
  </si>
  <si>
    <t>Horsepower</t>
  </si>
  <si>
    <t>hp</t>
  </si>
  <si>
    <t>Less than 12 horsepower (hp) - $18.50, 12 hp - 23 hp: $21.25, 24 hp - 35 hp : $24.25, 36 hp - 47 hp: $33.25, 48 hp - 59 hp: $39.25, 60 hp - 71 hp: $45.25, 72 hp and greater: $51.25; $3.50 processing fee</t>
  </si>
  <si>
    <t>$14 Annually</t>
  </si>
  <si>
    <t>Under 4 yrs. old $217.00, 5 – 10 yrs. old $87.00, 11+ yrs. old $28.00</t>
  </si>
  <si>
    <t>$15 Annually</t>
  </si>
  <si>
    <t>$33 Annually</t>
  </si>
  <si>
    <t>0-3000 lbs. $31.20, 3001-5000 lbs. $43.20, 5001-8000 lbs. $55.20, 8001-73,280 lbs. $ .96 per hundred lbs. gross weight</t>
  </si>
  <si>
    <t>2 years or younger: $59 &lt;3,500 lbs., $84 &gt;3,500 lbs.; Older than 2 years: $46.50 &lt;3,500 lbs., $71.50 &gt;3,500 lbs.</t>
  </si>
  <si>
    <t>Fee ~= .02*weight-12</t>
  </si>
  <si>
    <t>$28 Annually</t>
  </si>
  <si>
    <t>$34.50 Annually</t>
  </si>
  <si>
    <t>$91 1st - 4th years of registration, $81 5th -8th years of registration, $61 9th -12th years of registration, $41 13th - 16th years of registration, $21 17th + years of registration; All vehicles subject to an additional $5 in other fees</t>
  </si>
  <si>
    <t>$86 bianually</t>
  </si>
  <si>
    <t>$36 Annually</t>
  </si>
  <si>
    <t>$24 Annually</t>
  </si>
  <si>
    <t>Fee depends on weight and age</t>
  </si>
  <si>
    <t>$50.75 &lt;6000 lbs., $54 &gt;6000 lbs.</t>
  </si>
  <si>
    <t>$43 Annually</t>
  </si>
  <si>
    <t>Fuel Type</t>
  </si>
  <si>
    <t>Gasoline</t>
  </si>
  <si>
    <t>Diesel</t>
  </si>
  <si>
    <t>Electricity</t>
  </si>
  <si>
    <t>Ethanol</t>
  </si>
  <si>
    <t>Hydrogen</t>
  </si>
  <si>
    <t>Natural Gas</t>
  </si>
  <si>
    <t>Annually: $77 gas, $27 diesel, $122 other</t>
  </si>
  <si>
    <t>$40.75 &lt;4000 lbs., $45.75 &gt;4000 lbs.</t>
  </si>
  <si>
    <t>$43.75: 0 – 4k lbs., $53.75: 4,001 – 6,000 lbs., $63.75: 6,001 – 8,000 lbs.</t>
  </si>
  <si>
    <t>$30 Annually</t>
  </si>
  <si>
    <t>$75 Annually</t>
  </si>
  <si>
    <t>$15 (plus county registration that is calculated by a percentage of factory price of the vehicle and the age of the vehicle)</t>
  </si>
  <si>
    <t>Sales Tax</t>
  </si>
  <si>
    <t>Federal Fuel Tax</t>
  </si>
  <si>
    <t>State Fuel Tax</t>
  </si>
  <si>
    <t>Registration Fees</t>
  </si>
  <si>
    <t>Title Fees</t>
  </si>
  <si>
    <t>Inspection Fees</t>
  </si>
  <si>
    <t>Minimum Sales Tax</t>
  </si>
  <si>
    <t>Maximum Sales Tax</t>
  </si>
  <si>
    <t>Average Sales Tax</t>
  </si>
  <si>
    <t>Lifetime Federal Fuel Tax</t>
  </si>
  <si>
    <t>Lifetime State Fuel Tax</t>
  </si>
  <si>
    <t>Varies by year and weight of vehicle</t>
  </si>
  <si>
    <t>Varies by weight of vehicle</t>
  </si>
  <si>
    <t>Varies by year and MSRP of vehicle</t>
  </si>
  <si>
    <t>Inspection Notes</t>
  </si>
  <si>
    <t>No inspections</t>
  </si>
  <si>
    <t>$39 bianually</t>
  </si>
  <si>
    <t>$20 for first 6 years, afterwards $8.25 + $12 biannually; emissions</t>
  </si>
  <si>
    <t>1 time inspection, free of charge; safety</t>
  </si>
  <si>
    <t>$20, biannually; emissions</t>
  </si>
  <si>
    <t>$10 vin inspection 1 time inspection, $25 annually emissions test</t>
  </si>
  <si>
    <t>Emissions testing is free</t>
  </si>
  <si>
    <t>$11 biannually; emissions</t>
  </si>
  <si>
    <t>$10 for first 4 years, $35 every 2 years thereafter; emissions</t>
  </si>
  <si>
    <t>$10 vin inspection 1 time inspection, $20 biannually; emissions</t>
  </si>
  <si>
    <t>Exempt first two years, $10-$25 annually afterwards; emissions</t>
  </si>
  <si>
    <t>Exempt first two years, $15 annually afterwards; safety</t>
  </si>
  <si>
    <t>Exempt first four years, $20 biannually; emissions</t>
  </si>
  <si>
    <t>$20 1 time inspection; vin</t>
  </si>
  <si>
    <t>$18.50 annually; safety and emissions</t>
  </si>
  <si>
    <t>Exempt first two years, $14 annually afterwards; emissions</t>
  </si>
  <si>
    <t>Annually, $10-$18 depending on location; emissions</t>
  </si>
  <si>
    <t>$29 annually; emissions and safety</t>
  </si>
  <si>
    <t>$5 annually; safety</t>
  </si>
  <si>
    <t>$30 emissions inspection annually, $13.6 safety inspection annually</t>
  </si>
  <si>
    <t>$12 safety inspection biannually, $24 emissions inspection biannually</t>
  </si>
  <si>
    <t>$10 1 time inspection; safety</t>
  </si>
  <si>
    <t>$39.5 to $50 annually; emissions</t>
  </si>
  <si>
    <t>$20-$50 annually; emissions and safety</t>
  </si>
  <si>
    <t>$15-$20 biannually; emissions</t>
  </si>
  <si>
    <t>$10 safety inspection annually, $27 emissions inspection annually</t>
  </si>
  <si>
    <t>$7 1 time VIN inspection, $19 emissions inspection biannually</t>
  </si>
  <si>
    <t>$35-$50 emissions inspection annually, $16-$20 safety inspections annually</t>
  </si>
  <si>
    <t>$10 annually; emissions</t>
  </si>
  <si>
    <t>$14.25-$27.25 annually; emissions and safety</t>
  </si>
  <si>
    <t>$17 every 4 years until 10 years old, annually afterwards for safety, $28 every 2 years until 6 years old, annually afterwards for emissions</t>
  </si>
  <si>
    <t>$16 safety inspection annually; $28 emissions inspection biannually</t>
  </si>
  <si>
    <t>$7.50 annually; emissions</t>
  </si>
  <si>
    <t>$12.36 annually; safety</t>
  </si>
  <si>
    <t>$9 1 time VIN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</si>
</sst>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6" fontId="0" fillId="0" borderId="0" xfId="0" applyNumberForma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'Total Fees'!$B$1</c:f>
              <c:strCache>
                <c:ptCount val="1"/>
                <c:pt idx="0">
                  <c:v>Sales Tax</c:v>
                </c:pt>
              </c:strCache>
            </c:strRef>
          </c:tx>
          <c:invertIfNegative val="0"/>
          <c:cat>
            <c:strRef>
              <c:f>'Total Fees'!$A$2:$A$52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'Total Fees'!$B$2:$B$52</c:f>
              <c:numCache>
                <c:formatCode>"$"#,##0.00</c:formatCode>
                <c:ptCount val="51"/>
                <c:pt idx="0">
                  <c:v>2560</c:v>
                </c:pt>
                <c:pt idx="1">
                  <c:v>1200</c:v>
                </c:pt>
                <c:pt idx="2">
                  <c:v>3248</c:v>
                </c:pt>
                <c:pt idx="3">
                  <c:v>2800</c:v>
                </c:pt>
                <c:pt idx="4">
                  <c:v>2720</c:v>
                </c:pt>
                <c:pt idx="5">
                  <c:v>2048</c:v>
                </c:pt>
                <c:pt idx="6">
                  <c:v>2032</c:v>
                </c:pt>
                <c:pt idx="7">
                  <c:v>0</c:v>
                </c:pt>
                <c:pt idx="8">
                  <c:v>1920</c:v>
                </c:pt>
                <c:pt idx="9">
                  <c:v>2160</c:v>
                </c:pt>
                <c:pt idx="10">
                  <c:v>2080</c:v>
                </c:pt>
                <c:pt idx="11">
                  <c:v>1360</c:v>
                </c:pt>
                <c:pt idx="12">
                  <c:v>2400</c:v>
                </c:pt>
                <c:pt idx="13">
                  <c:v>2680</c:v>
                </c:pt>
                <c:pt idx="14">
                  <c:v>2240</c:v>
                </c:pt>
                <c:pt idx="15">
                  <c:v>2240</c:v>
                </c:pt>
                <c:pt idx="16">
                  <c:v>2816</c:v>
                </c:pt>
                <c:pt idx="17">
                  <c:v>1920</c:v>
                </c:pt>
                <c:pt idx="18">
                  <c:v>2360</c:v>
                </c:pt>
                <c:pt idx="19">
                  <c:v>1600</c:v>
                </c:pt>
                <c:pt idx="20">
                  <c:v>1920</c:v>
                </c:pt>
                <c:pt idx="21">
                  <c:v>2000</c:v>
                </c:pt>
                <c:pt idx="22">
                  <c:v>1920</c:v>
                </c:pt>
                <c:pt idx="23">
                  <c:v>2360</c:v>
                </c:pt>
                <c:pt idx="24">
                  <c:v>2280</c:v>
                </c:pt>
                <c:pt idx="25">
                  <c:v>2493.6000000000004</c:v>
                </c:pt>
                <c:pt idx="26">
                  <c:v>0</c:v>
                </c:pt>
                <c:pt idx="27">
                  <c:v>2080</c:v>
                </c:pt>
                <c:pt idx="28">
                  <c:v>2392</c:v>
                </c:pt>
                <c:pt idx="29">
                  <c:v>0</c:v>
                </c:pt>
                <c:pt idx="30">
                  <c:v>2240</c:v>
                </c:pt>
                <c:pt idx="31">
                  <c:v>2560</c:v>
                </c:pt>
                <c:pt idx="32">
                  <c:v>2080</c:v>
                </c:pt>
                <c:pt idx="33">
                  <c:v>2320</c:v>
                </c:pt>
                <c:pt idx="34">
                  <c:v>2080</c:v>
                </c:pt>
                <c:pt idx="35">
                  <c:v>2120</c:v>
                </c:pt>
                <c:pt idx="36">
                  <c:v>2456</c:v>
                </c:pt>
                <c:pt idx="37">
                  <c:v>0</c:v>
                </c:pt>
                <c:pt idx="38">
                  <c:v>2240</c:v>
                </c:pt>
                <c:pt idx="39">
                  <c:v>2240</c:v>
                </c:pt>
                <c:pt idx="40">
                  <c:v>2400</c:v>
                </c:pt>
                <c:pt idx="41">
                  <c:v>1600</c:v>
                </c:pt>
                <c:pt idx="42">
                  <c:v>2920</c:v>
                </c:pt>
                <c:pt idx="43">
                  <c:v>2320</c:v>
                </c:pt>
                <c:pt idx="44">
                  <c:v>2504</c:v>
                </c:pt>
                <c:pt idx="45">
                  <c:v>2080</c:v>
                </c:pt>
                <c:pt idx="46">
                  <c:v>1680</c:v>
                </c:pt>
                <c:pt idx="47">
                  <c:v>2640</c:v>
                </c:pt>
                <c:pt idx="48">
                  <c:v>2080</c:v>
                </c:pt>
                <c:pt idx="49">
                  <c:v>1840</c:v>
                </c:pt>
                <c:pt idx="50">
                  <c:v>1920</c:v>
                </c:pt>
              </c:numCache>
            </c:numRef>
          </c:val>
        </c:ser>
        <c:ser>
          <c:idx val="1"/>
          <c:order val="1"/>
          <c:tx>
            <c:strRef>
              <c:f>'Total Fees'!$C$1</c:f>
              <c:strCache>
                <c:ptCount val="1"/>
                <c:pt idx="0">
                  <c:v>Federal Fuel Tax</c:v>
                </c:pt>
              </c:strCache>
            </c:strRef>
          </c:tx>
          <c:invertIfNegative val="0"/>
          <c:cat>
            <c:strRef>
              <c:f>'Total Fees'!$A$2:$A$52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'Total Fees'!$C$2:$C$52</c:f>
              <c:numCache>
                <c:formatCode>"$"#,##0.00</c:formatCode>
                <c:ptCount val="51"/>
                <c:pt idx="0">
                  <c:v>377.30304000000001</c:v>
                </c:pt>
                <c:pt idx="1">
                  <c:v>377.30304000000001</c:v>
                </c:pt>
                <c:pt idx="2">
                  <c:v>377.30304000000001</c:v>
                </c:pt>
                <c:pt idx="3">
                  <c:v>377.30304000000001</c:v>
                </c:pt>
                <c:pt idx="4">
                  <c:v>377.30304000000001</c:v>
                </c:pt>
                <c:pt idx="5">
                  <c:v>377.30304000000001</c:v>
                </c:pt>
                <c:pt idx="6">
                  <c:v>377.30304000000001</c:v>
                </c:pt>
                <c:pt idx="7">
                  <c:v>377.30304000000001</c:v>
                </c:pt>
                <c:pt idx="8">
                  <c:v>377.30304000000001</c:v>
                </c:pt>
                <c:pt idx="9">
                  <c:v>377.30304000000001</c:v>
                </c:pt>
                <c:pt idx="10">
                  <c:v>377.30304000000001</c:v>
                </c:pt>
                <c:pt idx="11">
                  <c:v>377.30304000000001</c:v>
                </c:pt>
                <c:pt idx="12">
                  <c:v>377.30304000000001</c:v>
                </c:pt>
                <c:pt idx="13">
                  <c:v>377.30304000000001</c:v>
                </c:pt>
                <c:pt idx="14">
                  <c:v>377.30304000000001</c:v>
                </c:pt>
                <c:pt idx="15">
                  <c:v>377.30304000000001</c:v>
                </c:pt>
                <c:pt idx="16">
                  <c:v>377.30304000000001</c:v>
                </c:pt>
                <c:pt idx="17">
                  <c:v>377.30304000000001</c:v>
                </c:pt>
                <c:pt idx="18">
                  <c:v>377.30304000000001</c:v>
                </c:pt>
                <c:pt idx="19">
                  <c:v>377.30304000000001</c:v>
                </c:pt>
                <c:pt idx="20">
                  <c:v>377.30304000000001</c:v>
                </c:pt>
                <c:pt idx="21">
                  <c:v>377.30304000000001</c:v>
                </c:pt>
                <c:pt idx="22">
                  <c:v>377.30304000000001</c:v>
                </c:pt>
                <c:pt idx="23">
                  <c:v>377.30304000000001</c:v>
                </c:pt>
                <c:pt idx="24">
                  <c:v>377.30304000000001</c:v>
                </c:pt>
                <c:pt idx="25">
                  <c:v>377.30304000000001</c:v>
                </c:pt>
                <c:pt idx="26">
                  <c:v>377.30304000000001</c:v>
                </c:pt>
                <c:pt idx="27">
                  <c:v>377.30304000000001</c:v>
                </c:pt>
                <c:pt idx="28">
                  <c:v>377.30304000000001</c:v>
                </c:pt>
                <c:pt idx="29">
                  <c:v>377.30304000000001</c:v>
                </c:pt>
                <c:pt idx="30">
                  <c:v>377.30304000000001</c:v>
                </c:pt>
                <c:pt idx="31">
                  <c:v>377.30304000000001</c:v>
                </c:pt>
                <c:pt idx="32">
                  <c:v>377.30304000000001</c:v>
                </c:pt>
                <c:pt idx="33">
                  <c:v>377.30304000000001</c:v>
                </c:pt>
                <c:pt idx="34">
                  <c:v>377.30304000000001</c:v>
                </c:pt>
                <c:pt idx="35">
                  <c:v>377.30304000000001</c:v>
                </c:pt>
                <c:pt idx="36">
                  <c:v>377.30304000000001</c:v>
                </c:pt>
                <c:pt idx="37">
                  <c:v>377.30304000000001</c:v>
                </c:pt>
                <c:pt idx="38">
                  <c:v>377.30304000000001</c:v>
                </c:pt>
                <c:pt idx="39">
                  <c:v>377.30304000000001</c:v>
                </c:pt>
                <c:pt idx="40">
                  <c:v>377.30304000000001</c:v>
                </c:pt>
                <c:pt idx="41">
                  <c:v>377.30304000000001</c:v>
                </c:pt>
                <c:pt idx="42">
                  <c:v>377.30304000000001</c:v>
                </c:pt>
                <c:pt idx="43">
                  <c:v>377.30304000000001</c:v>
                </c:pt>
                <c:pt idx="44">
                  <c:v>377.30304000000001</c:v>
                </c:pt>
                <c:pt idx="45">
                  <c:v>377.30304000000001</c:v>
                </c:pt>
                <c:pt idx="46">
                  <c:v>377.30304000000001</c:v>
                </c:pt>
                <c:pt idx="47">
                  <c:v>377.30304000000001</c:v>
                </c:pt>
                <c:pt idx="48">
                  <c:v>377.30304000000001</c:v>
                </c:pt>
                <c:pt idx="49">
                  <c:v>377.30304000000001</c:v>
                </c:pt>
                <c:pt idx="50">
                  <c:v>377.30304000000001</c:v>
                </c:pt>
              </c:numCache>
            </c:numRef>
          </c:val>
        </c:ser>
        <c:ser>
          <c:idx val="2"/>
          <c:order val="2"/>
          <c:tx>
            <c:strRef>
              <c:f>'Total Fees'!$D$1</c:f>
              <c:strCache>
                <c:ptCount val="1"/>
                <c:pt idx="0">
                  <c:v>State Fuel Tax</c:v>
                </c:pt>
              </c:strCache>
            </c:strRef>
          </c:tx>
          <c:invertIfNegative val="0"/>
          <c:cat>
            <c:strRef>
              <c:f>'Total Fees'!$A$2:$A$52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'Total Fees'!$D$2:$D$52</c:f>
              <c:numCache>
                <c:formatCode>"$"#,##0.00</c:formatCode>
                <c:ptCount val="51"/>
                <c:pt idx="0">
                  <c:v>428.56703999999996</c:v>
                </c:pt>
                <c:pt idx="1">
                  <c:v>164.04480000000001</c:v>
                </c:pt>
                <c:pt idx="2">
                  <c:v>389.60640000000001</c:v>
                </c:pt>
                <c:pt idx="3">
                  <c:v>447.02207999999996</c:v>
                </c:pt>
                <c:pt idx="4">
                  <c:v>1035.5328</c:v>
                </c:pt>
                <c:pt idx="5">
                  <c:v>451.1232</c:v>
                </c:pt>
                <c:pt idx="6">
                  <c:v>922.75199999999995</c:v>
                </c:pt>
                <c:pt idx="7">
                  <c:v>471.62880000000001</c:v>
                </c:pt>
                <c:pt idx="8">
                  <c:v>481.88159999999993</c:v>
                </c:pt>
                <c:pt idx="9">
                  <c:v>717.69599999999991</c:v>
                </c:pt>
                <c:pt idx="10">
                  <c:v>586.46016000000009</c:v>
                </c:pt>
                <c:pt idx="11">
                  <c:v>1000.67328</c:v>
                </c:pt>
                <c:pt idx="12">
                  <c:v>512.64</c:v>
                </c:pt>
                <c:pt idx="13">
                  <c:v>871.48799999999994</c:v>
                </c:pt>
                <c:pt idx="14">
                  <c:v>844.83072000000004</c:v>
                </c:pt>
                <c:pt idx="15">
                  <c:v>451.1232</c:v>
                </c:pt>
                <c:pt idx="16">
                  <c:v>512.64</c:v>
                </c:pt>
                <c:pt idx="17">
                  <c:v>613.11743999999999</c:v>
                </c:pt>
                <c:pt idx="18">
                  <c:v>410.11200000000002</c:v>
                </c:pt>
                <c:pt idx="19">
                  <c:v>645.92639999999994</c:v>
                </c:pt>
                <c:pt idx="20">
                  <c:v>481.88159999999993</c:v>
                </c:pt>
                <c:pt idx="21">
                  <c:v>481.88159999999993</c:v>
                </c:pt>
                <c:pt idx="22">
                  <c:v>863.2857600000001</c:v>
                </c:pt>
                <c:pt idx="23">
                  <c:v>586.46016000000009</c:v>
                </c:pt>
                <c:pt idx="24">
                  <c:v>385.50527999999997</c:v>
                </c:pt>
                <c:pt idx="25">
                  <c:v>354.74688000000003</c:v>
                </c:pt>
                <c:pt idx="26">
                  <c:v>570.05568000000005</c:v>
                </c:pt>
                <c:pt idx="27">
                  <c:v>555.70176000000004</c:v>
                </c:pt>
                <c:pt idx="28">
                  <c:v>678.73536000000001</c:v>
                </c:pt>
                <c:pt idx="29">
                  <c:v>401.90976000000001</c:v>
                </c:pt>
                <c:pt idx="30">
                  <c:v>297.33119999999997</c:v>
                </c:pt>
                <c:pt idx="31">
                  <c:v>387.55583999999993</c:v>
                </c:pt>
                <c:pt idx="32">
                  <c:v>1051.9372800000001</c:v>
                </c:pt>
                <c:pt idx="33">
                  <c:v>775.11167999999986</c:v>
                </c:pt>
                <c:pt idx="34">
                  <c:v>471.62880000000001</c:v>
                </c:pt>
                <c:pt idx="35">
                  <c:v>574.15680000000009</c:v>
                </c:pt>
                <c:pt idx="36">
                  <c:v>348.59520000000003</c:v>
                </c:pt>
                <c:pt idx="37">
                  <c:v>635.67359999999996</c:v>
                </c:pt>
                <c:pt idx="38">
                  <c:v>662.33087999999987</c:v>
                </c:pt>
                <c:pt idx="39">
                  <c:v>676.6848</c:v>
                </c:pt>
                <c:pt idx="40">
                  <c:v>344.49408</c:v>
                </c:pt>
                <c:pt idx="41">
                  <c:v>492.13439999999997</c:v>
                </c:pt>
                <c:pt idx="42">
                  <c:v>438.81984</c:v>
                </c:pt>
                <c:pt idx="43">
                  <c:v>410.11200000000002</c:v>
                </c:pt>
                <c:pt idx="44">
                  <c:v>502.38719999999995</c:v>
                </c:pt>
                <c:pt idx="45">
                  <c:v>543.39840000000004</c:v>
                </c:pt>
                <c:pt idx="46">
                  <c:v>412.16256000000004</c:v>
                </c:pt>
                <c:pt idx="47">
                  <c:v>768.96</c:v>
                </c:pt>
                <c:pt idx="48">
                  <c:v>684.88703999999996</c:v>
                </c:pt>
                <c:pt idx="49">
                  <c:v>674.63423999999986</c:v>
                </c:pt>
                <c:pt idx="50">
                  <c:v>287.07840000000004</c:v>
                </c:pt>
              </c:numCache>
            </c:numRef>
          </c:val>
        </c:ser>
        <c:ser>
          <c:idx val="3"/>
          <c:order val="3"/>
          <c:tx>
            <c:strRef>
              <c:f>'Total Fees'!$E$1</c:f>
              <c:strCache>
                <c:ptCount val="1"/>
                <c:pt idx="0">
                  <c:v>Registration Fees</c:v>
                </c:pt>
              </c:strCache>
            </c:strRef>
          </c:tx>
          <c:invertIfNegative val="0"/>
          <c:cat>
            <c:strRef>
              <c:f>'Total Fees'!$A$2:$A$52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'Total Fees'!$E$2:$E$52</c:f>
              <c:numCache>
                <c:formatCode>"$"#,##0.00</c:formatCode>
                <c:ptCount val="51"/>
                <c:pt idx="0">
                  <c:v>276</c:v>
                </c:pt>
                <c:pt idx="1">
                  <c:v>600</c:v>
                </c:pt>
                <c:pt idx="2">
                  <c:v>1390.8</c:v>
                </c:pt>
                <c:pt idx="3">
                  <c:v>330</c:v>
                </c:pt>
                <c:pt idx="4">
                  <c:v>552</c:v>
                </c:pt>
                <c:pt idx="5">
                  <c:v>3011.4000000000005</c:v>
                </c:pt>
                <c:pt idx="6">
                  <c:v>480</c:v>
                </c:pt>
                <c:pt idx="7">
                  <c:v>480</c:v>
                </c:pt>
                <c:pt idx="8">
                  <c:v>432</c:v>
                </c:pt>
                <c:pt idx="9">
                  <c:v>591</c:v>
                </c:pt>
                <c:pt idx="10">
                  <c:v>240</c:v>
                </c:pt>
                <c:pt idx="11">
                  <c:v>824.84999999999991</c:v>
                </c:pt>
                <c:pt idx="12">
                  <c:v>384</c:v>
                </c:pt>
                <c:pt idx="13">
                  <c:v>1188</c:v>
                </c:pt>
                <c:pt idx="14">
                  <c:v>252.60000000000002</c:v>
                </c:pt>
                <c:pt idx="15">
                  <c:v>3229.2599999999998</c:v>
                </c:pt>
                <c:pt idx="16">
                  <c:v>420</c:v>
                </c:pt>
                <c:pt idx="17">
                  <c:v>252</c:v>
                </c:pt>
                <c:pt idx="18">
                  <c:v>432</c:v>
                </c:pt>
                <c:pt idx="19">
                  <c:v>420</c:v>
                </c:pt>
                <c:pt idx="20">
                  <c:v>1536</c:v>
                </c:pt>
                <c:pt idx="21">
                  <c:v>210</c:v>
                </c:pt>
                <c:pt idx="22">
                  <c:v>1372.1080000000004</c:v>
                </c:pt>
                <c:pt idx="23">
                  <c:v>2773.6923076923081</c:v>
                </c:pt>
                <c:pt idx="24">
                  <c:v>168</c:v>
                </c:pt>
                <c:pt idx="25">
                  <c:v>657</c:v>
                </c:pt>
                <c:pt idx="26">
                  <c:v>1446</c:v>
                </c:pt>
                <c:pt idx="27">
                  <c:v>180</c:v>
                </c:pt>
                <c:pt idx="28">
                  <c:v>396</c:v>
                </c:pt>
                <c:pt idx="29">
                  <c:v>518.40000000000009</c:v>
                </c:pt>
                <c:pt idx="30">
                  <c:v>583</c:v>
                </c:pt>
                <c:pt idx="31">
                  <c:v>667</c:v>
                </c:pt>
                <c:pt idx="32">
                  <c:v>674.66874999999982</c:v>
                </c:pt>
                <c:pt idx="33">
                  <c:v>336</c:v>
                </c:pt>
                <c:pt idx="34">
                  <c:v>804</c:v>
                </c:pt>
                <c:pt idx="35">
                  <c:v>408</c:v>
                </c:pt>
                <c:pt idx="36">
                  <c:v>992</c:v>
                </c:pt>
                <c:pt idx="37">
                  <c:v>516</c:v>
                </c:pt>
                <c:pt idx="38">
                  <c:v>432</c:v>
                </c:pt>
                <c:pt idx="39">
                  <c:v>360</c:v>
                </c:pt>
                <c:pt idx="40">
                  <c:v>288</c:v>
                </c:pt>
                <c:pt idx="41">
                  <c:v>566.1</c:v>
                </c:pt>
                <c:pt idx="42">
                  <c:v>288</c:v>
                </c:pt>
                <c:pt idx="43">
                  <c:v>609</c:v>
                </c:pt>
                <c:pt idx="44">
                  <c:v>516</c:v>
                </c:pt>
                <c:pt idx="45">
                  <c:v>924</c:v>
                </c:pt>
                <c:pt idx="46">
                  <c:v>489</c:v>
                </c:pt>
                <c:pt idx="47">
                  <c:v>525</c:v>
                </c:pt>
                <c:pt idx="48">
                  <c:v>360</c:v>
                </c:pt>
                <c:pt idx="49">
                  <c:v>900</c:v>
                </c:pt>
                <c:pt idx="50">
                  <c:v>3108</c:v>
                </c:pt>
              </c:numCache>
            </c:numRef>
          </c:val>
        </c:ser>
        <c:ser>
          <c:idx val="4"/>
          <c:order val="4"/>
          <c:tx>
            <c:strRef>
              <c:f>'Total Fees'!$F$1</c:f>
              <c:strCache>
                <c:ptCount val="1"/>
                <c:pt idx="0">
                  <c:v>Title Fees</c:v>
                </c:pt>
              </c:strCache>
            </c:strRef>
          </c:tx>
          <c:invertIfNegative val="0"/>
          <c:cat>
            <c:strRef>
              <c:f>'Total Fees'!$A$2:$A$52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'Total Fees'!$F$2:$F$52</c:f>
              <c:numCache>
                <c:formatCode>"$"#,##0.00</c:formatCode>
                <c:ptCount val="51"/>
                <c:pt idx="0">
                  <c:v>15</c:v>
                </c:pt>
                <c:pt idx="1">
                  <c:v>15</c:v>
                </c:pt>
                <c:pt idx="2">
                  <c:v>4</c:v>
                </c:pt>
                <c:pt idx="3">
                  <c:v>5</c:v>
                </c:pt>
                <c:pt idx="4">
                  <c:v>18</c:v>
                </c:pt>
                <c:pt idx="5">
                  <c:v>9.0500000000000007</c:v>
                </c:pt>
                <c:pt idx="6">
                  <c:v>25</c:v>
                </c:pt>
                <c:pt idx="7">
                  <c:v>35</c:v>
                </c:pt>
                <c:pt idx="8">
                  <c:v>26</c:v>
                </c:pt>
                <c:pt idx="9">
                  <c:v>77.25</c:v>
                </c:pt>
                <c:pt idx="10">
                  <c:v>18</c:v>
                </c:pt>
                <c:pt idx="11">
                  <c:v>5</c:v>
                </c:pt>
                <c:pt idx="12">
                  <c:v>14</c:v>
                </c:pt>
                <c:pt idx="13">
                  <c:v>95</c:v>
                </c:pt>
                <c:pt idx="14">
                  <c:v>15</c:v>
                </c:pt>
                <c:pt idx="15">
                  <c:v>25</c:v>
                </c:pt>
                <c:pt idx="16">
                  <c:v>10</c:v>
                </c:pt>
                <c:pt idx="17">
                  <c:v>10</c:v>
                </c:pt>
                <c:pt idx="18">
                  <c:v>18.5</c:v>
                </c:pt>
                <c:pt idx="19">
                  <c:v>33</c:v>
                </c:pt>
                <c:pt idx="20">
                  <c:v>100</c:v>
                </c:pt>
                <c:pt idx="21">
                  <c:v>75</c:v>
                </c:pt>
                <c:pt idx="22">
                  <c:v>15</c:v>
                </c:pt>
                <c:pt idx="23">
                  <c:v>13.75</c:v>
                </c:pt>
                <c:pt idx="24">
                  <c:v>9</c:v>
                </c:pt>
                <c:pt idx="25">
                  <c:v>11</c:v>
                </c:pt>
                <c:pt idx="26">
                  <c:v>12</c:v>
                </c:pt>
                <c:pt idx="27">
                  <c:v>10</c:v>
                </c:pt>
                <c:pt idx="28">
                  <c:v>28.25</c:v>
                </c:pt>
                <c:pt idx="29">
                  <c:v>25</c:v>
                </c:pt>
                <c:pt idx="30">
                  <c:v>60</c:v>
                </c:pt>
                <c:pt idx="31">
                  <c:v>3</c:v>
                </c:pt>
                <c:pt idx="32">
                  <c:v>55</c:v>
                </c:pt>
                <c:pt idx="33">
                  <c:v>40</c:v>
                </c:pt>
                <c:pt idx="34">
                  <c:v>5</c:v>
                </c:pt>
                <c:pt idx="35">
                  <c:v>16</c:v>
                </c:pt>
                <c:pt idx="36">
                  <c:v>11</c:v>
                </c:pt>
                <c:pt idx="37">
                  <c:v>77</c:v>
                </c:pt>
                <c:pt idx="38">
                  <c:v>22.5</c:v>
                </c:pt>
                <c:pt idx="39">
                  <c:v>51.5</c:v>
                </c:pt>
                <c:pt idx="40">
                  <c:v>15</c:v>
                </c:pt>
                <c:pt idx="41">
                  <c:v>5</c:v>
                </c:pt>
                <c:pt idx="42">
                  <c:v>13</c:v>
                </c:pt>
                <c:pt idx="43">
                  <c:v>13</c:v>
                </c:pt>
                <c:pt idx="44">
                  <c:v>6</c:v>
                </c:pt>
                <c:pt idx="45">
                  <c:v>33</c:v>
                </c:pt>
                <c:pt idx="46">
                  <c:v>10</c:v>
                </c:pt>
                <c:pt idx="47">
                  <c:v>25.5</c:v>
                </c:pt>
                <c:pt idx="48">
                  <c:v>10</c:v>
                </c:pt>
                <c:pt idx="49">
                  <c:v>69.5</c:v>
                </c:pt>
                <c:pt idx="50">
                  <c:v>9</c:v>
                </c:pt>
              </c:numCache>
            </c:numRef>
          </c:val>
        </c:ser>
        <c:ser>
          <c:idx val="5"/>
          <c:order val="5"/>
          <c:tx>
            <c:strRef>
              <c:f>'Total Fees'!$G$1</c:f>
              <c:strCache>
                <c:ptCount val="1"/>
                <c:pt idx="0">
                  <c:v>Inspection Fees</c:v>
                </c:pt>
              </c:strCache>
            </c:strRef>
          </c:tx>
          <c:invertIfNegative val="0"/>
          <c:cat>
            <c:strRef>
              <c:f>'Total Fees'!$A$2:$A$52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'Total Fees'!$G$2:$G$52</c:f>
              <c:numCache>
                <c:formatCode>"$"#,##0.00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120</c:v>
                </c:pt>
                <c:pt idx="3">
                  <c:v>0</c:v>
                </c:pt>
                <c:pt idx="4">
                  <c:v>0</c:v>
                </c:pt>
                <c:pt idx="5">
                  <c:v>310</c:v>
                </c:pt>
                <c:pt idx="6">
                  <c:v>130</c:v>
                </c:pt>
                <c:pt idx="7">
                  <c:v>0</c:v>
                </c:pt>
                <c:pt idx="8">
                  <c:v>180</c:v>
                </c:pt>
                <c:pt idx="9">
                  <c:v>0</c:v>
                </c:pt>
                <c:pt idx="10">
                  <c:v>100</c:v>
                </c:pt>
                <c:pt idx="11">
                  <c:v>150</c:v>
                </c:pt>
                <c:pt idx="12">
                  <c:v>66</c:v>
                </c:pt>
                <c:pt idx="13">
                  <c:v>160</c:v>
                </c:pt>
                <c:pt idx="14">
                  <c:v>0</c:v>
                </c:pt>
                <c:pt idx="15">
                  <c:v>0</c:v>
                </c:pt>
                <c:pt idx="16">
                  <c:v>20</c:v>
                </c:pt>
                <c:pt idx="17">
                  <c:v>0</c:v>
                </c:pt>
                <c:pt idx="18">
                  <c:v>120</c:v>
                </c:pt>
                <c:pt idx="19">
                  <c:v>222</c:v>
                </c:pt>
                <c:pt idx="20">
                  <c:v>140</c:v>
                </c:pt>
                <c:pt idx="21">
                  <c:v>348</c:v>
                </c:pt>
                <c:pt idx="22">
                  <c:v>0</c:v>
                </c:pt>
                <c:pt idx="23">
                  <c:v>0</c:v>
                </c:pt>
                <c:pt idx="24">
                  <c:v>60</c:v>
                </c:pt>
                <c:pt idx="25">
                  <c:v>432</c:v>
                </c:pt>
                <c:pt idx="26">
                  <c:v>0</c:v>
                </c:pt>
                <c:pt idx="27">
                  <c:v>10</c:v>
                </c:pt>
                <c:pt idx="28">
                  <c:v>474</c:v>
                </c:pt>
                <c:pt idx="29">
                  <c:v>240</c:v>
                </c:pt>
                <c:pt idx="30">
                  <c:v>0</c:v>
                </c:pt>
                <c:pt idx="31">
                  <c:v>180</c:v>
                </c:pt>
                <c:pt idx="32">
                  <c:v>444</c:v>
                </c:pt>
                <c:pt idx="33">
                  <c:v>523.20000000000005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121</c:v>
                </c:pt>
                <c:pt idx="38">
                  <c:v>612</c:v>
                </c:pt>
                <c:pt idx="39">
                  <c:v>19.5</c:v>
                </c:pt>
                <c:pt idx="40">
                  <c:v>0</c:v>
                </c:pt>
                <c:pt idx="41">
                  <c:v>0</c:v>
                </c:pt>
                <c:pt idx="42">
                  <c:v>120</c:v>
                </c:pt>
                <c:pt idx="43">
                  <c:v>327</c:v>
                </c:pt>
                <c:pt idx="44">
                  <c:v>337</c:v>
                </c:pt>
                <c:pt idx="45">
                  <c:v>60</c:v>
                </c:pt>
                <c:pt idx="46">
                  <c:v>360</c:v>
                </c:pt>
                <c:pt idx="47">
                  <c:v>90</c:v>
                </c:pt>
                <c:pt idx="48">
                  <c:v>148.32</c:v>
                </c:pt>
                <c:pt idx="49">
                  <c:v>0</c:v>
                </c:pt>
                <c:pt idx="50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844352"/>
        <c:axId val="65845888"/>
      </c:barChart>
      <c:catAx>
        <c:axId val="65844352"/>
        <c:scaling>
          <c:orientation val="minMax"/>
        </c:scaling>
        <c:delete val="0"/>
        <c:axPos val="b"/>
        <c:majorTickMark val="out"/>
        <c:minorTickMark val="none"/>
        <c:tickLblPos val="nextTo"/>
        <c:crossAx val="65845888"/>
        <c:crosses val="autoZero"/>
        <c:auto val="1"/>
        <c:lblAlgn val="ctr"/>
        <c:lblOffset val="100"/>
        <c:noMultiLvlLbl val="0"/>
      </c:catAx>
      <c:valAx>
        <c:axId val="65845888"/>
        <c:scaling>
          <c:orientation val="minMax"/>
        </c:scaling>
        <c:delete val="0"/>
        <c:axPos val="l"/>
        <c:majorGridlines/>
        <c:numFmt formatCode="&quot;$&quot;#,##0.00" sourceLinked="1"/>
        <c:majorTickMark val="out"/>
        <c:minorTickMark val="none"/>
        <c:tickLblPos val="nextTo"/>
        <c:crossAx val="65844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'Total Fees'!$C$1</c:f>
              <c:strCache>
                <c:ptCount val="1"/>
                <c:pt idx="0">
                  <c:v>Federal Fuel Tax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'Total Fees'!$A$2:$A$52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'Total Fees'!$C$2:$C$52</c:f>
              <c:numCache>
                <c:formatCode>"$"#,##0.00</c:formatCode>
                <c:ptCount val="51"/>
                <c:pt idx="0">
                  <c:v>377.30304000000001</c:v>
                </c:pt>
                <c:pt idx="1">
                  <c:v>377.30304000000001</c:v>
                </c:pt>
                <c:pt idx="2">
                  <c:v>377.30304000000001</c:v>
                </c:pt>
                <c:pt idx="3">
                  <c:v>377.30304000000001</c:v>
                </c:pt>
                <c:pt idx="4">
                  <c:v>377.30304000000001</c:v>
                </c:pt>
                <c:pt idx="5">
                  <c:v>377.30304000000001</c:v>
                </c:pt>
                <c:pt idx="6">
                  <c:v>377.30304000000001</c:v>
                </c:pt>
                <c:pt idx="7">
                  <c:v>377.30304000000001</c:v>
                </c:pt>
                <c:pt idx="8">
                  <c:v>377.30304000000001</c:v>
                </c:pt>
                <c:pt idx="9">
                  <c:v>377.30304000000001</c:v>
                </c:pt>
                <c:pt idx="10">
                  <c:v>377.30304000000001</c:v>
                </c:pt>
                <c:pt idx="11">
                  <c:v>377.30304000000001</c:v>
                </c:pt>
                <c:pt idx="12">
                  <c:v>377.30304000000001</c:v>
                </c:pt>
                <c:pt idx="13">
                  <c:v>377.30304000000001</c:v>
                </c:pt>
                <c:pt idx="14">
                  <c:v>377.30304000000001</c:v>
                </c:pt>
                <c:pt idx="15">
                  <c:v>377.30304000000001</c:v>
                </c:pt>
                <c:pt idx="16">
                  <c:v>377.30304000000001</c:v>
                </c:pt>
                <c:pt idx="17">
                  <c:v>377.30304000000001</c:v>
                </c:pt>
                <c:pt idx="18">
                  <c:v>377.30304000000001</c:v>
                </c:pt>
                <c:pt idx="19">
                  <c:v>377.30304000000001</c:v>
                </c:pt>
                <c:pt idx="20">
                  <c:v>377.30304000000001</c:v>
                </c:pt>
                <c:pt idx="21">
                  <c:v>377.30304000000001</c:v>
                </c:pt>
                <c:pt idx="22">
                  <c:v>377.30304000000001</c:v>
                </c:pt>
                <c:pt idx="23">
                  <c:v>377.30304000000001</c:v>
                </c:pt>
                <c:pt idx="24">
                  <c:v>377.30304000000001</c:v>
                </c:pt>
                <c:pt idx="25">
                  <c:v>377.30304000000001</c:v>
                </c:pt>
                <c:pt idx="26">
                  <c:v>377.30304000000001</c:v>
                </c:pt>
                <c:pt idx="27">
                  <c:v>377.30304000000001</c:v>
                </c:pt>
                <c:pt idx="28">
                  <c:v>377.30304000000001</c:v>
                </c:pt>
                <c:pt idx="29">
                  <c:v>377.30304000000001</c:v>
                </c:pt>
                <c:pt idx="30">
                  <c:v>377.30304000000001</c:v>
                </c:pt>
                <c:pt idx="31">
                  <c:v>377.30304000000001</c:v>
                </c:pt>
                <c:pt idx="32">
                  <c:v>377.30304000000001</c:v>
                </c:pt>
                <c:pt idx="33">
                  <c:v>377.30304000000001</c:v>
                </c:pt>
                <c:pt idx="34">
                  <c:v>377.30304000000001</c:v>
                </c:pt>
                <c:pt idx="35">
                  <c:v>377.30304000000001</c:v>
                </c:pt>
                <c:pt idx="36">
                  <c:v>377.30304000000001</c:v>
                </c:pt>
                <c:pt idx="37">
                  <c:v>377.30304000000001</c:v>
                </c:pt>
                <c:pt idx="38">
                  <c:v>377.30304000000001</c:v>
                </c:pt>
                <c:pt idx="39">
                  <c:v>377.30304000000001</c:v>
                </c:pt>
                <c:pt idx="40">
                  <c:v>377.30304000000001</c:v>
                </c:pt>
                <c:pt idx="41">
                  <c:v>377.30304000000001</c:v>
                </c:pt>
                <c:pt idx="42">
                  <c:v>377.30304000000001</c:v>
                </c:pt>
                <c:pt idx="43">
                  <c:v>377.30304000000001</c:v>
                </c:pt>
                <c:pt idx="44">
                  <c:v>377.30304000000001</c:v>
                </c:pt>
                <c:pt idx="45">
                  <c:v>377.30304000000001</c:v>
                </c:pt>
                <c:pt idx="46">
                  <c:v>377.30304000000001</c:v>
                </c:pt>
                <c:pt idx="47">
                  <c:v>377.30304000000001</c:v>
                </c:pt>
                <c:pt idx="48">
                  <c:v>377.30304000000001</c:v>
                </c:pt>
                <c:pt idx="49">
                  <c:v>377.30304000000001</c:v>
                </c:pt>
                <c:pt idx="50">
                  <c:v>377.30304000000001</c:v>
                </c:pt>
              </c:numCache>
            </c:numRef>
          </c:val>
        </c:ser>
        <c:ser>
          <c:idx val="1"/>
          <c:order val="1"/>
          <c:tx>
            <c:strRef>
              <c:f>'Total Fees'!$D$1</c:f>
              <c:strCache>
                <c:ptCount val="1"/>
                <c:pt idx="0">
                  <c:v>State Fuel Tax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f>'Total Fees'!$A$2:$A$52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'Total Fees'!$D$2:$D$52</c:f>
              <c:numCache>
                <c:formatCode>"$"#,##0.00</c:formatCode>
                <c:ptCount val="51"/>
                <c:pt idx="0">
                  <c:v>428.56703999999996</c:v>
                </c:pt>
                <c:pt idx="1">
                  <c:v>164.04480000000001</c:v>
                </c:pt>
                <c:pt idx="2">
                  <c:v>389.60640000000001</c:v>
                </c:pt>
                <c:pt idx="3">
                  <c:v>447.02207999999996</c:v>
                </c:pt>
                <c:pt idx="4">
                  <c:v>1035.5328</c:v>
                </c:pt>
                <c:pt idx="5">
                  <c:v>451.1232</c:v>
                </c:pt>
                <c:pt idx="6">
                  <c:v>922.75199999999995</c:v>
                </c:pt>
                <c:pt idx="7">
                  <c:v>471.62880000000001</c:v>
                </c:pt>
                <c:pt idx="8">
                  <c:v>481.88159999999993</c:v>
                </c:pt>
                <c:pt idx="9">
                  <c:v>717.69599999999991</c:v>
                </c:pt>
                <c:pt idx="10">
                  <c:v>586.46016000000009</c:v>
                </c:pt>
                <c:pt idx="11">
                  <c:v>1000.67328</c:v>
                </c:pt>
                <c:pt idx="12">
                  <c:v>512.64</c:v>
                </c:pt>
                <c:pt idx="13">
                  <c:v>871.48799999999994</c:v>
                </c:pt>
                <c:pt idx="14">
                  <c:v>844.83072000000004</c:v>
                </c:pt>
                <c:pt idx="15">
                  <c:v>451.1232</c:v>
                </c:pt>
                <c:pt idx="16">
                  <c:v>512.64</c:v>
                </c:pt>
                <c:pt idx="17">
                  <c:v>613.11743999999999</c:v>
                </c:pt>
                <c:pt idx="18">
                  <c:v>410.11200000000002</c:v>
                </c:pt>
                <c:pt idx="19">
                  <c:v>645.92639999999994</c:v>
                </c:pt>
                <c:pt idx="20">
                  <c:v>481.88159999999993</c:v>
                </c:pt>
                <c:pt idx="21">
                  <c:v>481.88159999999993</c:v>
                </c:pt>
                <c:pt idx="22">
                  <c:v>863.2857600000001</c:v>
                </c:pt>
                <c:pt idx="23">
                  <c:v>586.46016000000009</c:v>
                </c:pt>
                <c:pt idx="24">
                  <c:v>385.50527999999997</c:v>
                </c:pt>
                <c:pt idx="25">
                  <c:v>354.74688000000003</c:v>
                </c:pt>
                <c:pt idx="26">
                  <c:v>570.05568000000005</c:v>
                </c:pt>
                <c:pt idx="27">
                  <c:v>555.70176000000004</c:v>
                </c:pt>
                <c:pt idx="28">
                  <c:v>678.73536000000001</c:v>
                </c:pt>
                <c:pt idx="29">
                  <c:v>401.90976000000001</c:v>
                </c:pt>
                <c:pt idx="30">
                  <c:v>297.33119999999997</c:v>
                </c:pt>
                <c:pt idx="31">
                  <c:v>387.55583999999993</c:v>
                </c:pt>
                <c:pt idx="32">
                  <c:v>1051.9372800000001</c:v>
                </c:pt>
                <c:pt idx="33">
                  <c:v>775.11167999999986</c:v>
                </c:pt>
                <c:pt idx="34">
                  <c:v>471.62880000000001</c:v>
                </c:pt>
                <c:pt idx="35">
                  <c:v>574.15680000000009</c:v>
                </c:pt>
                <c:pt idx="36">
                  <c:v>348.59520000000003</c:v>
                </c:pt>
                <c:pt idx="37">
                  <c:v>635.67359999999996</c:v>
                </c:pt>
                <c:pt idx="38">
                  <c:v>662.33087999999987</c:v>
                </c:pt>
                <c:pt idx="39">
                  <c:v>676.6848</c:v>
                </c:pt>
                <c:pt idx="40">
                  <c:v>344.49408</c:v>
                </c:pt>
                <c:pt idx="41">
                  <c:v>492.13439999999997</c:v>
                </c:pt>
                <c:pt idx="42">
                  <c:v>438.81984</c:v>
                </c:pt>
                <c:pt idx="43">
                  <c:v>410.11200000000002</c:v>
                </c:pt>
                <c:pt idx="44">
                  <c:v>502.38719999999995</c:v>
                </c:pt>
                <c:pt idx="45">
                  <c:v>543.39840000000004</c:v>
                </c:pt>
                <c:pt idx="46">
                  <c:v>412.16256000000004</c:v>
                </c:pt>
                <c:pt idx="47">
                  <c:v>768.96</c:v>
                </c:pt>
                <c:pt idx="48">
                  <c:v>684.88703999999996</c:v>
                </c:pt>
                <c:pt idx="49">
                  <c:v>674.63423999999986</c:v>
                </c:pt>
                <c:pt idx="50">
                  <c:v>287.07840000000004</c:v>
                </c:pt>
              </c:numCache>
            </c:numRef>
          </c:val>
        </c:ser>
        <c:ser>
          <c:idx val="2"/>
          <c:order val="2"/>
          <c:tx>
            <c:strRef>
              <c:f>'Total Fees'!$E$1</c:f>
              <c:strCache>
                <c:ptCount val="1"/>
                <c:pt idx="0">
                  <c:v>Registration Fees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f>'Total Fees'!$A$2:$A$52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'Total Fees'!$E$2:$E$52</c:f>
              <c:numCache>
                <c:formatCode>"$"#,##0.00</c:formatCode>
                <c:ptCount val="51"/>
                <c:pt idx="0">
                  <c:v>276</c:v>
                </c:pt>
                <c:pt idx="1">
                  <c:v>600</c:v>
                </c:pt>
                <c:pt idx="2">
                  <c:v>1390.8</c:v>
                </c:pt>
                <c:pt idx="3">
                  <c:v>330</c:v>
                </c:pt>
                <c:pt idx="4">
                  <c:v>552</c:v>
                </c:pt>
                <c:pt idx="5">
                  <c:v>3011.4000000000005</c:v>
                </c:pt>
                <c:pt idx="6">
                  <c:v>480</c:v>
                </c:pt>
                <c:pt idx="7">
                  <c:v>480</c:v>
                </c:pt>
                <c:pt idx="8">
                  <c:v>432</c:v>
                </c:pt>
                <c:pt idx="9">
                  <c:v>591</c:v>
                </c:pt>
                <c:pt idx="10">
                  <c:v>240</c:v>
                </c:pt>
                <c:pt idx="11">
                  <c:v>824.84999999999991</c:v>
                </c:pt>
                <c:pt idx="12">
                  <c:v>384</c:v>
                </c:pt>
                <c:pt idx="13">
                  <c:v>1188</c:v>
                </c:pt>
                <c:pt idx="14">
                  <c:v>252.60000000000002</c:v>
                </c:pt>
                <c:pt idx="15">
                  <c:v>3229.2599999999998</c:v>
                </c:pt>
                <c:pt idx="16">
                  <c:v>420</c:v>
                </c:pt>
                <c:pt idx="17">
                  <c:v>252</c:v>
                </c:pt>
                <c:pt idx="18">
                  <c:v>432</c:v>
                </c:pt>
                <c:pt idx="19">
                  <c:v>420</c:v>
                </c:pt>
                <c:pt idx="20">
                  <c:v>1536</c:v>
                </c:pt>
                <c:pt idx="21">
                  <c:v>210</c:v>
                </c:pt>
                <c:pt idx="22">
                  <c:v>1372.1080000000004</c:v>
                </c:pt>
                <c:pt idx="23">
                  <c:v>2773.6923076923081</c:v>
                </c:pt>
                <c:pt idx="24">
                  <c:v>168</c:v>
                </c:pt>
                <c:pt idx="25">
                  <c:v>657</c:v>
                </c:pt>
                <c:pt idx="26">
                  <c:v>1446</c:v>
                </c:pt>
                <c:pt idx="27">
                  <c:v>180</c:v>
                </c:pt>
                <c:pt idx="28">
                  <c:v>396</c:v>
                </c:pt>
                <c:pt idx="29">
                  <c:v>518.40000000000009</c:v>
                </c:pt>
                <c:pt idx="30">
                  <c:v>583</c:v>
                </c:pt>
                <c:pt idx="31">
                  <c:v>667</c:v>
                </c:pt>
                <c:pt idx="32">
                  <c:v>674.66874999999982</c:v>
                </c:pt>
                <c:pt idx="33">
                  <c:v>336</c:v>
                </c:pt>
                <c:pt idx="34">
                  <c:v>804</c:v>
                </c:pt>
                <c:pt idx="35">
                  <c:v>408</c:v>
                </c:pt>
                <c:pt idx="36">
                  <c:v>992</c:v>
                </c:pt>
                <c:pt idx="37">
                  <c:v>516</c:v>
                </c:pt>
                <c:pt idx="38">
                  <c:v>432</c:v>
                </c:pt>
                <c:pt idx="39">
                  <c:v>360</c:v>
                </c:pt>
                <c:pt idx="40">
                  <c:v>288</c:v>
                </c:pt>
                <c:pt idx="41">
                  <c:v>566.1</c:v>
                </c:pt>
                <c:pt idx="42">
                  <c:v>288</c:v>
                </c:pt>
                <c:pt idx="43">
                  <c:v>609</c:v>
                </c:pt>
                <c:pt idx="44">
                  <c:v>516</c:v>
                </c:pt>
                <c:pt idx="45">
                  <c:v>924</c:v>
                </c:pt>
                <c:pt idx="46">
                  <c:v>489</c:v>
                </c:pt>
                <c:pt idx="47">
                  <c:v>525</c:v>
                </c:pt>
                <c:pt idx="48">
                  <c:v>360</c:v>
                </c:pt>
                <c:pt idx="49">
                  <c:v>900</c:v>
                </c:pt>
                <c:pt idx="50">
                  <c:v>3108</c:v>
                </c:pt>
              </c:numCache>
            </c:numRef>
          </c:val>
        </c:ser>
        <c:ser>
          <c:idx val="3"/>
          <c:order val="3"/>
          <c:tx>
            <c:strRef>
              <c:f>'Total Fees'!$F$1</c:f>
              <c:strCache>
                <c:ptCount val="1"/>
                <c:pt idx="0">
                  <c:v>Title Fees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f>'Total Fees'!$A$2:$A$52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'Total Fees'!$F$2:$F$52</c:f>
              <c:numCache>
                <c:formatCode>"$"#,##0.00</c:formatCode>
                <c:ptCount val="51"/>
                <c:pt idx="0">
                  <c:v>15</c:v>
                </c:pt>
                <c:pt idx="1">
                  <c:v>15</c:v>
                </c:pt>
                <c:pt idx="2">
                  <c:v>4</c:v>
                </c:pt>
                <c:pt idx="3">
                  <c:v>5</c:v>
                </c:pt>
                <c:pt idx="4">
                  <c:v>18</c:v>
                </c:pt>
                <c:pt idx="5">
                  <c:v>9.0500000000000007</c:v>
                </c:pt>
                <c:pt idx="6">
                  <c:v>25</c:v>
                </c:pt>
                <c:pt idx="7">
                  <c:v>35</c:v>
                </c:pt>
                <c:pt idx="8">
                  <c:v>26</c:v>
                </c:pt>
                <c:pt idx="9">
                  <c:v>77.25</c:v>
                </c:pt>
                <c:pt idx="10">
                  <c:v>18</c:v>
                </c:pt>
                <c:pt idx="11">
                  <c:v>5</c:v>
                </c:pt>
                <c:pt idx="12">
                  <c:v>14</c:v>
                </c:pt>
                <c:pt idx="13">
                  <c:v>95</c:v>
                </c:pt>
                <c:pt idx="14">
                  <c:v>15</c:v>
                </c:pt>
                <c:pt idx="15">
                  <c:v>25</c:v>
                </c:pt>
                <c:pt idx="16">
                  <c:v>10</c:v>
                </c:pt>
                <c:pt idx="17">
                  <c:v>10</c:v>
                </c:pt>
                <c:pt idx="18">
                  <c:v>18.5</c:v>
                </c:pt>
                <c:pt idx="19">
                  <c:v>33</c:v>
                </c:pt>
                <c:pt idx="20">
                  <c:v>100</c:v>
                </c:pt>
                <c:pt idx="21">
                  <c:v>75</c:v>
                </c:pt>
                <c:pt idx="22">
                  <c:v>15</c:v>
                </c:pt>
                <c:pt idx="23">
                  <c:v>13.75</c:v>
                </c:pt>
                <c:pt idx="24">
                  <c:v>9</c:v>
                </c:pt>
                <c:pt idx="25">
                  <c:v>11</c:v>
                </c:pt>
                <c:pt idx="26">
                  <c:v>12</c:v>
                </c:pt>
                <c:pt idx="27">
                  <c:v>10</c:v>
                </c:pt>
                <c:pt idx="28">
                  <c:v>28.25</c:v>
                </c:pt>
                <c:pt idx="29">
                  <c:v>25</c:v>
                </c:pt>
                <c:pt idx="30">
                  <c:v>60</c:v>
                </c:pt>
                <c:pt idx="31">
                  <c:v>3</c:v>
                </c:pt>
                <c:pt idx="32">
                  <c:v>55</c:v>
                </c:pt>
                <c:pt idx="33">
                  <c:v>40</c:v>
                </c:pt>
                <c:pt idx="34">
                  <c:v>5</c:v>
                </c:pt>
                <c:pt idx="35">
                  <c:v>16</c:v>
                </c:pt>
                <c:pt idx="36">
                  <c:v>11</c:v>
                </c:pt>
                <c:pt idx="37">
                  <c:v>77</c:v>
                </c:pt>
                <c:pt idx="38">
                  <c:v>22.5</c:v>
                </c:pt>
                <c:pt idx="39">
                  <c:v>51.5</c:v>
                </c:pt>
                <c:pt idx="40">
                  <c:v>15</c:v>
                </c:pt>
                <c:pt idx="41">
                  <c:v>5</c:v>
                </c:pt>
                <c:pt idx="42">
                  <c:v>13</c:v>
                </c:pt>
                <c:pt idx="43">
                  <c:v>13</c:v>
                </c:pt>
                <c:pt idx="44">
                  <c:v>6</c:v>
                </c:pt>
                <c:pt idx="45">
                  <c:v>33</c:v>
                </c:pt>
                <c:pt idx="46">
                  <c:v>10</c:v>
                </c:pt>
                <c:pt idx="47">
                  <c:v>25.5</c:v>
                </c:pt>
                <c:pt idx="48">
                  <c:v>10</c:v>
                </c:pt>
                <c:pt idx="49">
                  <c:v>69.5</c:v>
                </c:pt>
                <c:pt idx="50">
                  <c:v>9</c:v>
                </c:pt>
              </c:numCache>
            </c:numRef>
          </c:val>
        </c:ser>
        <c:ser>
          <c:idx val="4"/>
          <c:order val="4"/>
          <c:tx>
            <c:strRef>
              <c:f>'Total Fees'!$G$1</c:f>
              <c:strCache>
                <c:ptCount val="1"/>
                <c:pt idx="0">
                  <c:v>Inspection Fees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strRef>
              <c:f>'Total Fees'!$A$2:$A$52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'Total Fees'!$G$2:$G$52</c:f>
              <c:numCache>
                <c:formatCode>"$"#,##0.00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120</c:v>
                </c:pt>
                <c:pt idx="3">
                  <c:v>0</c:v>
                </c:pt>
                <c:pt idx="4">
                  <c:v>0</c:v>
                </c:pt>
                <c:pt idx="5">
                  <c:v>310</c:v>
                </c:pt>
                <c:pt idx="6">
                  <c:v>130</c:v>
                </c:pt>
                <c:pt idx="7">
                  <c:v>0</c:v>
                </c:pt>
                <c:pt idx="8">
                  <c:v>180</c:v>
                </c:pt>
                <c:pt idx="9">
                  <c:v>0</c:v>
                </c:pt>
                <c:pt idx="10">
                  <c:v>100</c:v>
                </c:pt>
                <c:pt idx="11">
                  <c:v>150</c:v>
                </c:pt>
                <c:pt idx="12">
                  <c:v>66</c:v>
                </c:pt>
                <c:pt idx="13">
                  <c:v>160</c:v>
                </c:pt>
                <c:pt idx="14">
                  <c:v>0</c:v>
                </c:pt>
                <c:pt idx="15">
                  <c:v>0</c:v>
                </c:pt>
                <c:pt idx="16">
                  <c:v>20</c:v>
                </c:pt>
                <c:pt idx="17">
                  <c:v>0</c:v>
                </c:pt>
                <c:pt idx="18">
                  <c:v>120</c:v>
                </c:pt>
                <c:pt idx="19">
                  <c:v>222</c:v>
                </c:pt>
                <c:pt idx="20">
                  <c:v>140</c:v>
                </c:pt>
                <c:pt idx="21">
                  <c:v>348</c:v>
                </c:pt>
                <c:pt idx="22">
                  <c:v>0</c:v>
                </c:pt>
                <c:pt idx="23">
                  <c:v>0</c:v>
                </c:pt>
                <c:pt idx="24">
                  <c:v>60</c:v>
                </c:pt>
                <c:pt idx="25">
                  <c:v>432</c:v>
                </c:pt>
                <c:pt idx="26">
                  <c:v>0</c:v>
                </c:pt>
                <c:pt idx="27">
                  <c:v>10</c:v>
                </c:pt>
                <c:pt idx="28">
                  <c:v>474</c:v>
                </c:pt>
                <c:pt idx="29">
                  <c:v>240</c:v>
                </c:pt>
                <c:pt idx="30">
                  <c:v>0</c:v>
                </c:pt>
                <c:pt idx="31">
                  <c:v>180</c:v>
                </c:pt>
                <c:pt idx="32">
                  <c:v>444</c:v>
                </c:pt>
                <c:pt idx="33">
                  <c:v>523.20000000000005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121</c:v>
                </c:pt>
                <c:pt idx="38">
                  <c:v>612</c:v>
                </c:pt>
                <c:pt idx="39">
                  <c:v>19.5</c:v>
                </c:pt>
                <c:pt idx="40">
                  <c:v>0</c:v>
                </c:pt>
                <c:pt idx="41">
                  <c:v>0</c:v>
                </c:pt>
                <c:pt idx="42">
                  <c:v>120</c:v>
                </c:pt>
                <c:pt idx="43">
                  <c:v>327</c:v>
                </c:pt>
                <c:pt idx="44">
                  <c:v>337</c:v>
                </c:pt>
                <c:pt idx="45">
                  <c:v>60</c:v>
                </c:pt>
                <c:pt idx="46">
                  <c:v>360</c:v>
                </c:pt>
                <c:pt idx="47">
                  <c:v>90</c:v>
                </c:pt>
                <c:pt idx="48">
                  <c:v>148.32</c:v>
                </c:pt>
                <c:pt idx="49">
                  <c:v>0</c:v>
                </c:pt>
                <c:pt idx="50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697600"/>
        <c:axId val="100699136"/>
      </c:barChart>
      <c:catAx>
        <c:axId val="100697600"/>
        <c:scaling>
          <c:orientation val="minMax"/>
        </c:scaling>
        <c:delete val="0"/>
        <c:axPos val="b"/>
        <c:majorTickMark val="out"/>
        <c:minorTickMark val="none"/>
        <c:tickLblPos val="nextTo"/>
        <c:crossAx val="100699136"/>
        <c:crosses val="autoZero"/>
        <c:auto val="1"/>
        <c:lblAlgn val="ctr"/>
        <c:lblOffset val="100"/>
        <c:noMultiLvlLbl val="0"/>
      </c:catAx>
      <c:valAx>
        <c:axId val="100699136"/>
        <c:scaling>
          <c:orientation val="minMax"/>
        </c:scaling>
        <c:delete val="0"/>
        <c:axPos val="l"/>
        <c:majorGridlines/>
        <c:numFmt formatCode="&quot;$&quot;#,##0.00" sourceLinked="1"/>
        <c:majorTickMark val="out"/>
        <c:minorTickMark val="none"/>
        <c:tickLblPos val="nextTo"/>
        <c:crossAx val="100697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552449</xdr:colOff>
      <xdr:row>34</xdr:row>
      <xdr:rowOff>28575</xdr:rowOff>
    </xdr:from>
    <xdr:to>
      <xdr:col>25</xdr:col>
      <xdr:colOff>447675</xdr:colOff>
      <xdr:row>69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428623</xdr:colOff>
      <xdr:row>0</xdr:row>
      <xdr:rowOff>0</xdr:rowOff>
    </xdr:from>
    <xdr:to>
      <xdr:col>25</xdr:col>
      <xdr:colOff>257175</xdr:colOff>
      <xdr:row>33</xdr:row>
      <xdr:rowOff>66676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" sqref="F1"/>
    </sheetView>
  </sheetViews>
  <sheetFormatPr defaultRowHeight="15" x14ac:dyDescent="0.25"/>
  <cols>
    <col min="1" max="1" width="14" bestFit="1" customWidth="1"/>
    <col min="5" max="5" width="15.7109375" bestFit="1" customWidth="1"/>
  </cols>
  <sheetData>
    <row r="1" spans="1:7" x14ac:dyDescent="0.25">
      <c r="A1" t="s">
        <v>62</v>
      </c>
      <c r="B1" t="s">
        <v>77</v>
      </c>
      <c r="E1" t="s">
        <v>69</v>
      </c>
      <c r="F1">
        <v>8544</v>
      </c>
      <c r="G1" t="s">
        <v>68</v>
      </c>
    </row>
    <row r="2" spans="1:7" x14ac:dyDescent="0.25">
      <c r="A2" t="s">
        <v>63</v>
      </c>
      <c r="B2" t="s">
        <v>78</v>
      </c>
      <c r="E2" t="s">
        <v>70</v>
      </c>
      <c r="F2">
        <v>12</v>
      </c>
      <c r="G2" t="s">
        <v>71</v>
      </c>
    </row>
    <row r="3" spans="1:7" x14ac:dyDescent="0.25">
      <c r="A3" t="s">
        <v>64</v>
      </c>
      <c r="B3">
        <v>32000</v>
      </c>
      <c r="C3" t="s">
        <v>66</v>
      </c>
    </row>
    <row r="4" spans="1:7" x14ac:dyDescent="0.25">
      <c r="A4" t="s">
        <v>65</v>
      </c>
      <c r="B4">
        <v>3165</v>
      </c>
      <c r="C4" t="s">
        <v>67</v>
      </c>
    </row>
    <row r="5" spans="1:7" x14ac:dyDescent="0.25">
      <c r="A5" t="s">
        <v>81</v>
      </c>
      <c r="B5">
        <v>50</v>
      </c>
      <c r="C5" t="s">
        <v>82</v>
      </c>
    </row>
    <row r="6" spans="1:7" x14ac:dyDescent="0.25">
      <c r="A6" t="s">
        <v>85</v>
      </c>
      <c r="B6" t="s">
        <v>88</v>
      </c>
    </row>
    <row r="7" spans="1:7" x14ac:dyDescent="0.25">
      <c r="A7" t="s">
        <v>129</v>
      </c>
      <c r="B7" t="s">
        <v>130</v>
      </c>
    </row>
    <row r="8" spans="1:7" x14ac:dyDescent="0.25">
      <c r="A8" t="s">
        <v>110</v>
      </c>
      <c r="B8">
        <v>98</v>
      </c>
      <c r="C8" t="s">
        <v>111</v>
      </c>
    </row>
  </sheetData>
  <dataValidations count="2">
    <dataValidation type="list" allowBlank="1" showInputMessage="1" showErrorMessage="1" sqref="B6">
      <formula1>Drivetrain</formula1>
    </dataValidation>
    <dataValidation type="list" allowBlank="1" showInputMessage="1" showErrorMessage="1" sqref="B7">
      <formula1>Fuels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sqref="A1:A1048576"/>
    </sheetView>
  </sheetViews>
  <sheetFormatPr defaultRowHeight="15" x14ac:dyDescent="0.25"/>
  <cols>
    <col min="1" max="1" width="18.7109375" bestFit="1" customWidth="1"/>
    <col min="2" max="2" width="10" bestFit="1" customWidth="1"/>
    <col min="3" max="3" width="19.140625" bestFit="1" customWidth="1"/>
    <col min="4" max="4" width="19.42578125" bestFit="1" customWidth="1"/>
    <col min="5" max="5" width="18.28515625" bestFit="1" customWidth="1"/>
    <col min="6" max="6" width="18.5703125" bestFit="1" customWidth="1"/>
    <col min="7" max="7" width="16.85546875" bestFit="1" customWidth="1"/>
  </cols>
  <sheetData>
    <row r="1" spans="1:7" x14ac:dyDescent="0.25">
      <c r="A1" t="s">
        <v>51</v>
      </c>
      <c r="B1" t="s">
        <v>52</v>
      </c>
      <c r="C1" t="s">
        <v>53</v>
      </c>
      <c r="D1" t="s">
        <v>54</v>
      </c>
      <c r="E1" t="s">
        <v>148</v>
      </c>
      <c r="F1" t="s">
        <v>149</v>
      </c>
      <c r="G1" t="s">
        <v>150</v>
      </c>
    </row>
    <row r="2" spans="1:7" x14ac:dyDescent="0.25">
      <c r="A2" t="s">
        <v>0</v>
      </c>
      <c r="B2" s="1">
        <v>0.04</v>
      </c>
      <c r="C2" s="1">
        <v>0</v>
      </c>
      <c r="D2" s="1">
        <v>0.08</v>
      </c>
      <c r="E2">
        <f>(B2+C2)*'Vehicle Information'!$B$3</f>
        <v>1280</v>
      </c>
      <c r="F2">
        <f>(B2+D2)*'Vehicle Information'!$B$3</f>
        <v>3840</v>
      </c>
      <c r="G2">
        <f>AVERAGE(E2:F2)</f>
        <v>2560</v>
      </c>
    </row>
    <row r="3" spans="1:7" x14ac:dyDescent="0.25">
      <c r="A3" t="s">
        <v>1</v>
      </c>
      <c r="B3" s="1">
        <v>0</v>
      </c>
      <c r="C3" s="1">
        <v>0</v>
      </c>
      <c r="D3" s="1">
        <v>7.4999999999999997E-2</v>
      </c>
      <c r="E3">
        <f>(B3+C3)*'Vehicle Information'!$B$3</f>
        <v>0</v>
      </c>
      <c r="F3">
        <f>(B3+D3)*'Vehicle Information'!$B$3</f>
        <v>2400</v>
      </c>
      <c r="G3">
        <f t="shared" ref="G3:G52" si="0">AVERAGE(E3:F3)</f>
        <v>1200</v>
      </c>
    </row>
    <row r="4" spans="1:7" x14ac:dyDescent="0.25">
      <c r="A4" t="s">
        <v>2</v>
      </c>
      <c r="B4" s="1">
        <v>6.6000000000000003E-2</v>
      </c>
      <c r="C4" s="1">
        <v>0</v>
      </c>
      <c r="D4" s="1">
        <v>7.0999999999999994E-2</v>
      </c>
      <c r="E4">
        <f>(B4+C4)*'Vehicle Information'!$B$3</f>
        <v>2112</v>
      </c>
      <c r="F4">
        <f>(B4+D4)*'Vehicle Information'!$B$3</f>
        <v>4384</v>
      </c>
      <c r="G4">
        <f t="shared" si="0"/>
        <v>3248</v>
      </c>
    </row>
    <row r="5" spans="1:7" x14ac:dyDescent="0.25">
      <c r="A5" t="s">
        <v>3</v>
      </c>
      <c r="B5" s="1">
        <v>0.06</v>
      </c>
      <c r="C5" s="1">
        <v>0</v>
      </c>
      <c r="D5" s="1">
        <v>5.5E-2</v>
      </c>
      <c r="E5">
        <f>(B5+C5)*'Vehicle Information'!$B$3</f>
        <v>1920</v>
      </c>
      <c r="F5">
        <f>(B5+D5)*'Vehicle Information'!$B$3</f>
        <v>3679.9999999999995</v>
      </c>
      <c r="G5">
        <f t="shared" si="0"/>
        <v>2800</v>
      </c>
    </row>
    <row r="6" spans="1:7" x14ac:dyDescent="0.25">
      <c r="A6" t="s">
        <v>4</v>
      </c>
      <c r="B6" s="1">
        <v>6.25E-2</v>
      </c>
      <c r="C6" s="1">
        <v>0.01</v>
      </c>
      <c r="D6" s="1">
        <v>3.5000000000000003E-2</v>
      </c>
      <c r="E6">
        <f>(B6+C6)*'Vehicle Information'!$B$3</f>
        <v>2320</v>
      </c>
      <c r="F6">
        <f>(B6+D6)*'Vehicle Information'!$B$3</f>
        <v>3120</v>
      </c>
      <c r="G6">
        <f t="shared" si="0"/>
        <v>2720</v>
      </c>
    </row>
    <row r="7" spans="1:7" x14ac:dyDescent="0.25">
      <c r="A7" t="s">
        <v>5</v>
      </c>
      <c r="B7" s="1">
        <v>2.9000000000000001E-2</v>
      </c>
      <c r="C7" s="1">
        <v>0</v>
      </c>
      <c r="D7" s="1">
        <v>7.0000000000000007E-2</v>
      </c>
      <c r="E7">
        <f>(B7+C7)*'Vehicle Information'!$B$3</f>
        <v>928</v>
      </c>
      <c r="F7">
        <f>(B7+D7)*'Vehicle Information'!$B$3</f>
        <v>3168</v>
      </c>
      <c r="G7">
        <f t="shared" si="0"/>
        <v>2048</v>
      </c>
    </row>
    <row r="8" spans="1:7" x14ac:dyDescent="0.25">
      <c r="A8" t="s">
        <v>6</v>
      </c>
      <c r="B8" s="1">
        <v>6.3500000000000001E-2</v>
      </c>
      <c r="C8" s="1">
        <v>0</v>
      </c>
      <c r="D8" s="1">
        <v>0</v>
      </c>
      <c r="E8">
        <f>(B8+C8)*'Vehicle Information'!$B$3</f>
        <v>2032</v>
      </c>
      <c r="F8">
        <f>(B8+D8)*'Vehicle Information'!$B$3</f>
        <v>2032</v>
      </c>
      <c r="G8">
        <f t="shared" si="0"/>
        <v>2032</v>
      </c>
    </row>
    <row r="9" spans="1:7" x14ac:dyDescent="0.25">
      <c r="A9" t="s">
        <v>7</v>
      </c>
      <c r="B9" s="1">
        <v>0</v>
      </c>
      <c r="C9" s="1">
        <v>0</v>
      </c>
      <c r="D9" s="1">
        <v>0</v>
      </c>
      <c r="E9">
        <f>(B9+C9)*'Vehicle Information'!$B$3</f>
        <v>0</v>
      </c>
      <c r="F9">
        <f>(B9+D9)*'Vehicle Information'!$B$3</f>
        <v>0</v>
      </c>
      <c r="G9">
        <f t="shared" si="0"/>
        <v>0</v>
      </c>
    </row>
    <row r="10" spans="1:7" x14ac:dyDescent="0.25">
      <c r="A10" t="s">
        <v>8</v>
      </c>
      <c r="B10" s="1">
        <v>0.06</v>
      </c>
      <c r="C10" s="1">
        <v>0</v>
      </c>
      <c r="D10" s="1">
        <v>0</v>
      </c>
      <c r="E10">
        <f>(B10+C10)*'Vehicle Information'!$B$3</f>
        <v>1920</v>
      </c>
      <c r="F10">
        <f>(B10+D10)*'Vehicle Information'!$B$3</f>
        <v>1920</v>
      </c>
      <c r="G10">
        <f t="shared" si="0"/>
        <v>1920</v>
      </c>
    </row>
    <row r="11" spans="1:7" x14ac:dyDescent="0.25">
      <c r="A11" t="s">
        <v>9</v>
      </c>
      <c r="B11" s="1">
        <v>0.06</v>
      </c>
      <c r="C11" s="1">
        <v>0</v>
      </c>
      <c r="D11" s="1">
        <v>1.4999999999999999E-2</v>
      </c>
      <c r="E11">
        <f>(B11+C11)*'Vehicle Information'!$B$3</f>
        <v>1920</v>
      </c>
      <c r="F11">
        <f>(B11+D11)*'Vehicle Information'!$B$3</f>
        <v>2400</v>
      </c>
      <c r="G11">
        <f t="shared" si="0"/>
        <v>2160</v>
      </c>
    </row>
    <row r="12" spans="1:7" x14ac:dyDescent="0.25">
      <c r="A12" t="s">
        <v>10</v>
      </c>
      <c r="B12" s="1">
        <v>0.04</v>
      </c>
      <c r="C12" s="1">
        <v>0.01</v>
      </c>
      <c r="D12" s="1">
        <v>0.04</v>
      </c>
      <c r="E12">
        <f>(B12+C12)*'Vehicle Information'!$B$3</f>
        <v>1600</v>
      </c>
      <c r="F12">
        <f>(B12+D12)*'Vehicle Information'!$B$3</f>
        <v>2560</v>
      </c>
      <c r="G12">
        <f t="shared" si="0"/>
        <v>2080</v>
      </c>
    </row>
    <row r="13" spans="1:7" x14ac:dyDescent="0.25">
      <c r="A13" t="s">
        <v>11</v>
      </c>
      <c r="B13" s="1">
        <v>0.04</v>
      </c>
      <c r="C13" s="1">
        <v>0</v>
      </c>
      <c r="D13" s="1">
        <v>5.0000000000000001E-3</v>
      </c>
      <c r="E13">
        <f>(B13+C13)*'Vehicle Information'!$B$3</f>
        <v>1280</v>
      </c>
      <c r="F13">
        <f>(B13+D13)*'Vehicle Information'!$B$3</f>
        <v>1440</v>
      </c>
      <c r="G13">
        <f t="shared" si="0"/>
        <v>1360</v>
      </c>
    </row>
    <row r="14" spans="1:7" x14ac:dyDescent="0.25">
      <c r="A14" t="s">
        <v>12</v>
      </c>
      <c r="B14" s="1">
        <v>0.06</v>
      </c>
      <c r="C14" s="1">
        <v>0</v>
      </c>
      <c r="D14" s="1">
        <v>0.03</v>
      </c>
      <c r="E14">
        <f>(B14+C14)*'Vehicle Information'!$B$3</f>
        <v>1920</v>
      </c>
      <c r="F14">
        <f>(B14+D14)*'Vehicle Information'!$B$3</f>
        <v>2880</v>
      </c>
      <c r="G14">
        <f t="shared" si="0"/>
        <v>2400</v>
      </c>
    </row>
    <row r="15" spans="1:7" x14ac:dyDescent="0.25">
      <c r="A15" t="s">
        <v>13</v>
      </c>
      <c r="B15" s="1">
        <v>6.25E-2</v>
      </c>
      <c r="C15" s="1">
        <v>0</v>
      </c>
      <c r="D15" s="1">
        <v>4.2500000000000003E-2</v>
      </c>
      <c r="E15">
        <f>(B15+C15)*'Vehicle Information'!$B$3</f>
        <v>2000</v>
      </c>
      <c r="F15">
        <f>(B15+D15)*'Vehicle Information'!$B$3</f>
        <v>3360.0000000000005</v>
      </c>
      <c r="G15">
        <f t="shared" si="0"/>
        <v>2680</v>
      </c>
    </row>
    <row r="16" spans="1:7" x14ac:dyDescent="0.25">
      <c r="A16" t="s">
        <v>14</v>
      </c>
      <c r="B16" s="1">
        <v>7.0000000000000007E-2</v>
      </c>
      <c r="C16" s="1">
        <v>0</v>
      </c>
      <c r="D16" s="1">
        <v>0</v>
      </c>
      <c r="E16">
        <f>(B16+C16)*'Vehicle Information'!$B$3</f>
        <v>2240</v>
      </c>
      <c r="F16">
        <f>(B16+D16)*'Vehicle Information'!$B$3</f>
        <v>2240</v>
      </c>
      <c r="G16">
        <f t="shared" si="0"/>
        <v>2240</v>
      </c>
    </row>
    <row r="17" spans="1:7" x14ac:dyDescent="0.25">
      <c r="A17" t="s">
        <v>15</v>
      </c>
      <c r="B17" s="1">
        <v>0.06</v>
      </c>
      <c r="C17" s="1">
        <v>0</v>
      </c>
      <c r="D17" s="1">
        <v>0.02</v>
      </c>
      <c r="E17">
        <f>(B17+C17)*'Vehicle Information'!$B$3</f>
        <v>1920</v>
      </c>
      <c r="F17">
        <f>(B17+D17)*'Vehicle Information'!$B$3</f>
        <v>2560</v>
      </c>
      <c r="G17">
        <f t="shared" si="0"/>
        <v>2240</v>
      </c>
    </row>
    <row r="18" spans="1:7" x14ac:dyDescent="0.25">
      <c r="A18" t="s">
        <v>16</v>
      </c>
      <c r="B18" s="1">
        <v>6.3E-2</v>
      </c>
      <c r="C18" s="1">
        <v>0</v>
      </c>
      <c r="D18" s="1">
        <v>0.05</v>
      </c>
      <c r="E18">
        <f>(B18+C18)*'Vehicle Information'!$B$3</f>
        <v>2016</v>
      </c>
      <c r="F18">
        <f>(B18+D18)*'Vehicle Information'!$B$3</f>
        <v>3616</v>
      </c>
      <c r="G18">
        <f t="shared" si="0"/>
        <v>2816</v>
      </c>
    </row>
    <row r="19" spans="1:7" x14ac:dyDescent="0.25">
      <c r="A19" t="s">
        <v>17</v>
      </c>
      <c r="B19" s="1">
        <v>0.06</v>
      </c>
      <c r="C19" s="1">
        <v>0</v>
      </c>
      <c r="D19" s="1">
        <v>0</v>
      </c>
      <c r="E19">
        <f>(B19+C19)*'Vehicle Information'!$B$3</f>
        <v>1920</v>
      </c>
      <c r="F19">
        <f>(B19+D19)*'Vehicle Information'!$B$3</f>
        <v>1920</v>
      </c>
      <c r="G19">
        <f t="shared" si="0"/>
        <v>1920</v>
      </c>
    </row>
    <row r="20" spans="1:7" x14ac:dyDescent="0.25">
      <c r="A20" t="s">
        <v>18</v>
      </c>
      <c r="B20" s="1">
        <v>0.04</v>
      </c>
      <c r="C20" s="1">
        <v>0</v>
      </c>
      <c r="D20" s="1">
        <v>6.7500000000000004E-2</v>
      </c>
      <c r="E20">
        <f>(B20+C20)*'Vehicle Information'!$B$3</f>
        <v>1280</v>
      </c>
      <c r="F20">
        <f>(B20+D20)*'Vehicle Information'!$B$3</f>
        <v>3440.0000000000005</v>
      </c>
      <c r="G20">
        <f t="shared" si="0"/>
        <v>2360</v>
      </c>
    </row>
    <row r="21" spans="1:7" x14ac:dyDescent="0.25">
      <c r="A21" t="s">
        <v>19</v>
      </c>
      <c r="B21" s="1">
        <v>0.05</v>
      </c>
      <c r="C21" s="1">
        <v>0</v>
      </c>
      <c r="D21" s="1">
        <v>0</v>
      </c>
      <c r="E21">
        <f>(B21+C21)*'Vehicle Information'!$B$3</f>
        <v>1600</v>
      </c>
      <c r="F21">
        <f>(B21+D21)*'Vehicle Information'!$B$3</f>
        <v>1600</v>
      </c>
      <c r="G21">
        <f t="shared" si="0"/>
        <v>1600</v>
      </c>
    </row>
    <row r="22" spans="1:7" x14ac:dyDescent="0.25">
      <c r="A22" t="s">
        <v>20</v>
      </c>
      <c r="B22" s="1">
        <v>0.06</v>
      </c>
      <c r="C22" s="1">
        <v>0</v>
      </c>
      <c r="D22" s="1">
        <v>0</v>
      </c>
      <c r="E22">
        <f>(B22+C22)*'Vehicle Information'!$B$3</f>
        <v>1920</v>
      </c>
      <c r="F22">
        <f>(B22+D22)*'Vehicle Information'!$B$3</f>
        <v>1920</v>
      </c>
      <c r="G22">
        <f t="shared" si="0"/>
        <v>1920</v>
      </c>
    </row>
    <row r="23" spans="1:7" x14ac:dyDescent="0.25">
      <c r="A23" t="s">
        <v>21</v>
      </c>
      <c r="B23" s="1">
        <v>6.25E-2</v>
      </c>
      <c r="C23" s="1">
        <v>0</v>
      </c>
      <c r="D23" s="1">
        <v>0</v>
      </c>
      <c r="E23">
        <f>(B23+C23)*'Vehicle Information'!$B$3</f>
        <v>2000</v>
      </c>
      <c r="F23">
        <f>(B23+D23)*'Vehicle Information'!$B$3</f>
        <v>2000</v>
      </c>
      <c r="G23">
        <f t="shared" si="0"/>
        <v>2000</v>
      </c>
    </row>
    <row r="24" spans="1:7" x14ac:dyDescent="0.25">
      <c r="A24" t="s">
        <v>22</v>
      </c>
      <c r="B24" s="1">
        <v>0.06</v>
      </c>
      <c r="C24" s="1">
        <v>0</v>
      </c>
      <c r="D24" s="1">
        <v>0</v>
      </c>
      <c r="E24">
        <f>(B24+C24)*'Vehicle Information'!$B$3</f>
        <v>1920</v>
      </c>
      <c r="F24">
        <f>(B24+D24)*'Vehicle Information'!$B$3</f>
        <v>1920</v>
      </c>
      <c r="G24">
        <f t="shared" si="0"/>
        <v>1920</v>
      </c>
    </row>
    <row r="25" spans="1:7" x14ac:dyDescent="0.25">
      <c r="A25" t="s">
        <v>23</v>
      </c>
      <c r="B25" s="1">
        <v>6.8750000000000006E-2</v>
      </c>
      <c r="C25" s="1">
        <v>0</v>
      </c>
      <c r="D25" s="1">
        <v>0.01</v>
      </c>
      <c r="E25">
        <f>(B25+C25)*'Vehicle Information'!$B$3</f>
        <v>2200</v>
      </c>
      <c r="F25">
        <f>(B25+D25)*'Vehicle Information'!$B$3</f>
        <v>2520</v>
      </c>
      <c r="G25">
        <f t="shared" si="0"/>
        <v>2360</v>
      </c>
    </row>
    <row r="26" spans="1:7" x14ac:dyDescent="0.25">
      <c r="A26" t="s">
        <v>24</v>
      </c>
      <c r="B26" s="1">
        <v>7.0000000000000007E-2</v>
      </c>
      <c r="C26" s="1">
        <v>0</v>
      </c>
      <c r="D26" s="1">
        <v>2.5000000000000001E-3</v>
      </c>
      <c r="E26">
        <f>(B26+C26)*'Vehicle Information'!$B$3</f>
        <v>2240</v>
      </c>
      <c r="F26">
        <f>(B26+D26)*'Vehicle Information'!$B$3</f>
        <v>2320.0000000000005</v>
      </c>
      <c r="G26">
        <f t="shared" si="0"/>
        <v>2280</v>
      </c>
    </row>
    <row r="27" spans="1:7" x14ac:dyDescent="0.25">
      <c r="A27" t="s">
        <v>25</v>
      </c>
      <c r="B27" s="1">
        <v>4.2299999999999997E-2</v>
      </c>
      <c r="C27" s="1">
        <v>5.0000000000000001E-3</v>
      </c>
      <c r="D27" s="1">
        <v>6.6250000000000003E-2</v>
      </c>
      <c r="E27">
        <f>(B27+C27)*'Vehicle Information'!$B$3</f>
        <v>1513.6</v>
      </c>
      <c r="F27">
        <f>(B27+D27)*'Vehicle Information'!$B$3</f>
        <v>3473.6000000000004</v>
      </c>
      <c r="G27">
        <f t="shared" si="0"/>
        <v>2493.6000000000004</v>
      </c>
    </row>
    <row r="28" spans="1:7" x14ac:dyDescent="0.25">
      <c r="A28" t="s">
        <v>26</v>
      </c>
      <c r="B28" s="1">
        <v>0</v>
      </c>
      <c r="C28" s="1">
        <v>0</v>
      </c>
      <c r="D28" s="1">
        <v>0</v>
      </c>
      <c r="E28">
        <f>(B28+C28)*'Vehicle Information'!$B$3</f>
        <v>0</v>
      </c>
      <c r="F28">
        <f>(B28+D28)*'Vehicle Information'!$B$3</f>
        <v>0</v>
      </c>
      <c r="G28">
        <f t="shared" si="0"/>
        <v>0</v>
      </c>
    </row>
    <row r="29" spans="1:7" x14ac:dyDescent="0.25">
      <c r="A29" t="s">
        <v>27</v>
      </c>
      <c r="B29" s="1">
        <v>5.5E-2</v>
      </c>
      <c r="C29" s="1">
        <v>0</v>
      </c>
      <c r="D29" s="1">
        <v>0.02</v>
      </c>
      <c r="E29">
        <f>(B29+C29)*'Vehicle Information'!$B$3</f>
        <v>1760</v>
      </c>
      <c r="F29">
        <f>(B29+D29)*'Vehicle Information'!$B$3</f>
        <v>2400</v>
      </c>
      <c r="G29">
        <f t="shared" si="0"/>
        <v>2080</v>
      </c>
    </row>
    <row r="30" spans="1:7" x14ac:dyDescent="0.25">
      <c r="A30" t="s">
        <v>28</v>
      </c>
      <c r="B30" s="1">
        <v>6.8500000000000005E-2</v>
      </c>
      <c r="C30" s="1">
        <v>0</v>
      </c>
      <c r="D30" s="1">
        <v>1.2500000000000001E-2</v>
      </c>
      <c r="E30">
        <f>(B30+C30)*'Vehicle Information'!$B$3</f>
        <v>2192</v>
      </c>
      <c r="F30">
        <f>(B30+D30)*'Vehicle Information'!$B$3</f>
        <v>2592</v>
      </c>
      <c r="G30">
        <f t="shared" si="0"/>
        <v>2392</v>
      </c>
    </row>
    <row r="31" spans="1:7" x14ac:dyDescent="0.25">
      <c r="A31" t="s">
        <v>29</v>
      </c>
      <c r="B31" s="1">
        <v>0</v>
      </c>
      <c r="C31" s="1">
        <v>0</v>
      </c>
      <c r="D31" s="1">
        <v>0</v>
      </c>
      <c r="E31">
        <f>(B31+C31)*'Vehicle Information'!$B$3</f>
        <v>0</v>
      </c>
      <c r="F31">
        <f>(B31+D31)*'Vehicle Information'!$B$3</f>
        <v>0</v>
      </c>
      <c r="G31">
        <f t="shared" si="0"/>
        <v>0</v>
      </c>
    </row>
    <row r="32" spans="1:7" x14ac:dyDescent="0.25">
      <c r="A32" t="s">
        <v>30</v>
      </c>
      <c r="B32" s="1">
        <v>7.0000000000000007E-2</v>
      </c>
      <c r="C32" s="1">
        <v>0</v>
      </c>
      <c r="D32" s="1">
        <v>0</v>
      </c>
      <c r="E32">
        <f>(B32+C32)*'Vehicle Information'!$B$3</f>
        <v>2240</v>
      </c>
      <c r="F32">
        <f>(B32+D32)*'Vehicle Information'!$B$3</f>
        <v>2240</v>
      </c>
      <c r="G32">
        <f t="shared" si="0"/>
        <v>2240</v>
      </c>
    </row>
    <row r="33" spans="1:7" x14ac:dyDescent="0.25">
      <c r="A33" t="s">
        <v>31</v>
      </c>
      <c r="B33" s="1">
        <v>5.1249999999999997E-2</v>
      </c>
      <c r="C33" s="1">
        <v>1.25E-3</v>
      </c>
      <c r="D33" s="1">
        <v>5.6250000000000001E-2</v>
      </c>
      <c r="E33">
        <f>(B33+C33)*'Vehicle Information'!$B$3</f>
        <v>1680</v>
      </c>
      <c r="F33">
        <f>(B33+D33)*'Vehicle Information'!$B$3</f>
        <v>3440</v>
      </c>
      <c r="G33">
        <f t="shared" si="0"/>
        <v>2560</v>
      </c>
    </row>
    <row r="34" spans="1:7" x14ac:dyDescent="0.25">
      <c r="A34" t="s">
        <v>32</v>
      </c>
      <c r="B34" s="1">
        <v>0.04</v>
      </c>
      <c r="C34" s="1">
        <v>0</v>
      </c>
      <c r="D34" s="1">
        <v>0.05</v>
      </c>
      <c r="E34">
        <f>(B34+C34)*'Vehicle Information'!$B$3</f>
        <v>1280</v>
      </c>
      <c r="F34">
        <f>(B34+D34)*'Vehicle Information'!$B$3</f>
        <v>2880</v>
      </c>
      <c r="G34">
        <f t="shared" si="0"/>
        <v>2080</v>
      </c>
    </row>
    <row r="35" spans="1:7" x14ac:dyDescent="0.25">
      <c r="A35" t="s">
        <v>33</v>
      </c>
      <c r="B35" s="1">
        <v>4.7500000000000001E-2</v>
      </c>
      <c r="C35" s="1">
        <v>0.02</v>
      </c>
      <c r="D35" s="1">
        <v>0.03</v>
      </c>
      <c r="E35">
        <f>(B35+C35)*'Vehicle Information'!$B$3</f>
        <v>2160</v>
      </c>
      <c r="F35">
        <f>(B35+D35)*'Vehicle Information'!$B$3</f>
        <v>2480</v>
      </c>
      <c r="G35">
        <f t="shared" si="0"/>
        <v>2320</v>
      </c>
    </row>
    <row r="36" spans="1:7" x14ac:dyDescent="0.25">
      <c r="A36" t="s">
        <v>34</v>
      </c>
      <c r="B36" s="1">
        <v>0.05</v>
      </c>
      <c r="C36" s="1">
        <v>0</v>
      </c>
      <c r="D36" s="1">
        <v>0.03</v>
      </c>
      <c r="E36">
        <f>(B36+C36)*'Vehicle Information'!$B$3</f>
        <v>1600</v>
      </c>
      <c r="F36">
        <f>(B36+D36)*'Vehicle Information'!$B$3</f>
        <v>2560</v>
      </c>
      <c r="G36">
        <f t="shared" si="0"/>
        <v>2080</v>
      </c>
    </row>
    <row r="37" spans="1:7" x14ac:dyDescent="0.25">
      <c r="A37" t="s">
        <v>35</v>
      </c>
      <c r="B37" s="1">
        <v>5.5E-2</v>
      </c>
      <c r="C37" s="1">
        <v>0</v>
      </c>
      <c r="D37" s="1">
        <v>2.2499999999999999E-2</v>
      </c>
      <c r="E37">
        <f>(B37+C37)*'Vehicle Information'!$B$3</f>
        <v>1760</v>
      </c>
      <c r="F37">
        <f>(B37+D37)*'Vehicle Information'!$B$3</f>
        <v>2480</v>
      </c>
      <c r="G37">
        <f t="shared" si="0"/>
        <v>2120</v>
      </c>
    </row>
    <row r="38" spans="1:7" x14ac:dyDescent="0.25">
      <c r="A38" t="s">
        <v>36</v>
      </c>
      <c r="B38" s="1">
        <v>4.4999999999999998E-2</v>
      </c>
      <c r="C38" s="1">
        <v>0</v>
      </c>
      <c r="D38" s="1">
        <v>6.3500000000000001E-2</v>
      </c>
      <c r="E38">
        <f>(B38+C38)*'Vehicle Information'!$B$3</f>
        <v>1440</v>
      </c>
      <c r="F38">
        <f>(B38+D38)*'Vehicle Information'!$B$3</f>
        <v>3472</v>
      </c>
      <c r="G38">
        <f t="shared" si="0"/>
        <v>2456</v>
      </c>
    </row>
    <row r="39" spans="1:7" x14ac:dyDescent="0.25">
      <c r="A39" t="s">
        <v>37</v>
      </c>
      <c r="B39" s="1">
        <v>0</v>
      </c>
      <c r="C39" s="1">
        <v>0</v>
      </c>
      <c r="D39" s="1">
        <v>0</v>
      </c>
      <c r="E39">
        <f>(B39+C39)*'Vehicle Information'!$B$3</f>
        <v>0</v>
      </c>
      <c r="F39">
        <f>(B39+D39)*'Vehicle Information'!$B$3</f>
        <v>0</v>
      </c>
      <c r="G39">
        <f t="shared" si="0"/>
        <v>0</v>
      </c>
    </row>
    <row r="40" spans="1:7" x14ac:dyDescent="0.25">
      <c r="A40" t="s">
        <v>38</v>
      </c>
      <c r="B40" s="1">
        <v>0.06</v>
      </c>
      <c r="C40" s="1">
        <v>0</v>
      </c>
      <c r="D40" s="1">
        <v>0.02</v>
      </c>
      <c r="E40">
        <f>(B40+C40)*'Vehicle Information'!$B$3</f>
        <v>1920</v>
      </c>
      <c r="F40">
        <f>(B40+D40)*'Vehicle Information'!$B$3</f>
        <v>2560</v>
      </c>
      <c r="G40">
        <f t="shared" si="0"/>
        <v>2240</v>
      </c>
    </row>
    <row r="41" spans="1:7" x14ac:dyDescent="0.25">
      <c r="A41" t="s">
        <v>39</v>
      </c>
      <c r="B41" s="1">
        <v>7.0000000000000007E-2</v>
      </c>
      <c r="C41" s="1">
        <v>0</v>
      </c>
      <c r="D41" s="1">
        <v>0</v>
      </c>
      <c r="E41">
        <f>(B41+C41)*'Vehicle Information'!$B$3</f>
        <v>2240</v>
      </c>
      <c r="F41">
        <f>(B41+D41)*'Vehicle Information'!$B$3</f>
        <v>2240</v>
      </c>
      <c r="G41">
        <f t="shared" si="0"/>
        <v>2240</v>
      </c>
    </row>
    <row r="42" spans="1:7" x14ac:dyDescent="0.25">
      <c r="A42" t="s">
        <v>40</v>
      </c>
      <c r="B42" s="1">
        <v>0.06</v>
      </c>
      <c r="C42" s="1">
        <v>0</v>
      </c>
      <c r="D42" s="1">
        <v>0.03</v>
      </c>
      <c r="E42">
        <f>(B42+C42)*'Vehicle Information'!$B$3</f>
        <v>1920</v>
      </c>
      <c r="F42">
        <f>(B42+D42)*'Vehicle Information'!$B$3</f>
        <v>2880</v>
      </c>
      <c r="G42">
        <f t="shared" si="0"/>
        <v>2400</v>
      </c>
    </row>
    <row r="43" spans="1:7" x14ac:dyDescent="0.25">
      <c r="A43" t="s">
        <v>41</v>
      </c>
      <c r="B43" s="1">
        <v>0.04</v>
      </c>
      <c r="C43" s="1">
        <v>0</v>
      </c>
      <c r="D43" s="1">
        <v>0.02</v>
      </c>
      <c r="E43">
        <f>(B43+C43)*'Vehicle Information'!$B$3</f>
        <v>1280</v>
      </c>
      <c r="F43">
        <f>(B43+D43)*'Vehicle Information'!$B$3</f>
        <v>1920</v>
      </c>
      <c r="G43">
        <f t="shared" si="0"/>
        <v>1600</v>
      </c>
    </row>
    <row r="44" spans="1:7" x14ac:dyDescent="0.25">
      <c r="A44" t="s">
        <v>42</v>
      </c>
      <c r="B44" s="1">
        <v>7.0000000000000007E-2</v>
      </c>
      <c r="C44" s="1">
        <v>1.4999999999999999E-2</v>
      </c>
      <c r="D44" s="1">
        <v>2.75E-2</v>
      </c>
      <c r="E44">
        <f>(B44+C44)*'Vehicle Information'!$B$3</f>
        <v>2720</v>
      </c>
      <c r="F44">
        <f>(B44+D44)*'Vehicle Information'!$B$3</f>
        <v>3120</v>
      </c>
      <c r="G44">
        <f t="shared" si="0"/>
        <v>2920</v>
      </c>
    </row>
    <row r="45" spans="1:7" x14ac:dyDescent="0.25">
      <c r="A45" t="s">
        <v>43</v>
      </c>
      <c r="B45" s="1">
        <v>6.25E-2</v>
      </c>
      <c r="C45" s="1">
        <v>0</v>
      </c>
      <c r="D45" s="1">
        <v>0.02</v>
      </c>
      <c r="E45">
        <f>(B45+C45)*'Vehicle Information'!$B$3</f>
        <v>2000</v>
      </c>
      <c r="F45">
        <f>(B45+D45)*'Vehicle Information'!$B$3</f>
        <v>2640</v>
      </c>
      <c r="G45">
        <f t="shared" si="0"/>
        <v>2320</v>
      </c>
    </row>
    <row r="46" spans="1:7" x14ac:dyDescent="0.25">
      <c r="A46" t="s">
        <v>44</v>
      </c>
      <c r="B46" s="1">
        <v>4.7E-2</v>
      </c>
      <c r="C46" s="1">
        <v>0.01</v>
      </c>
      <c r="D46" s="1">
        <v>5.2499999999999998E-2</v>
      </c>
      <c r="E46">
        <f>(B46+C46)*'Vehicle Information'!$B$3</f>
        <v>1824</v>
      </c>
      <c r="F46">
        <f>(B46+D46)*'Vehicle Information'!$B$3</f>
        <v>3184</v>
      </c>
      <c r="G46">
        <f t="shared" si="0"/>
        <v>2504</v>
      </c>
    </row>
    <row r="47" spans="1:7" x14ac:dyDescent="0.25">
      <c r="A47" t="s">
        <v>45</v>
      </c>
      <c r="B47" s="1">
        <v>0.06</v>
      </c>
      <c r="C47" s="1">
        <v>0</v>
      </c>
      <c r="D47" s="1">
        <v>0.01</v>
      </c>
      <c r="E47">
        <f>(B47+C47)*'Vehicle Information'!$B$3</f>
        <v>1920</v>
      </c>
      <c r="F47">
        <f>(B47+D47)*'Vehicle Information'!$B$3</f>
        <v>2239.9999999999995</v>
      </c>
      <c r="G47">
        <f t="shared" si="0"/>
        <v>2080</v>
      </c>
    </row>
    <row r="48" spans="1:7" x14ac:dyDescent="0.25">
      <c r="A48" t="s">
        <v>46</v>
      </c>
      <c r="B48" s="1">
        <v>0.04</v>
      </c>
      <c r="C48" s="1">
        <v>0.01</v>
      </c>
      <c r="D48" s="1">
        <v>1.4999999999999999E-2</v>
      </c>
      <c r="E48">
        <f>(B48+C48)*'Vehicle Information'!$B$3</f>
        <v>1600</v>
      </c>
      <c r="F48">
        <f>(B48+D48)*'Vehicle Information'!$B$3</f>
        <v>1760</v>
      </c>
      <c r="G48">
        <f t="shared" si="0"/>
        <v>1680</v>
      </c>
    </row>
    <row r="49" spans="1:7" x14ac:dyDescent="0.25">
      <c r="A49" t="s">
        <v>47</v>
      </c>
      <c r="B49" s="1">
        <v>6.5000000000000002E-2</v>
      </c>
      <c r="C49" s="1">
        <v>5.0000000000000001E-3</v>
      </c>
      <c r="D49" s="1">
        <v>0.03</v>
      </c>
      <c r="E49">
        <f>(B49+C49)*'Vehicle Information'!$B$3</f>
        <v>2240</v>
      </c>
      <c r="F49">
        <f>(B49+D49)*'Vehicle Information'!$B$3</f>
        <v>3040</v>
      </c>
      <c r="G49">
        <f t="shared" si="0"/>
        <v>2640</v>
      </c>
    </row>
    <row r="50" spans="1:7" x14ac:dyDescent="0.25">
      <c r="A50" t="s">
        <v>48</v>
      </c>
      <c r="B50" s="1">
        <v>0.06</v>
      </c>
      <c r="C50" s="1">
        <v>0</v>
      </c>
      <c r="D50" s="1">
        <v>0.01</v>
      </c>
      <c r="E50">
        <f>(B50+C50)*'Vehicle Information'!$B$3</f>
        <v>1920</v>
      </c>
      <c r="F50">
        <f>(B50+D50)*'Vehicle Information'!$B$3</f>
        <v>2239.9999999999995</v>
      </c>
      <c r="G50">
        <f t="shared" si="0"/>
        <v>2080</v>
      </c>
    </row>
    <row r="51" spans="1:7" x14ac:dyDescent="0.25">
      <c r="A51" t="s">
        <v>49</v>
      </c>
      <c r="B51" s="1">
        <v>0.05</v>
      </c>
      <c r="C51" s="1">
        <v>0</v>
      </c>
      <c r="D51" s="1">
        <v>1.4999999999999999E-2</v>
      </c>
      <c r="E51">
        <f>(B51+C51)*'Vehicle Information'!$B$3</f>
        <v>1600</v>
      </c>
      <c r="F51">
        <f>(B51+D51)*'Vehicle Information'!$B$3</f>
        <v>2080</v>
      </c>
      <c r="G51">
        <f t="shared" si="0"/>
        <v>1840</v>
      </c>
    </row>
    <row r="52" spans="1:7" x14ac:dyDescent="0.25">
      <c r="A52" t="s">
        <v>50</v>
      </c>
      <c r="B52" s="1">
        <v>0.04</v>
      </c>
      <c r="C52" s="1">
        <v>0</v>
      </c>
      <c r="D52" s="1">
        <v>0.04</v>
      </c>
      <c r="E52">
        <f>(B52+C52)*'Vehicle Information'!$B$3</f>
        <v>1280</v>
      </c>
      <c r="F52">
        <f>(B52+D52)*'Vehicle Information'!$B$3</f>
        <v>2560</v>
      </c>
      <c r="G52">
        <f t="shared" si="0"/>
        <v>1920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27.5703125" bestFit="1" customWidth="1"/>
  </cols>
  <sheetData>
    <row r="1" spans="1:3" x14ac:dyDescent="0.25">
      <c r="A1" t="s">
        <v>55</v>
      </c>
      <c r="B1">
        <f>15.44/100</f>
        <v>0.15439999999999998</v>
      </c>
      <c r="C1" s="3" t="s">
        <v>59</v>
      </c>
    </row>
    <row r="2" spans="1:3" x14ac:dyDescent="0.25">
      <c r="A2" t="s">
        <v>56</v>
      </c>
      <c r="B2">
        <f>2.86/100</f>
        <v>2.86E-2</v>
      </c>
      <c r="C2" t="s">
        <v>59</v>
      </c>
    </row>
    <row r="3" spans="1:3" x14ac:dyDescent="0.25">
      <c r="A3" t="s">
        <v>57</v>
      </c>
      <c r="B3">
        <f>0.1/100</f>
        <v>1E-3</v>
      </c>
      <c r="C3" t="s">
        <v>59</v>
      </c>
    </row>
    <row r="4" spans="1:3" x14ac:dyDescent="0.25">
      <c r="A4" s="2" t="s">
        <v>58</v>
      </c>
      <c r="B4">
        <f>SUM(B1:B3)</f>
        <v>0.184</v>
      </c>
      <c r="C4" t="s">
        <v>59</v>
      </c>
    </row>
    <row r="6" spans="1:3" x14ac:dyDescent="0.25">
      <c r="A6" t="s">
        <v>151</v>
      </c>
      <c r="B6" s="6">
        <f>'Vehicle Information'!F1*'Vehicle Information'!F2/'Vehicle Information'!B5*'Federal Fuel Tax'!B4</f>
        <v>377.30304000000001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H39" sqref="H39"/>
    </sheetView>
  </sheetViews>
  <sheetFormatPr defaultRowHeight="15" x14ac:dyDescent="0.25"/>
  <cols>
    <col min="1" max="1" width="18.7109375" bestFit="1" customWidth="1"/>
    <col min="3" max="3" width="21.5703125" bestFit="1" customWidth="1"/>
  </cols>
  <sheetData>
    <row r="1" spans="1:3" x14ac:dyDescent="0.25">
      <c r="A1" s="2" t="s">
        <v>51</v>
      </c>
      <c r="B1" t="s">
        <v>59</v>
      </c>
      <c r="C1" t="s">
        <v>152</v>
      </c>
    </row>
    <row r="2" spans="1:3" x14ac:dyDescent="0.25">
      <c r="A2" t="s">
        <v>0</v>
      </c>
      <c r="B2">
        <v>0.20899999999999999</v>
      </c>
      <c r="C2" s="6">
        <f>'Vehicle Information'!$F$2*'Vehicle Information'!$F$1/'Vehicle Information'!$B$5*'State Fuel Tax'!B2</f>
        <v>428.56703999999996</v>
      </c>
    </row>
    <row r="3" spans="1:3" x14ac:dyDescent="0.25">
      <c r="A3" t="s">
        <v>1</v>
      </c>
      <c r="B3">
        <v>0.08</v>
      </c>
      <c r="C3" s="6">
        <f>'Vehicle Information'!$F$2*'Vehicle Information'!$F$1/'Vehicle Information'!$B$5*'State Fuel Tax'!B3</f>
        <v>164.04480000000001</v>
      </c>
    </row>
    <row r="4" spans="1:3" x14ac:dyDescent="0.25">
      <c r="A4" t="s">
        <v>2</v>
      </c>
      <c r="B4">
        <v>0.19</v>
      </c>
      <c r="C4" s="6">
        <f>'Vehicle Information'!$F$2*'Vehicle Information'!$F$1/'Vehicle Information'!$B$5*'State Fuel Tax'!B4</f>
        <v>389.60640000000001</v>
      </c>
    </row>
    <row r="5" spans="1:3" x14ac:dyDescent="0.25">
      <c r="A5" t="s">
        <v>3</v>
      </c>
      <c r="B5">
        <v>0.218</v>
      </c>
      <c r="C5" s="6">
        <f>'Vehicle Information'!$F$2*'Vehicle Information'!$F$1/'Vehicle Information'!$B$5*'State Fuel Tax'!B5</f>
        <v>447.02207999999996</v>
      </c>
    </row>
    <row r="6" spans="1:3" x14ac:dyDescent="0.25">
      <c r="A6" t="s">
        <v>4</v>
      </c>
      <c r="B6">
        <v>0.505</v>
      </c>
      <c r="C6" s="6">
        <f>'Vehicle Information'!$F$2*'Vehicle Information'!$F$1/'Vehicle Information'!$B$5*'State Fuel Tax'!B6</f>
        <v>1035.5328</v>
      </c>
    </row>
    <row r="7" spans="1:3" x14ac:dyDescent="0.25">
      <c r="A7" t="s">
        <v>5</v>
      </c>
      <c r="B7">
        <v>0.22</v>
      </c>
      <c r="C7" s="6">
        <f>'Vehicle Information'!$F$2*'Vehicle Information'!$F$1/'Vehicle Information'!$B$5*'State Fuel Tax'!B7</f>
        <v>451.1232</v>
      </c>
    </row>
    <row r="8" spans="1:3" x14ac:dyDescent="0.25">
      <c r="A8" t="s">
        <v>6</v>
      </c>
      <c r="B8">
        <v>0.45</v>
      </c>
      <c r="C8" s="6">
        <f>'Vehicle Information'!$F$2*'Vehicle Information'!$F$1/'Vehicle Information'!$B$5*'State Fuel Tax'!B8</f>
        <v>922.75199999999995</v>
      </c>
    </row>
    <row r="9" spans="1:3" x14ac:dyDescent="0.25">
      <c r="A9" t="s">
        <v>7</v>
      </c>
      <c r="B9">
        <v>0.23</v>
      </c>
      <c r="C9" s="6">
        <f>'Vehicle Information'!$F$2*'Vehicle Information'!$F$1/'Vehicle Information'!$B$5*'State Fuel Tax'!B9</f>
        <v>471.62880000000001</v>
      </c>
    </row>
    <row r="10" spans="1:3" x14ac:dyDescent="0.25">
      <c r="A10" t="s">
        <v>8</v>
      </c>
      <c r="B10">
        <v>0.23499999999999999</v>
      </c>
      <c r="C10" s="6">
        <f>'Vehicle Information'!$F$2*'Vehicle Information'!$F$1/'Vehicle Information'!$B$5*'State Fuel Tax'!B10</f>
        <v>481.88159999999993</v>
      </c>
    </row>
    <row r="11" spans="1:3" x14ac:dyDescent="0.25">
      <c r="A11" t="s">
        <v>9</v>
      </c>
      <c r="B11">
        <v>0.35</v>
      </c>
      <c r="C11" s="6">
        <f>'Vehicle Information'!$F$2*'Vehicle Information'!$F$1/'Vehicle Information'!$B$5*'State Fuel Tax'!B11</f>
        <v>717.69599999999991</v>
      </c>
    </row>
    <row r="12" spans="1:3" x14ac:dyDescent="0.25">
      <c r="A12" t="s">
        <v>10</v>
      </c>
      <c r="B12">
        <v>0.28600000000000003</v>
      </c>
      <c r="C12" s="6">
        <f>'Vehicle Information'!$F$2*'Vehicle Information'!$F$1/'Vehicle Information'!$B$5*'State Fuel Tax'!B12</f>
        <v>586.46016000000009</v>
      </c>
    </row>
    <row r="13" spans="1:3" x14ac:dyDescent="0.25">
      <c r="A13" t="s">
        <v>11</v>
      </c>
      <c r="B13">
        <v>0.48799999999999999</v>
      </c>
      <c r="C13" s="6">
        <f>'Vehicle Information'!$F$2*'Vehicle Information'!$F$1/'Vehicle Information'!$B$5*'State Fuel Tax'!B13</f>
        <v>1000.67328</v>
      </c>
    </row>
    <row r="14" spans="1:3" x14ac:dyDescent="0.25">
      <c r="A14" t="s">
        <v>12</v>
      </c>
      <c r="B14">
        <v>0.25</v>
      </c>
      <c r="C14" s="6">
        <f>'Vehicle Information'!$F$2*'Vehicle Information'!$F$1/'Vehicle Information'!$B$5*'State Fuel Tax'!B14</f>
        <v>512.64</v>
      </c>
    </row>
    <row r="15" spans="1:3" x14ac:dyDescent="0.25">
      <c r="A15" t="s">
        <v>13</v>
      </c>
      <c r="B15">
        <v>0.42499999999999999</v>
      </c>
      <c r="C15" s="6">
        <f>'Vehicle Information'!$F$2*'Vehicle Information'!$F$1/'Vehicle Information'!$B$5*'State Fuel Tax'!B15</f>
        <v>871.48799999999994</v>
      </c>
    </row>
    <row r="16" spans="1:3" x14ac:dyDescent="0.25">
      <c r="A16" t="s">
        <v>14</v>
      </c>
      <c r="B16">
        <v>0.41200000000000003</v>
      </c>
      <c r="C16" s="6">
        <f>'Vehicle Information'!$F$2*'Vehicle Information'!$F$1/'Vehicle Information'!$B$5*'State Fuel Tax'!B16</f>
        <v>844.83072000000004</v>
      </c>
    </row>
    <row r="17" spans="1:3" x14ac:dyDescent="0.25">
      <c r="A17" t="s">
        <v>15</v>
      </c>
      <c r="B17">
        <v>0.22</v>
      </c>
      <c r="C17" s="6">
        <f>'Vehicle Information'!$F$2*'Vehicle Information'!$F$1/'Vehicle Information'!$B$5*'State Fuel Tax'!B17</f>
        <v>451.1232</v>
      </c>
    </row>
    <row r="18" spans="1:3" x14ac:dyDescent="0.25">
      <c r="A18" t="s">
        <v>16</v>
      </c>
      <c r="B18">
        <v>0.25</v>
      </c>
      <c r="C18" s="6">
        <f>'Vehicle Information'!$F$2*'Vehicle Information'!$F$1/'Vehicle Information'!$B$5*'State Fuel Tax'!B18</f>
        <v>512.64</v>
      </c>
    </row>
    <row r="19" spans="1:3" x14ac:dyDescent="0.25">
      <c r="A19" t="s">
        <v>17</v>
      </c>
      <c r="B19">
        <v>0.29899999999999999</v>
      </c>
      <c r="C19" s="6">
        <f>'Vehicle Information'!$F$2*'Vehicle Information'!$F$1/'Vehicle Information'!$B$5*'State Fuel Tax'!B19</f>
        <v>613.11743999999999</v>
      </c>
    </row>
    <row r="20" spans="1:3" x14ac:dyDescent="0.25">
      <c r="A20" t="s">
        <v>18</v>
      </c>
      <c r="B20">
        <v>0.2</v>
      </c>
      <c r="C20" s="6">
        <f>'Vehicle Information'!$F$2*'Vehicle Information'!$F$1/'Vehicle Information'!$B$5*'State Fuel Tax'!B20</f>
        <v>410.11200000000002</v>
      </c>
    </row>
    <row r="21" spans="1:3" x14ac:dyDescent="0.25">
      <c r="A21" t="s">
        <v>19</v>
      </c>
      <c r="B21">
        <v>0.315</v>
      </c>
      <c r="C21" s="6">
        <f>'Vehicle Information'!$F$2*'Vehicle Information'!$F$1/'Vehicle Information'!$B$5*'State Fuel Tax'!B21</f>
        <v>645.92639999999994</v>
      </c>
    </row>
    <row r="22" spans="1:3" x14ac:dyDescent="0.25">
      <c r="A22" t="s">
        <v>20</v>
      </c>
      <c r="B22">
        <v>0.23499999999999999</v>
      </c>
      <c r="C22" s="6">
        <f>'Vehicle Information'!$F$2*'Vehicle Information'!$F$1/'Vehicle Information'!$B$5*'State Fuel Tax'!B22</f>
        <v>481.88159999999993</v>
      </c>
    </row>
    <row r="23" spans="1:3" x14ac:dyDescent="0.25">
      <c r="A23" t="s">
        <v>21</v>
      </c>
      <c r="B23">
        <v>0.23499999999999999</v>
      </c>
      <c r="C23" s="6">
        <f>'Vehicle Information'!$F$2*'Vehicle Information'!$F$1/'Vehicle Information'!$B$5*'State Fuel Tax'!B23</f>
        <v>481.88159999999993</v>
      </c>
    </row>
    <row r="24" spans="1:3" x14ac:dyDescent="0.25">
      <c r="A24" t="s">
        <v>22</v>
      </c>
      <c r="B24">
        <v>0.42100000000000004</v>
      </c>
      <c r="C24" s="6">
        <f>'Vehicle Information'!$F$2*'Vehicle Information'!$F$1/'Vehicle Information'!$B$5*'State Fuel Tax'!B24</f>
        <v>863.2857600000001</v>
      </c>
    </row>
    <row r="25" spans="1:3" x14ac:dyDescent="0.25">
      <c r="A25" t="s">
        <v>23</v>
      </c>
      <c r="B25">
        <v>0.28600000000000003</v>
      </c>
      <c r="C25" s="6">
        <f>'Vehicle Information'!$F$2*'Vehicle Information'!$F$1/'Vehicle Information'!$B$5*'State Fuel Tax'!B25</f>
        <v>586.46016000000009</v>
      </c>
    </row>
    <row r="26" spans="1:3" x14ac:dyDescent="0.25">
      <c r="A26" t="s">
        <v>24</v>
      </c>
      <c r="B26">
        <v>0.188</v>
      </c>
      <c r="C26" s="6">
        <f>'Vehicle Information'!$F$2*'Vehicle Information'!$F$1/'Vehicle Information'!$B$5*'State Fuel Tax'!B26</f>
        <v>385.50527999999997</v>
      </c>
    </row>
    <row r="27" spans="1:3" x14ac:dyDescent="0.25">
      <c r="A27" t="s">
        <v>25</v>
      </c>
      <c r="B27">
        <v>0.17300000000000001</v>
      </c>
      <c r="C27" s="6">
        <f>'Vehicle Information'!$F$2*'Vehicle Information'!$F$1/'Vehicle Information'!$B$5*'State Fuel Tax'!B27</f>
        <v>354.74688000000003</v>
      </c>
    </row>
    <row r="28" spans="1:3" x14ac:dyDescent="0.25">
      <c r="A28" t="s">
        <v>26</v>
      </c>
      <c r="B28">
        <v>0.27800000000000002</v>
      </c>
      <c r="C28" s="6">
        <f>'Vehicle Information'!$F$2*'Vehicle Information'!$F$1/'Vehicle Information'!$B$5*'State Fuel Tax'!B28</f>
        <v>570.05568000000005</v>
      </c>
    </row>
    <row r="29" spans="1:3" x14ac:dyDescent="0.25">
      <c r="A29" t="s">
        <v>27</v>
      </c>
      <c r="B29">
        <v>0.27100000000000002</v>
      </c>
      <c r="C29" s="6">
        <f>'Vehicle Information'!$F$2*'Vehicle Information'!$F$1/'Vehicle Information'!$B$5*'State Fuel Tax'!B29</f>
        <v>555.70176000000004</v>
      </c>
    </row>
    <row r="30" spans="1:3" x14ac:dyDescent="0.25">
      <c r="A30" t="s">
        <v>28</v>
      </c>
      <c r="B30">
        <v>0.33100000000000002</v>
      </c>
      <c r="C30" s="6">
        <f>'Vehicle Information'!$F$2*'Vehicle Information'!$F$1/'Vehicle Information'!$B$5*'State Fuel Tax'!B30</f>
        <v>678.73536000000001</v>
      </c>
    </row>
    <row r="31" spans="1:3" x14ac:dyDescent="0.25">
      <c r="A31" t="s">
        <v>29</v>
      </c>
      <c r="B31">
        <v>0.19600000000000001</v>
      </c>
      <c r="C31" s="6">
        <f>'Vehicle Information'!$F$2*'Vehicle Information'!$F$1/'Vehicle Information'!$B$5*'State Fuel Tax'!B31</f>
        <v>401.90976000000001</v>
      </c>
    </row>
    <row r="32" spans="1:3" x14ac:dyDescent="0.25">
      <c r="A32" t="s">
        <v>30</v>
      </c>
      <c r="B32">
        <v>0.14499999999999999</v>
      </c>
      <c r="C32" s="6">
        <f>'Vehicle Information'!$F$2*'Vehicle Information'!$F$1/'Vehicle Information'!$B$5*'State Fuel Tax'!B32</f>
        <v>297.33119999999997</v>
      </c>
    </row>
    <row r="33" spans="1:3" x14ac:dyDescent="0.25">
      <c r="A33" t="s">
        <v>31</v>
      </c>
      <c r="B33">
        <v>0.18899999999999997</v>
      </c>
      <c r="C33" s="6">
        <f>'Vehicle Information'!$F$2*'Vehicle Information'!$F$1/'Vehicle Information'!$B$5*'State Fuel Tax'!B33</f>
        <v>387.55583999999993</v>
      </c>
    </row>
    <row r="34" spans="1:3" x14ac:dyDescent="0.25">
      <c r="A34" t="s">
        <v>32</v>
      </c>
      <c r="B34">
        <v>0.51300000000000001</v>
      </c>
      <c r="C34" s="6">
        <f>'Vehicle Information'!$F$2*'Vehicle Information'!$F$1/'Vehicle Information'!$B$5*'State Fuel Tax'!B34</f>
        <v>1051.9372800000001</v>
      </c>
    </row>
    <row r="35" spans="1:3" x14ac:dyDescent="0.25">
      <c r="A35" t="s">
        <v>33</v>
      </c>
      <c r="B35">
        <v>0.37799999999999995</v>
      </c>
      <c r="C35" s="6">
        <f>'Vehicle Information'!$F$2*'Vehicle Information'!$F$1/'Vehicle Information'!$B$5*'State Fuel Tax'!B35</f>
        <v>775.11167999999986</v>
      </c>
    </row>
    <row r="36" spans="1:3" x14ac:dyDescent="0.25">
      <c r="A36" t="s">
        <v>34</v>
      </c>
      <c r="B36">
        <v>0.23</v>
      </c>
      <c r="C36" s="6">
        <f>'Vehicle Information'!$F$2*'Vehicle Information'!$F$1/'Vehicle Information'!$B$5*'State Fuel Tax'!B36</f>
        <v>471.62880000000001</v>
      </c>
    </row>
    <row r="37" spans="1:3" x14ac:dyDescent="0.25">
      <c r="A37" t="s">
        <v>35</v>
      </c>
      <c r="B37">
        <v>0.28000000000000003</v>
      </c>
      <c r="C37" s="6">
        <f>'Vehicle Information'!$F$2*'Vehicle Information'!$F$1/'Vehicle Information'!$B$5*'State Fuel Tax'!B37</f>
        <v>574.15680000000009</v>
      </c>
    </row>
    <row r="38" spans="1:3" x14ac:dyDescent="0.25">
      <c r="A38" t="s">
        <v>36</v>
      </c>
      <c r="B38">
        <v>0.17</v>
      </c>
      <c r="C38" s="6">
        <f>'Vehicle Information'!$F$2*'Vehicle Information'!$F$1/'Vehicle Information'!$B$5*'State Fuel Tax'!B38</f>
        <v>348.59520000000003</v>
      </c>
    </row>
    <row r="39" spans="1:3" x14ac:dyDescent="0.25">
      <c r="A39" t="s">
        <v>37</v>
      </c>
      <c r="B39">
        <v>0.31</v>
      </c>
      <c r="C39" s="6">
        <f>'Vehicle Information'!$F$2*'Vehicle Information'!$F$1/'Vehicle Information'!$B$5*'State Fuel Tax'!B39</f>
        <v>635.67359999999996</v>
      </c>
    </row>
    <row r="40" spans="1:3" x14ac:dyDescent="0.25">
      <c r="A40" t="s">
        <v>38</v>
      </c>
      <c r="B40">
        <v>0.32299999999999995</v>
      </c>
      <c r="C40" s="6">
        <f>'Vehicle Information'!$F$2*'Vehicle Information'!$F$1/'Vehicle Information'!$B$5*'State Fuel Tax'!B40</f>
        <v>662.33087999999987</v>
      </c>
    </row>
    <row r="41" spans="1:3" x14ac:dyDescent="0.25">
      <c r="A41" t="s">
        <v>39</v>
      </c>
      <c r="B41">
        <v>0.33</v>
      </c>
      <c r="C41" s="6">
        <f>'Vehicle Information'!$F$2*'Vehicle Information'!$F$1/'Vehicle Information'!$B$5*'State Fuel Tax'!B41</f>
        <v>676.6848</v>
      </c>
    </row>
    <row r="42" spans="1:3" x14ac:dyDescent="0.25">
      <c r="A42" t="s">
        <v>40</v>
      </c>
      <c r="B42">
        <v>0.16800000000000001</v>
      </c>
      <c r="C42" s="6">
        <f>'Vehicle Information'!$F$2*'Vehicle Information'!$F$1/'Vehicle Information'!$B$5*'State Fuel Tax'!B42</f>
        <v>344.49408</v>
      </c>
    </row>
    <row r="43" spans="1:3" x14ac:dyDescent="0.25">
      <c r="A43" t="s">
        <v>41</v>
      </c>
      <c r="B43">
        <v>0.24</v>
      </c>
      <c r="C43" s="6">
        <f>'Vehicle Information'!$F$2*'Vehicle Information'!$F$1/'Vehicle Information'!$B$5*'State Fuel Tax'!B43</f>
        <v>492.13439999999997</v>
      </c>
    </row>
    <row r="44" spans="1:3" x14ac:dyDescent="0.25">
      <c r="A44" t="s">
        <v>42</v>
      </c>
      <c r="B44">
        <v>0.214</v>
      </c>
      <c r="C44" s="6">
        <f>'Vehicle Information'!$F$2*'Vehicle Information'!$F$1/'Vehicle Information'!$B$5*'State Fuel Tax'!B44</f>
        <v>438.81984</v>
      </c>
    </row>
    <row r="45" spans="1:3" x14ac:dyDescent="0.25">
      <c r="A45" t="s">
        <v>43</v>
      </c>
      <c r="B45">
        <v>0.2</v>
      </c>
      <c r="C45" s="6">
        <f>'Vehicle Information'!$F$2*'Vehicle Information'!$F$1/'Vehicle Information'!$B$5*'State Fuel Tax'!B45</f>
        <v>410.11200000000002</v>
      </c>
    </row>
    <row r="46" spans="1:3" x14ac:dyDescent="0.25">
      <c r="A46" t="s">
        <v>44</v>
      </c>
      <c r="B46">
        <v>0.245</v>
      </c>
      <c r="C46" s="6">
        <f>'Vehicle Information'!$F$2*'Vehicle Information'!$F$1/'Vehicle Information'!$B$5*'State Fuel Tax'!B46</f>
        <v>502.38719999999995</v>
      </c>
    </row>
    <row r="47" spans="1:3" x14ac:dyDescent="0.25">
      <c r="A47" t="s">
        <v>45</v>
      </c>
      <c r="B47">
        <v>0.26500000000000001</v>
      </c>
      <c r="C47" s="6">
        <f>'Vehicle Information'!$F$2*'Vehicle Information'!$F$1/'Vehicle Information'!$B$5*'State Fuel Tax'!B47</f>
        <v>543.39840000000004</v>
      </c>
    </row>
    <row r="48" spans="1:3" x14ac:dyDescent="0.25">
      <c r="A48" t="s">
        <v>46</v>
      </c>
      <c r="B48">
        <v>0.20100000000000001</v>
      </c>
      <c r="C48" s="6">
        <f>'Vehicle Information'!$F$2*'Vehicle Information'!$F$1/'Vehicle Information'!$B$5*'State Fuel Tax'!B48</f>
        <v>412.16256000000004</v>
      </c>
    </row>
    <row r="49" spans="1:3" x14ac:dyDescent="0.25">
      <c r="A49" t="s">
        <v>47</v>
      </c>
      <c r="B49">
        <v>0.375</v>
      </c>
      <c r="C49" s="6">
        <f>'Vehicle Information'!$F$2*'Vehicle Information'!$F$1/'Vehicle Information'!$B$5*'State Fuel Tax'!B49</f>
        <v>768.96</v>
      </c>
    </row>
    <row r="50" spans="1:3" x14ac:dyDescent="0.25">
      <c r="A50" t="s">
        <v>48</v>
      </c>
      <c r="B50">
        <v>0.33399999999999996</v>
      </c>
      <c r="C50" s="6">
        <f>'Vehicle Information'!$F$2*'Vehicle Information'!$F$1/'Vehicle Information'!$B$5*'State Fuel Tax'!B50</f>
        <v>684.88703999999996</v>
      </c>
    </row>
    <row r="51" spans="1:3" x14ac:dyDescent="0.25">
      <c r="A51" t="s">
        <v>49</v>
      </c>
      <c r="B51">
        <v>0.32899999999999996</v>
      </c>
      <c r="C51" s="6">
        <f>'Vehicle Information'!$F$2*'Vehicle Information'!$F$1/'Vehicle Information'!$B$5*'State Fuel Tax'!B51</f>
        <v>674.63423999999986</v>
      </c>
    </row>
    <row r="52" spans="1:3" x14ac:dyDescent="0.25">
      <c r="A52" t="s">
        <v>50</v>
      </c>
      <c r="B52">
        <v>0.14000000000000001</v>
      </c>
      <c r="C52" s="6">
        <f>'Vehicle Information'!$F$2*'Vehicle Information'!$F$1/'Vehicle Information'!$B$5*'State Fuel Tax'!B52</f>
        <v>287.07840000000004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B7" sqref="B7"/>
    </sheetView>
  </sheetViews>
  <sheetFormatPr defaultRowHeight="15" x14ac:dyDescent="0.25"/>
  <cols>
    <col min="1" max="1" width="18.7109375" bestFit="1" customWidth="1"/>
    <col min="2" max="2" width="27.5703125" bestFit="1" customWidth="1"/>
    <col min="3" max="3" width="41.7109375" style="4" customWidth="1"/>
    <col min="4" max="4" width="11.5703125" bestFit="1" customWidth="1"/>
  </cols>
  <sheetData>
    <row r="1" spans="1:4" x14ac:dyDescent="0.25">
      <c r="A1" s="2" t="s">
        <v>51</v>
      </c>
      <c r="B1" s="2" t="s">
        <v>73</v>
      </c>
      <c r="C1" s="5" t="s">
        <v>72</v>
      </c>
      <c r="D1" s="2" t="s">
        <v>60</v>
      </c>
    </row>
    <row r="2" spans="1:4" x14ac:dyDescent="0.25">
      <c r="A2" t="s">
        <v>0</v>
      </c>
      <c r="B2" s="6">
        <f>23*'Vehicle Information'!F2</f>
        <v>276</v>
      </c>
      <c r="C2" s="4" t="s">
        <v>74</v>
      </c>
      <c r="D2" s="6">
        <v>15</v>
      </c>
    </row>
    <row r="3" spans="1:4" x14ac:dyDescent="0.25">
      <c r="A3" t="s">
        <v>1</v>
      </c>
      <c r="B3" s="6">
        <f>100*'Vehicle Information'!F2/2</f>
        <v>600</v>
      </c>
      <c r="C3" s="4" t="s">
        <v>75</v>
      </c>
      <c r="D3" s="6">
        <v>15</v>
      </c>
    </row>
    <row r="4" spans="1:4" ht="60" x14ac:dyDescent="0.25">
      <c r="A4" t="s">
        <v>2</v>
      </c>
      <c r="B4" s="6">
        <f>'Calculation Sheet'!V10</f>
        <v>1390.8</v>
      </c>
      <c r="C4" s="4" t="s">
        <v>76</v>
      </c>
      <c r="D4" s="6">
        <v>4</v>
      </c>
    </row>
    <row r="5" spans="1:4" ht="45" x14ac:dyDescent="0.25">
      <c r="A5" t="s">
        <v>3</v>
      </c>
      <c r="B5" s="6">
        <f>'Vehicle Information'!F2*(IF('Vehicle Information'!B4&lt;3000,17,IF('Vehicle Information'!B4&gt;4500,30,25))+2.5)</f>
        <v>330</v>
      </c>
      <c r="C5" s="4" t="s">
        <v>61</v>
      </c>
      <c r="D5" s="6">
        <v>5</v>
      </c>
    </row>
    <row r="6" spans="1:4" ht="45" x14ac:dyDescent="0.25">
      <c r="A6" t="s">
        <v>4</v>
      </c>
      <c r="B6" s="6">
        <f>46*'Vehicle Information'!F2</f>
        <v>552</v>
      </c>
      <c r="C6" s="4" t="s">
        <v>79</v>
      </c>
      <c r="D6" s="6">
        <v>18</v>
      </c>
    </row>
    <row r="7" spans="1:4" x14ac:dyDescent="0.25">
      <c r="A7" s="8" t="s">
        <v>5</v>
      </c>
      <c r="B7" s="6">
        <f>'Calculation Sheet'!V11</f>
        <v>3011.4000000000005</v>
      </c>
      <c r="C7" s="4" t="s">
        <v>155</v>
      </c>
      <c r="D7" s="6">
        <v>9.0500000000000007</v>
      </c>
    </row>
    <row r="8" spans="1:4" x14ac:dyDescent="0.25">
      <c r="A8" t="s">
        <v>6</v>
      </c>
      <c r="B8" s="6">
        <f>40*'Vehicle Information'!F2</f>
        <v>480</v>
      </c>
      <c r="C8" s="4" t="s">
        <v>80</v>
      </c>
      <c r="D8" s="6">
        <v>25</v>
      </c>
    </row>
    <row r="9" spans="1:4" x14ac:dyDescent="0.25">
      <c r="A9" t="s">
        <v>7</v>
      </c>
      <c r="B9" s="6">
        <f>40*'Vehicle Information'!F2</f>
        <v>480</v>
      </c>
      <c r="C9" s="4" t="s">
        <v>80</v>
      </c>
      <c r="D9" s="6">
        <v>35</v>
      </c>
    </row>
    <row r="10" spans="1:4" ht="30" x14ac:dyDescent="0.25">
      <c r="A10" t="s">
        <v>8</v>
      </c>
      <c r="B10" s="6">
        <f>'Vehicle Information'!F2*IF('Vehicle Information'!B6&lt;&gt;"ICV",36,IF('Vehicle Information'!B4&lt;3499,72,IF('Vehicle Information'!B4&gt;5000,155,115)))</f>
        <v>432</v>
      </c>
      <c r="C10" s="4" t="s">
        <v>93</v>
      </c>
      <c r="D10" s="7">
        <v>26</v>
      </c>
    </row>
    <row r="11" spans="1:4" ht="60" x14ac:dyDescent="0.25">
      <c r="A11" t="s">
        <v>9</v>
      </c>
      <c r="B11" s="6">
        <f>225+'Vehicle Information'!F2*(IF('Vehicle Information'!B4&lt;2500,19.5,IF('Vehicle Information'!B4&gt;3500,44,30.5)))</f>
        <v>591</v>
      </c>
      <c r="C11" s="4" t="s">
        <v>83</v>
      </c>
      <c r="D11" s="6">
        <v>77.25</v>
      </c>
    </row>
    <row r="12" spans="1:4" x14ac:dyDescent="0.25">
      <c r="A12" t="s">
        <v>10</v>
      </c>
      <c r="B12" s="6">
        <f>20*'Vehicle Information'!F2</f>
        <v>240</v>
      </c>
      <c r="C12" s="4" t="s">
        <v>84</v>
      </c>
      <c r="D12" s="6">
        <v>18</v>
      </c>
    </row>
    <row r="13" spans="1:4" ht="60" x14ac:dyDescent="0.25">
      <c r="A13" t="s">
        <v>11</v>
      </c>
      <c r="B13" s="6">
        <f>'Vehicle Information'!F2*(45+IF('Vehicle Information'!B4&lt;4000,'Vehicle Information'!B4*0.0075,IF('Vehicle Information'!B4&gt;7000,'Vehicle Information'!B4*0.0125,'Vehicle Information'!B4*0.01)))</f>
        <v>824.84999999999991</v>
      </c>
      <c r="C13" s="4" t="s">
        <v>94</v>
      </c>
      <c r="D13" s="6">
        <v>5</v>
      </c>
    </row>
    <row r="14" spans="1:4" ht="45" x14ac:dyDescent="0.25">
      <c r="A14" t="s">
        <v>12</v>
      </c>
      <c r="B14" s="6">
        <f>'Calculation Sheet'!V12</f>
        <v>384</v>
      </c>
      <c r="C14" s="4" t="s">
        <v>95</v>
      </c>
      <c r="D14" s="6">
        <v>14</v>
      </c>
    </row>
    <row r="15" spans="1:4" x14ac:dyDescent="0.25">
      <c r="A15" t="s">
        <v>13</v>
      </c>
      <c r="B15" s="6">
        <f>99*'Vehicle Information'!F2</f>
        <v>1188</v>
      </c>
      <c r="C15" s="4" t="s">
        <v>96</v>
      </c>
      <c r="D15" s="6">
        <v>95</v>
      </c>
    </row>
    <row r="16" spans="1:4" x14ac:dyDescent="0.25">
      <c r="A16" t="s">
        <v>14</v>
      </c>
      <c r="B16" s="6">
        <f>21.05*'Vehicle Information'!F2</f>
        <v>252.60000000000002</v>
      </c>
      <c r="C16" s="4" t="s">
        <v>97</v>
      </c>
      <c r="D16" s="6">
        <v>15</v>
      </c>
    </row>
    <row r="17" spans="1:4" ht="105" x14ac:dyDescent="0.25">
      <c r="A17" t="s">
        <v>15</v>
      </c>
      <c r="B17" s="6">
        <f>'Calculation Sheet'!V13</f>
        <v>3229.2599999999998</v>
      </c>
      <c r="C17" s="4" t="s">
        <v>98</v>
      </c>
      <c r="D17" s="6">
        <v>25</v>
      </c>
    </row>
    <row r="18" spans="1:4" ht="30" x14ac:dyDescent="0.25">
      <c r="A18" t="s">
        <v>16</v>
      </c>
      <c r="B18" s="6">
        <f>'Vehicle Information'!F2*IF('Vehicle Information'!B4&lt;4500,35,45)</f>
        <v>420</v>
      </c>
      <c r="C18" s="4" t="s">
        <v>100</v>
      </c>
      <c r="D18" s="6">
        <v>10</v>
      </c>
    </row>
    <row r="19" spans="1:4" x14ac:dyDescent="0.25">
      <c r="A19" t="s">
        <v>17</v>
      </c>
      <c r="B19" s="6">
        <f>21*'Vehicle Information'!F2</f>
        <v>252</v>
      </c>
      <c r="C19" s="4" t="s">
        <v>101</v>
      </c>
      <c r="D19" s="6">
        <v>10</v>
      </c>
    </row>
    <row r="20" spans="1:4" ht="60" x14ac:dyDescent="0.25">
      <c r="A20" t="s">
        <v>18</v>
      </c>
      <c r="B20" s="6">
        <f>'Vehicle Information'!F2*(IF('Vehicle Information'!B3&lt;10000,10,0.001*'Vehicle Information'!B3)+4)</f>
        <v>432</v>
      </c>
      <c r="C20" s="4" t="s">
        <v>102</v>
      </c>
      <c r="D20" s="6">
        <v>18.5</v>
      </c>
    </row>
    <row r="21" spans="1:4" x14ac:dyDescent="0.25">
      <c r="A21" t="s">
        <v>19</v>
      </c>
      <c r="B21" s="6">
        <f>35*'Vehicle Information'!F2</f>
        <v>420</v>
      </c>
      <c r="C21" s="4" t="s">
        <v>103</v>
      </c>
      <c r="D21" s="6">
        <v>33</v>
      </c>
    </row>
    <row r="22" spans="1:4" ht="30" x14ac:dyDescent="0.25">
      <c r="A22" t="s">
        <v>20</v>
      </c>
      <c r="B22" s="6">
        <f>'Vehicle Information'!F2*IF('Vehicle Information'!B4&lt;3700,128,180)</f>
        <v>1536</v>
      </c>
      <c r="C22" s="4" t="s">
        <v>104</v>
      </c>
      <c r="D22" s="6">
        <f>100</f>
        <v>100</v>
      </c>
    </row>
    <row r="23" spans="1:4" x14ac:dyDescent="0.25">
      <c r="A23" t="s">
        <v>21</v>
      </c>
      <c r="B23" s="6">
        <f>35*'Vehicle Information'!F2/2</f>
        <v>210</v>
      </c>
      <c r="C23" s="4" t="s">
        <v>105</v>
      </c>
      <c r="D23" s="6">
        <v>75</v>
      </c>
    </row>
    <row r="24" spans="1:4" ht="45" x14ac:dyDescent="0.25">
      <c r="A24" t="s">
        <v>22</v>
      </c>
      <c r="B24" s="6">
        <f>'Calculation Sheet'!V14</f>
        <v>1372.1080000000004</v>
      </c>
      <c r="C24" s="4" t="s">
        <v>106</v>
      </c>
      <c r="D24" s="6">
        <v>15</v>
      </c>
    </row>
    <row r="25" spans="1:4" ht="30" x14ac:dyDescent="0.25">
      <c r="A25" t="s">
        <v>23</v>
      </c>
      <c r="B25" s="6">
        <f>'Calculation Sheet'!V15</f>
        <v>2773.6923076923081</v>
      </c>
      <c r="C25" s="4" t="s">
        <v>107</v>
      </c>
      <c r="D25" s="6">
        <v>13.75</v>
      </c>
    </row>
    <row r="26" spans="1:4" x14ac:dyDescent="0.25">
      <c r="A26" t="s">
        <v>24</v>
      </c>
      <c r="B26" s="6">
        <f>14*'Vehicle Information'!F2</f>
        <v>168</v>
      </c>
      <c r="C26" s="4" t="s">
        <v>113</v>
      </c>
      <c r="D26" s="6">
        <v>9</v>
      </c>
    </row>
    <row r="27" spans="1:4" ht="75" x14ac:dyDescent="0.25">
      <c r="A27" t="s">
        <v>25</v>
      </c>
      <c r="B27" s="6">
        <f>(VLOOKUP('Vehicle Information'!B8,'Calculation Sheet'!AB6:AC12,2,TRUE)+3.5)*'Vehicle Information'!F2</f>
        <v>657</v>
      </c>
      <c r="C27" s="4" t="s">
        <v>112</v>
      </c>
      <c r="D27" s="6">
        <v>11</v>
      </c>
    </row>
    <row r="28" spans="1:4" ht="30" x14ac:dyDescent="0.25">
      <c r="A28" t="s">
        <v>26</v>
      </c>
      <c r="B28" s="6">
        <f>'Calculation Sheet'!V16</f>
        <v>1446</v>
      </c>
      <c r="C28" s="4" t="s">
        <v>114</v>
      </c>
      <c r="D28" s="6">
        <v>12</v>
      </c>
    </row>
    <row r="29" spans="1:4" x14ac:dyDescent="0.25">
      <c r="A29" t="s">
        <v>27</v>
      </c>
      <c r="B29" s="6">
        <f>15*'Vehicle Information'!F2</f>
        <v>180</v>
      </c>
      <c r="C29" s="4" t="s">
        <v>115</v>
      </c>
      <c r="D29" s="6">
        <v>10</v>
      </c>
    </row>
    <row r="30" spans="1:4" x14ac:dyDescent="0.25">
      <c r="A30" t="s">
        <v>28</v>
      </c>
      <c r="B30" s="6">
        <f>33*'Vehicle Information'!F2</f>
        <v>396</v>
      </c>
      <c r="C30" s="4" t="s">
        <v>116</v>
      </c>
      <c r="D30" s="6">
        <v>28.25</v>
      </c>
    </row>
    <row r="31" spans="1:4" ht="45" x14ac:dyDescent="0.25">
      <c r="A31" t="s">
        <v>29</v>
      </c>
      <c r="B31" s="6">
        <f>'Vehicle Information'!F2*IF('Vehicle Information'!B4&gt;8000,0.96*'Vehicle Information'!B4,IF('Vehicle Information'!B4&lt;=3000,31.2,IF(AND('Vehicle Information'!B4&gt;3000,'Vehicle Information'!B4&lt;=5000),43.2,55.2)))</f>
        <v>518.40000000000009</v>
      </c>
      <c r="C31" s="4" t="s">
        <v>117</v>
      </c>
      <c r="D31" s="6">
        <v>25</v>
      </c>
    </row>
    <row r="32" spans="1:4" ht="45" x14ac:dyDescent="0.25">
      <c r="A32" t="s">
        <v>30</v>
      </c>
      <c r="B32" s="6">
        <f>'Calculation Sheet'!V18</f>
        <v>583</v>
      </c>
      <c r="C32" s="4" t="s">
        <v>118</v>
      </c>
      <c r="D32" s="6">
        <v>60</v>
      </c>
    </row>
    <row r="33" spans="1:4" x14ac:dyDescent="0.25">
      <c r="A33" s="8" t="s">
        <v>31</v>
      </c>
      <c r="B33" s="6">
        <f>'Calculation Sheet'!V17</f>
        <v>667</v>
      </c>
      <c r="C33" s="4" t="s">
        <v>153</v>
      </c>
      <c r="D33" s="6">
        <v>3</v>
      </c>
    </row>
    <row r="34" spans="1:4" x14ac:dyDescent="0.25">
      <c r="A34" t="s">
        <v>32</v>
      </c>
      <c r="B34" s="6">
        <f>'Vehicle Information'!F2*IF('Vehicle Information'!B4&lt;1776,26,IF('Vehicle Information'!B4&gt;6950,140,'Vehicle Information'!B4*'Calculation Sheet'!Z36+'Calculation Sheet'!Z37))</f>
        <v>674.66874999999982</v>
      </c>
      <c r="C34" s="4" t="s">
        <v>119</v>
      </c>
      <c r="D34" s="6">
        <v>55</v>
      </c>
    </row>
    <row r="35" spans="1:4" x14ac:dyDescent="0.25">
      <c r="A35" t="s">
        <v>33</v>
      </c>
      <c r="B35" s="6">
        <f>28*'Vehicle Information'!F2</f>
        <v>336</v>
      </c>
      <c r="C35" s="4" t="s">
        <v>120</v>
      </c>
      <c r="D35" s="6">
        <v>40</v>
      </c>
    </row>
    <row r="36" spans="1:4" x14ac:dyDescent="0.25">
      <c r="A36" s="8" t="s">
        <v>34</v>
      </c>
      <c r="B36" s="6">
        <f>'Calculation Sheet'!V19</f>
        <v>804</v>
      </c>
      <c r="C36" s="4" t="s">
        <v>153</v>
      </c>
      <c r="D36" s="6">
        <v>5</v>
      </c>
    </row>
    <row r="37" spans="1:4" x14ac:dyDescent="0.25">
      <c r="A37" t="s">
        <v>35</v>
      </c>
      <c r="B37" s="6">
        <f>34*'Vehicle Information'!F2</f>
        <v>408</v>
      </c>
      <c r="C37" s="4" t="s">
        <v>121</v>
      </c>
      <c r="D37" s="6">
        <v>16</v>
      </c>
    </row>
    <row r="38" spans="1:4" ht="90" x14ac:dyDescent="0.25">
      <c r="A38" t="s">
        <v>36</v>
      </c>
      <c r="B38" s="6">
        <f>'Calculation Sheet'!V20+'Vehicle Information'!F2*5</f>
        <v>992</v>
      </c>
      <c r="C38" s="4" t="s">
        <v>122</v>
      </c>
      <c r="D38" s="6">
        <v>11</v>
      </c>
    </row>
    <row r="39" spans="1:4" x14ac:dyDescent="0.25">
      <c r="A39" t="s">
        <v>37</v>
      </c>
      <c r="B39" s="6">
        <f>86*'Vehicle Information'!F2/2</f>
        <v>516</v>
      </c>
      <c r="C39" s="4" t="s">
        <v>123</v>
      </c>
      <c r="D39" s="6">
        <v>77</v>
      </c>
    </row>
    <row r="40" spans="1:4" x14ac:dyDescent="0.25">
      <c r="A40" t="s">
        <v>38</v>
      </c>
      <c r="B40" s="6">
        <f>36*'Vehicle Information'!F2</f>
        <v>432</v>
      </c>
      <c r="C40" s="4" t="s">
        <v>124</v>
      </c>
      <c r="D40" s="6">
        <v>22.5</v>
      </c>
    </row>
    <row r="41" spans="1:4" x14ac:dyDescent="0.25">
      <c r="A41" s="8" t="s">
        <v>39</v>
      </c>
      <c r="B41" s="6">
        <f>VLOOKUP('Vehicle Information'!B4,'Calculation Sheet'!AB16:AC23,2,TRUE)*'Vehicle Information'!F2</f>
        <v>360</v>
      </c>
      <c r="C41" s="4" t="s">
        <v>154</v>
      </c>
      <c r="D41" s="6">
        <v>51.5</v>
      </c>
    </row>
    <row r="42" spans="1:4" x14ac:dyDescent="0.25">
      <c r="A42" t="s">
        <v>40</v>
      </c>
      <c r="B42" s="6">
        <f>24*'Vehicle Information'!F2</f>
        <v>288</v>
      </c>
      <c r="C42" s="4" t="s">
        <v>125</v>
      </c>
      <c r="D42" s="6">
        <v>15</v>
      </c>
    </row>
    <row r="43" spans="1:4" x14ac:dyDescent="0.25">
      <c r="A43" t="s">
        <v>41</v>
      </c>
      <c r="B43" s="6">
        <f>'Calculation Sheet'!V21</f>
        <v>566.1</v>
      </c>
      <c r="C43" s="4" t="s">
        <v>126</v>
      </c>
      <c r="D43" s="6">
        <v>5</v>
      </c>
    </row>
    <row r="44" spans="1:4" x14ac:dyDescent="0.25">
      <c r="A44" t="s">
        <v>42</v>
      </c>
      <c r="B44" s="6">
        <f>24*'Vehicle Information'!F2</f>
        <v>288</v>
      </c>
      <c r="C44" s="4" t="s">
        <v>125</v>
      </c>
      <c r="D44" s="6">
        <v>13</v>
      </c>
    </row>
    <row r="45" spans="1:4" x14ac:dyDescent="0.25">
      <c r="A45" t="s">
        <v>43</v>
      </c>
      <c r="B45" s="6">
        <f>IF('Vehicle Information'!B4&lt;6000,50.75,54)*'Vehicle Information'!F2</f>
        <v>609</v>
      </c>
      <c r="C45" s="4" t="s">
        <v>127</v>
      </c>
      <c r="D45" s="6">
        <v>13</v>
      </c>
    </row>
    <row r="46" spans="1:4" x14ac:dyDescent="0.25">
      <c r="A46" t="s">
        <v>44</v>
      </c>
      <c r="B46" s="6">
        <f>43*'Vehicle Information'!F2</f>
        <v>516</v>
      </c>
      <c r="C46" s="4" t="s">
        <v>128</v>
      </c>
      <c r="D46" s="6">
        <v>6</v>
      </c>
    </row>
    <row r="47" spans="1:4" x14ac:dyDescent="0.25">
      <c r="A47" t="s">
        <v>45</v>
      </c>
      <c r="B47" s="6">
        <f>IF('Vehicle Information'!B7="Gasoline",77,IF('Vehicle Information'!B7="Diesel",27,122))*'Vehicle Information'!F2</f>
        <v>924</v>
      </c>
      <c r="C47" s="4" t="s">
        <v>136</v>
      </c>
      <c r="D47" s="6">
        <v>33</v>
      </c>
    </row>
    <row r="48" spans="1:4" x14ac:dyDescent="0.25">
      <c r="A48" t="s">
        <v>46</v>
      </c>
      <c r="B48" s="6">
        <f>IF('Vehicle Information'!B4&lt;4000,40.75,45.75)*'Vehicle Information'!F2</f>
        <v>489</v>
      </c>
      <c r="C48" s="4" t="s">
        <v>137</v>
      </c>
      <c r="D48" s="6">
        <v>10</v>
      </c>
    </row>
    <row r="49" spans="1:4" ht="30" x14ac:dyDescent="0.25">
      <c r="A49" t="s">
        <v>47</v>
      </c>
      <c r="B49" s="6">
        <f>IF('Vehicle Information'!B4&lt;4000,43.75,IF('Vehicle Information'!B4&gt;6000,63.75,53.75))*'Vehicle Information'!F2</f>
        <v>525</v>
      </c>
      <c r="C49" s="4" t="s">
        <v>138</v>
      </c>
      <c r="D49" s="6">
        <v>25.5</v>
      </c>
    </row>
    <row r="50" spans="1:4" x14ac:dyDescent="0.25">
      <c r="A50" t="s">
        <v>48</v>
      </c>
      <c r="B50" s="6">
        <f>30*'Vehicle Information'!F2</f>
        <v>360</v>
      </c>
      <c r="C50" s="4" t="s">
        <v>139</v>
      </c>
      <c r="D50" s="6">
        <v>10</v>
      </c>
    </row>
    <row r="51" spans="1:4" x14ac:dyDescent="0.25">
      <c r="A51" t="s">
        <v>49</v>
      </c>
      <c r="B51" s="6">
        <f>75*'Vehicle Information'!F2</f>
        <v>900</v>
      </c>
      <c r="C51" s="4" t="s">
        <v>140</v>
      </c>
      <c r="D51" s="6">
        <v>69.5</v>
      </c>
    </row>
    <row r="52" spans="1:4" ht="45" x14ac:dyDescent="0.25">
      <c r="A52" t="s">
        <v>50</v>
      </c>
      <c r="B52" s="6">
        <f>'Calculation Sheet'!V22</f>
        <v>3108</v>
      </c>
      <c r="C52" s="4" t="s">
        <v>141</v>
      </c>
      <c r="D52" s="6">
        <v>9</v>
      </c>
    </row>
  </sheetData>
  <pageMargins left="0.7" right="0.7" top="0.75" bottom="0.75" header="0.3" footer="0.3"/>
  <pageSetup orientation="portrait" verticalDpi="0" r:id="rId1"/>
  <ignoredErrors>
    <ignoredError sqref="B43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B53" sqref="B53"/>
    </sheetView>
  </sheetViews>
  <sheetFormatPr defaultRowHeight="15" x14ac:dyDescent="0.25"/>
  <cols>
    <col min="1" max="1" width="18.7109375" bestFit="1" customWidth="1"/>
    <col min="2" max="2" width="15" bestFit="1" customWidth="1"/>
    <col min="3" max="3" width="30.28515625" bestFit="1" customWidth="1"/>
  </cols>
  <sheetData>
    <row r="1" spans="1:3" s="2" customFormat="1" x14ac:dyDescent="0.25">
      <c r="A1" s="2" t="s">
        <v>51</v>
      </c>
      <c r="B1" s="2" t="s">
        <v>147</v>
      </c>
      <c r="C1" s="2" t="s">
        <v>156</v>
      </c>
    </row>
    <row r="2" spans="1:3" ht="30" x14ac:dyDescent="0.25">
      <c r="A2" t="s">
        <v>0</v>
      </c>
      <c r="B2" s="6">
        <f>0*'Vehicle Information'!F2</f>
        <v>0</v>
      </c>
      <c r="C2" s="4" t="s">
        <v>160</v>
      </c>
    </row>
    <row r="3" spans="1:3" x14ac:dyDescent="0.25">
      <c r="A3" t="s">
        <v>1</v>
      </c>
      <c r="B3" s="6">
        <f>0*'Vehicle Information'!F2</f>
        <v>0</v>
      </c>
      <c r="C3" s="4" t="s">
        <v>157</v>
      </c>
    </row>
    <row r="4" spans="1:3" x14ac:dyDescent="0.25">
      <c r="A4" t="s">
        <v>2</v>
      </c>
      <c r="B4" s="6">
        <f>10*'Vehicle Information'!F2</f>
        <v>120</v>
      </c>
      <c r="C4" s="4" t="s">
        <v>161</v>
      </c>
    </row>
    <row r="5" spans="1:3" x14ac:dyDescent="0.25">
      <c r="A5" t="s">
        <v>3</v>
      </c>
      <c r="B5" s="6">
        <f>0*'Vehicle Information'!F2</f>
        <v>0</v>
      </c>
      <c r="C5" s="4" t="s">
        <v>157</v>
      </c>
    </row>
    <row r="6" spans="1:3" ht="45" x14ac:dyDescent="0.25">
      <c r="A6" t="s">
        <v>4</v>
      </c>
      <c r="B6" s="6">
        <f>IF(OR('Vehicle Information'!B6="ICV",'Vehicle Information'!B6="FFV"),'Calculation Sheet'!V24,0)</f>
        <v>0</v>
      </c>
      <c r="C6" s="4" t="s">
        <v>159</v>
      </c>
    </row>
    <row r="7" spans="1:3" ht="45" x14ac:dyDescent="0.25">
      <c r="A7" t="s">
        <v>5</v>
      </c>
      <c r="B7" s="6">
        <f>10+25*'Vehicle Information'!F2</f>
        <v>310</v>
      </c>
      <c r="C7" s="4" t="s">
        <v>162</v>
      </c>
    </row>
    <row r="8" spans="1:3" ht="45" x14ac:dyDescent="0.25">
      <c r="A8" t="s">
        <v>6</v>
      </c>
      <c r="B8" s="6">
        <f>10+10*'Vehicle Information'!F2</f>
        <v>130</v>
      </c>
      <c r="C8" s="4" t="s">
        <v>166</v>
      </c>
    </row>
    <row r="9" spans="1:3" x14ac:dyDescent="0.25">
      <c r="A9" t="s">
        <v>7</v>
      </c>
      <c r="B9" s="6">
        <v>0</v>
      </c>
      <c r="C9" s="4" t="s">
        <v>163</v>
      </c>
    </row>
    <row r="10" spans="1:3" ht="30" x14ac:dyDescent="0.25">
      <c r="A10" t="s">
        <v>8</v>
      </c>
      <c r="B10" s="6">
        <f>'Calculation Sheet'!V25</f>
        <v>180</v>
      </c>
      <c r="C10" s="4" t="s">
        <v>165</v>
      </c>
    </row>
    <row r="11" spans="1:3" x14ac:dyDescent="0.25">
      <c r="A11" t="s">
        <v>9</v>
      </c>
      <c r="B11" s="6">
        <v>0</v>
      </c>
      <c r="C11" s="4" t="s">
        <v>157</v>
      </c>
    </row>
    <row r="12" spans="1:3" ht="30" x14ac:dyDescent="0.25">
      <c r="A12" t="s">
        <v>10</v>
      </c>
      <c r="B12" s="6">
        <f>10*('Vehicle Information'!F2-2)</f>
        <v>100</v>
      </c>
      <c r="C12" s="4" t="s">
        <v>167</v>
      </c>
    </row>
    <row r="13" spans="1:3" ht="30" x14ac:dyDescent="0.25">
      <c r="A13" t="s">
        <v>11</v>
      </c>
      <c r="B13" s="6">
        <f>15*('Vehicle Information'!F2-2)</f>
        <v>150</v>
      </c>
      <c r="C13" s="4" t="s">
        <v>168</v>
      </c>
    </row>
    <row r="14" spans="1:3" x14ac:dyDescent="0.25">
      <c r="A14" t="s">
        <v>12</v>
      </c>
      <c r="B14" s="6">
        <f>11/2*'Vehicle Information'!F2</f>
        <v>66</v>
      </c>
      <c r="C14" s="4" t="s">
        <v>164</v>
      </c>
    </row>
    <row r="15" spans="1:3" ht="30" x14ac:dyDescent="0.25">
      <c r="A15" t="s">
        <v>13</v>
      </c>
      <c r="B15" s="6">
        <f>20*('Vehicle Information'!F2-4)</f>
        <v>160</v>
      </c>
      <c r="C15" s="4" t="s">
        <v>169</v>
      </c>
    </row>
    <row r="16" spans="1:3" x14ac:dyDescent="0.25">
      <c r="A16" t="s">
        <v>14</v>
      </c>
      <c r="B16" s="6">
        <v>0</v>
      </c>
      <c r="C16" s="4" t="s">
        <v>163</v>
      </c>
    </row>
    <row r="17" spans="1:3" x14ac:dyDescent="0.25">
      <c r="A17" t="s">
        <v>15</v>
      </c>
      <c r="B17" s="6">
        <v>0</v>
      </c>
      <c r="C17" s="4" t="s">
        <v>157</v>
      </c>
    </row>
    <row r="18" spans="1:3" x14ac:dyDescent="0.25">
      <c r="A18" t="s">
        <v>16</v>
      </c>
      <c r="B18" s="6">
        <v>20</v>
      </c>
      <c r="C18" s="4" t="s">
        <v>170</v>
      </c>
    </row>
    <row r="19" spans="1:3" x14ac:dyDescent="0.25">
      <c r="A19" t="s">
        <v>17</v>
      </c>
      <c r="B19" s="6">
        <v>0</v>
      </c>
      <c r="C19" s="4" t="s">
        <v>157</v>
      </c>
    </row>
    <row r="20" spans="1:3" ht="30" x14ac:dyDescent="0.25">
      <c r="A20" t="s">
        <v>18</v>
      </c>
      <c r="B20" s="6">
        <f>10*'Vehicle Information'!F2</f>
        <v>120</v>
      </c>
      <c r="C20" s="4" t="s">
        <v>173</v>
      </c>
    </row>
    <row r="21" spans="1:3" ht="30" x14ac:dyDescent="0.25">
      <c r="A21" t="s">
        <v>19</v>
      </c>
      <c r="B21" s="6">
        <f>18.5*'Vehicle Information'!F2</f>
        <v>222</v>
      </c>
      <c r="C21" s="4" t="s">
        <v>171</v>
      </c>
    </row>
    <row r="22" spans="1:3" ht="30" x14ac:dyDescent="0.25">
      <c r="A22" t="s">
        <v>20</v>
      </c>
      <c r="B22" s="6">
        <f>14*('Vehicle Information'!F2-2)</f>
        <v>140</v>
      </c>
      <c r="C22" s="4" t="s">
        <v>172</v>
      </c>
    </row>
    <row r="23" spans="1:3" ht="30" x14ac:dyDescent="0.25">
      <c r="A23" t="s">
        <v>21</v>
      </c>
      <c r="B23" s="6">
        <f>29*'Vehicle Information'!F2</f>
        <v>348</v>
      </c>
      <c r="C23" s="4" t="s">
        <v>174</v>
      </c>
    </row>
    <row r="24" spans="1:3" x14ac:dyDescent="0.25">
      <c r="A24" t="s">
        <v>22</v>
      </c>
      <c r="B24" s="6">
        <v>0</v>
      </c>
      <c r="C24" s="4" t="s">
        <v>157</v>
      </c>
    </row>
    <row r="25" spans="1:3" x14ac:dyDescent="0.25">
      <c r="A25" t="s">
        <v>23</v>
      </c>
      <c r="B25" s="6">
        <v>0</v>
      </c>
      <c r="C25" s="4" t="s">
        <v>157</v>
      </c>
    </row>
    <row r="26" spans="1:3" x14ac:dyDescent="0.25">
      <c r="A26" t="s">
        <v>24</v>
      </c>
      <c r="B26" s="6">
        <f>5*'Vehicle Information'!F2</f>
        <v>60</v>
      </c>
      <c r="C26" s="4" t="s">
        <v>175</v>
      </c>
    </row>
    <row r="27" spans="1:3" ht="45" x14ac:dyDescent="0.25">
      <c r="A27" t="s">
        <v>25</v>
      </c>
      <c r="B27" s="6">
        <f>36*'Vehicle Information'!F2</f>
        <v>432</v>
      </c>
      <c r="C27" s="4" t="s">
        <v>177</v>
      </c>
    </row>
    <row r="28" spans="1:3" x14ac:dyDescent="0.25">
      <c r="A28" t="s">
        <v>26</v>
      </c>
      <c r="B28" s="6">
        <v>0</v>
      </c>
      <c r="C28" s="4" t="s">
        <v>157</v>
      </c>
    </row>
    <row r="29" spans="1:3" x14ac:dyDescent="0.25">
      <c r="A29" t="s">
        <v>27</v>
      </c>
      <c r="B29" s="6">
        <f>10</f>
        <v>10</v>
      </c>
      <c r="C29" s="4" t="s">
        <v>178</v>
      </c>
    </row>
    <row r="30" spans="1:3" x14ac:dyDescent="0.25">
      <c r="A30" t="s">
        <v>28</v>
      </c>
      <c r="B30" s="6">
        <f>39.5*'Vehicle Information'!F2</f>
        <v>474</v>
      </c>
      <c r="C30" s="4" t="s">
        <v>179</v>
      </c>
    </row>
    <row r="31" spans="1:3" ht="30" x14ac:dyDescent="0.25">
      <c r="A31" t="s">
        <v>29</v>
      </c>
      <c r="B31" s="6">
        <f>20*'Vehicle Information'!F2</f>
        <v>240</v>
      </c>
      <c r="C31" s="4" t="s">
        <v>180</v>
      </c>
    </row>
    <row r="32" spans="1:3" x14ac:dyDescent="0.25">
      <c r="A32" t="s">
        <v>30</v>
      </c>
      <c r="B32" s="6">
        <v>0</v>
      </c>
      <c r="C32" s="4" t="s">
        <v>163</v>
      </c>
    </row>
    <row r="33" spans="1:3" x14ac:dyDescent="0.25">
      <c r="A33" t="s">
        <v>31</v>
      </c>
      <c r="B33" s="6">
        <f>15*'Vehicle Information'!F2</f>
        <v>180</v>
      </c>
      <c r="C33" s="4" t="s">
        <v>181</v>
      </c>
    </row>
    <row r="34" spans="1:3" ht="45" x14ac:dyDescent="0.25">
      <c r="A34" t="s">
        <v>32</v>
      </c>
      <c r="B34" s="6">
        <f>37*'Vehicle Information'!F2</f>
        <v>444</v>
      </c>
      <c r="C34" s="4" t="s">
        <v>182</v>
      </c>
    </row>
    <row r="35" spans="1:3" ht="45" x14ac:dyDescent="0.25">
      <c r="A35" t="s">
        <v>33</v>
      </c>
      <c r="B35" s="6">
        <f>43.6*'Vehicle Information'!F2</f>
        <v>523.20000000000005</v>
      </c>
      <c r="C35" s="4" t="s">
        <v>176</v>
      </c>
    </row>
    <row r="36" spans="1:3" x14ac:dyDescent="0.25">
      <c r="A36" t="s">
        <v>34</v>
      </c>
      <c r="B36" s="6">
        <v>0</v>
      </c>
      <c r="C36" s="4" t="s">
        <v>157</v>
      </c>
    </row>
    <row r="37" spans="1:3" x14ac:dyDescent="0.25">
      <c r="A37" t="s">
        <v>35</v>
      </c>
      <c r="B37" s="6">
        <v>0</v>
      </c>
      <c r="C37" s="4" t="s">
        <v>163</v>
      </c>
    </row>
    <row r="38" spans="1:3" x14ac:dyDescent="0.25">
      <c r="A38" t="s">
        <v>36</v>
      </c>
      <c r="B38" s="6">
        <v>0</v>
      </c>
      <c r="C38" s="4" t="s">
        <v>157</v>
      </c>
    </row>
    <row r="39" spans="1:3" ht="30" x14ac:dyDescent="0.25">
      <c r="A39" t="s">
        <v>37</v>
      </c>
      <c r="B39" s="6">
        <f>7+19/2*'Vehicle Information'!F2</f>
        <v>121</v>
      </c>
      <c r="C39" s="4" t="s">
        <v>183</v>
      </c>
    </row>
    <row r="40" spans="1:3" ht="45" x14ac:dyDescent="0.25">
      <c r="A40" t="s">
        <v>38</v>
      </c>
      <c r="B40" s="6">
        <f>51*'Vehicle Information'!F2</f>
        <v>612</v>
      </c>
      <c r="C40" s="4" t="s">
        <v>184</v>
      </c>
    </row>
    <row r="41" spans="1:3" x14ac:dyDescent="0.25">
      <c r="A41" t="s">
        <v>39</v>
      </c>
      <c r="B41" s="6">
        <v>19.5</v>
      </c>
      <c r="C41" s="4" t="s">
        <v>158</v>
      </c>
    </row>
    <row r="42" spans="1:3" x14ac:dyDescent="0.25">
      <c r="A42" t="s">
        <v>40</v>
      </c>
      <c r="B42" s="6">
        <v>0</v>
      </c>
      <c r="C42" s="4" t="s">
        <v>157</v>
      </c>
    </row>
    <row r="43" spans="1:3" x14ac:dyDescent="0.25">
      <c r="A43" t="s">
        <v>41</v>
      </c>
      <c r="B43" s="6">
        <v>0</v>
      </c>
      <c r="C43" s="4" t="s">
        <v>157</v>
      </c>
    </row>
    <row r="44" spans="1:3" x14ac:dyDescent="0.25">
      <c r="A44" t="s">
        <v>42</v>
      </c>
      <c r="B44" s="6">
        <f>10*'Vehicle Information'!F2</f>
        <v>120</v>
      </c>
      <c r="C44" s="4" t="s">
        <v>185</v>
      </c>
    </row>
    <row r="45" spans="1:3" ht="30" x14ac:dyDescent="0.25">
      <c r="A45" t="s">
        <v>43</v>
      </c>
      <c r="B45" s="6">
        <f>27.25*'Vehicle Information'!F2</f>
        <v>327</v>
      </c>
      <c r="C45" s="4" t="s">
        <v>186</v>
      </c>
    </row>
    <row r="46" spans="1:3" ht="75" x14ac:dyDescent="0.25">
      <c r="A46" t="s">
        <v>44</v>
      </c>
      <c r="B46" s="6">
        <f>'Calculation Sheet'!V26</f>
        <v>337</v>
      </c>
      <c r="C46" s="4" t="s">
        <v>187</v>
      </c>
    </row>
    <row r="47" spans="1:3" x14ac:dyDescent="0.25">
      <c r="A47" t="s">
        <v>45</v>
      </c>
      <c r="B47" s="6">
        <f>5*'Vehicle Information'!F2</f>
        <v>60</v>
      </c>
      <c r="C47" s="4" t="s">
        <v>175</v>
      </c>
    </row>
    <row r="48" spans="1:3" ht="45" x14ac:dyDescent="0.25">
      <c r="A48" t="s">
        <v>46</v>
      </c>
      <c r="B48" s="6">
        <f>(16+28/2)*'Vehicle Information'!F2</f>
        <v>360</v>
      </c>
      <c r="C48" s="4" t="s">
        <v>188</v>
      </c>
    </row>
    <row r="49" spans="1:3" x14ac:dyDescent="0.25">
      <c r="A49" t="s">
        <v>47</v>
      </c>
      <c r="B49" s="6">
        <f>7.5*'Vehicle Information'!F2</f>
        <v>90</v>
      </c>
      <c r="C49" s="4" t="s">
        <v>189</v>
      </c>
    </row>
    <row r="50" spans="1:3" x14ac:dyDescent="0.25">
      <c r="A50" t="s">
        <v>48</v>
      </c>
      <c r="B50" s="6">
        <f>12.36*'Vehicle Information'!F2</f>
        <v>148.32</v>
      </c>
      <c r="C50" s="4" t="s">
        <v>190</v>
      </c>
    </row>
    <row r="51" spans="1:3" x14ac:dyDescent="0.25">
      <c r="A51" t="s">
        <v>49</v>
      </c>
      <c r="B51" s="6">
        <v>0</v>
      </c>
      <c r="C51" s="4" t="s">
        <v>163</v>
      </c>
    </row>
    <row r="52" spans="1:3" x14ac:dyDescent="0.25">
      <c r="A52" t="s">
        <v>50</v>
      </c>
      <c r="B52" s="6">
        <f>9</f>
        <v>9</v>
      </c>
      <c r="C52" s="4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topLeftCell="A4" workbookViewId="0">
      <selection activeCell="B10" sqref="B10"/>
    </sheetView>
  </sheetViews>
  <sheetFormatPr defaultRowHeight="15" x14ac:dyDescent="0.25"/>
  <cols>
    <col min="1" max="1" width="18.7109375" bestFit="1" customWidth="1"/>
  </cols>
  <sheetData>
    <row r="1" spans="1:39" x14ac:dyDescent="0.25">
      <c r="A1" t="s">
        <v>86</v>
      </c>
      <c r="C1" t="s">
        <v>130</v>
      </c>
    </row>
    <row r="2" spans="1:39" x14ac:dyDescent="0.25">
      <c r="A2" t="s">
        <v>87</v>
      </c>
      <c r="C2" t="s">
        <v>131</v>
      </c>
    </row>
    <row r="3" spans="1:39" x14ac:dyDescent="0.25">
      <c r="A3" t="s">
        <v>88</v>
      </c>
      <c r="C3" t="s">
        <v>132</v>
      </c>
    </row>
    <row r="4" spans="1:39" x14ac:dyDescent="0.25">
      <c r="A4" t="s">
        <v>89</v>
      </c>
      <c r="C4" t="s">
        <v>133</v>
      </c>
    </row>
    <row r="5" spans="1:39" x14ac:dyDescent="0.25">
      <c r="A5" t="s">
        <v>90</v>
      </c>
      <c r="C5" t="s">
        <v>134</v>
      </c>
      <c r="Y5" t="s">
        <v>22</v>
      </c>
      <c r="AB5" t="s">
        <v>25</v>
      </c>
      <c r="AE5" t="s">
        <v>41</v>
      </c>
      <c r="AI5" t="s">
        <v>34</v>
      </c>
    </row>
    <row r="6" spans="1:39" x14ac:dyDescent="0.25">
      <c r="A6" t="s">
        <v>91</v>
      </c>
      <c r="C6" t="s">
        <v>135</v>
      </c>
      <c r="Y6">
        <v>6000</v>
      </c>
      <c r="Z6">
        <v>30</v>
      </c>
      <c r="AB6">
        <v>0</v>
      </c>
      <c r="AC6">
        <v>18.5</v>
      </c>
      <c r="AE6">
        <v>1</v>
      </c>
      <c r="AF6">
        <f>2.5*12</f>
        <v>30</v>
      </c>
      <c r="AG6">
        <f>1.75*12</f>
        <v>21</v>
      </c>
      <c r="AI6">
        <v>0</v>
      </c>
      <c r="AJ6">
        <v>73</v>
      </c>
      <c r="AK6">
        <v>65</v>
      </c>
      <c r="AL6">
        <v>57</v>
      </c>
      <c r="AM6">
        <v>49</v>
      </c>
    </row>
    <row r="7" spans="1:39" x14ac:dyDescent="0.25">
      <c r="A7" t="s">
        <v>92</v>
      </c>
      <c r="Y7">
        <v>7000</v>
      </c>
      <c r="Z7">
        <v>33</v>
      </c>
      <c r="AB7">
        <v>12</v>
      </c>
      <c r="AC7">
        <v>21.25</v>
      </c>
      <c r="AE7">
        <v>2001</v>
      </c>
      <c r="AF7">
        <f>4.25*12</f>
        <v>51</v>
      </c>
      <c r="AG7">
        <f>2.975*12</f>
        <v>35.700000000000003</v>
      </c>
      <c r="AI7">
        <v>3200</v>
      </c>
      <c r="AJ7">
        <v>93</v>
      </c>
      <c r="AK7">
        <v>81</v>
      </c>
      <c r="AL7">
        <v>69</v>
      </c>
      <c r="AM7">
        <v>57</v>
      </c>
    </row>
    <row r="8" spans="1:39" x14ac:dyDescent="0.25">
      <c r="Y8">
        <v>8000</v>
      </c>
      <c r="Z8">
        <v>38</v>
      </c>
      <c r="AB8">
        <v>24</v>
      </c>
      <c r="AC8">
        <v>24.25</v>
      </c>
      <c r="AE8">
        <v>4001</v>
      </c>
      <c r="AF8">
        <f>6.0417*12</f>
        <v>72.500399999999999</v>
      </c>
      <c r="AG8">
        <f>4.2292*12</f>
        <v>50.750399999999999</v>
      </c>
      <c r="AI8">
        <v>4500</v>
      </c>
      <c r="AJ8">
        <v>111</v>
      </c>
      <c r="AK8">
        <v>94</v>
      </c>
      <c r="AL8">
        <v>79</v>
      </c>
      <c r="AM8">
        <v>63</v>
      </c>
    </row>
    <row r="9" spans="1:39" x14ac:dyDescent="0.25">
      <c r="A9" t="s">
        <v>99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Y9">
        <v>9000</v>
      </c>
      <c r="Z9">
        <v>43</v>
      </c>
      <c r="AB9">
        <v>36</v>
      </c>
      <c r="AC9">
        <v>33.25</v>
      </c>
      <c r="AE9">
        <v>6001</v>
      </c>
      <c r="AF9">
        <f>7.7083*12</f>
        <v>92.499600000000001</v>
      </c>
      <c r="AG9">
        <f>5.3958*12</f>
        <v>64.749600000000001</v>
      </c>
      <c r="AI9">
        <v>5000</v>
      </c>
      <c r="AJ9">
        <v>142</v>
      </c>
      <c r="AK9">
        <v>120</v>
      </c>
      <c r="AL9">
        <v>98</v>
      </c>
      <c r="AM9">
        <v>76</v>
      </c>
    </row>
    <row r="10" spans="1:39" x14ac:dyDescent="0.25">
      <c r="A10" t="s">
        <v>2</v>
      </c>
      <c r="B10">
        <f>9.5+IF(0.6-0.1625*(B9-1)&gt;0,0.028*(0.6-0.1625*(B9-1))*'Vehicle Information'!$B$3,0)</f>
        <v>547.1</v>
      </c>
      <c r="C10">
        <f>9.5+IF(0.6-0.1625*(C9-1)&gt;0,0.028*(0.6-0.1625*(C9-1))*'Vehicle Information'!$B$3,0)</f>
        <v>401.5</v>
      </c>
      <c r="D10">
        <f>9.5+IF(0.6-0.1625*(D9-1)&gt;0,0.028*(0.6-0.1625*(D9-1))*'Vehicle Information'!$B$3,0)</f>
        <v>255.89999999999998</v>
      </c>
      <c r="E10">
        <f>9.5+IF(0.6-0.1625*(E9-1)&gt;0,0.028*(0.6-0.1625*(E9-1))*'Vehicle Information'!$B$3,0)</f>
        <v>110.29999999999994</v>
      </c>
      <c r="F10">
        <f>9.5+IF(0.6-0.1625*(F9-1)&gt;0,0.028*(0.6-0.1625*(F9-1))*'Vehicle Information'!$B$3,0)</f>
        <v>9.5</v>
      </c>
      <c r="G10">
        <f>9.5+IF(0.6-0.1625*(G9-1)&gt;0,0.028*(0.6-0.1625*(G9-1))*'Vehicle Information'!$B$3,0)</f>
        <v>9.5</v>
      </c>
      <c r="H10">
        <f>9.5+IF(0.6-0.1625*(H9-1)&gt;0,0.028*(0.6-0.1625*(H9-1))*'Vehicle Information'!$B$3,0)</f>
        <v>9.5</v>
      </c>
      <c r="I10">
        <f>9.5+IF(0.6-0.1625*(I9-1)&gt;0,0.028*(0.6-0.1625*(I9-1))*'Vehicle Information'!$B$3,0)</f>
        <v>9.5</v>
      </c>
      <c r="J10">
        <f>9.5+IF(0.6-0.1625*(J9-1)&gt;0,0.028*(0.6-0.1625*(J9-1))*'Vehicle Information'!$B$3,0)</f>
        <v>9.5</v>
      </c>
      <c r="K10">
        <f>9.5+IF(0.6-0.1625*(K9-1)&gt;0,0.028*(0.6-0.1625*(K9-1))*'Vehicle Information'!$B$3,0)</f>
        <v>9.5</v>
      </c>
      <c r="L10">
        <f>9.5+IF(0.6-0.1625*(L9-1)&gt;0,0.028*(0.6-0.1625*(L9-1))*'Vehicle Information'!$B$3,0)</f>
        <v>9.5</v>
      </c>
      <c r="M10">
        <f>9.5+IF(0.6-0.1625*(M9-1)&gt;0,0.028*(0.6-0.1625*(M9-1))*'Vehicle Information'!$B$3,0)</f>
        <v>9.5</v>
      </c>
      <c r="N10">
        <f>9.5+IF(0.6-0.1625*(N9-1)&gt;0,0.028*(0.6-0.1625*(N9-1))*'Vehicle Information'!$B$3,0)</f>
        <v>9.5</v>
      </c>
      <c r="O10">
        <f>9.5+IF(0.6-0.1625*(O9-1)&gt;0,0.028*(0.6-0.1625*(O9-1))*'Vehicle Information'!$B$3,0)</f>
        <v>9.5</v>
      </c>
      <c r="P10">
        <f>9.5+IF(0.6-0.1625*(P9-1)&gt;0,0.028*(0.6-0.1625*(P9-1))*'Vehicle Information'!$B$3,0)</f>
        <v>9.5</v>
      </c>
      <c r="Q10">
        <f>9.5+IF(0.6-0.1625*(Q9-1)&gt;0,0.028*(0.6-0.1625*(Q9-1))*'Vehicle Information'!$B$3,0)</f>
        <v>9.5</v>
      </c>
      <c r="R10">
        <f>9.5+IF(0.6-0.1625*(R9-1)&gt;0,0.028*(0.6-0.1625*(R9-1))*'Vehicle Information'!$B$3,0)</f>
        <v>9.5</v>
      </c>
      <c r="S10">
        <f>9.5+IF(0.6-0.1625*(S9-1)&gt;0,0.028*(0.6-0.1625*(S9-1))*'Vehicle Information'!$B$3,0)</f>
        <v>9.5</v>
      </c>
      <c r="T10">
        <f>9.5+IF(0.6-0.1625*(T9-1)&gt;0,0.028*(0.6-0.1625*(T9-1))*'Vehicle Information'!$B$3,0)</f>
        <v>9.5</v>
      </c>
      <c r="U10">
        <f>9.5+IF(0.6-0.1625*(U9-1)&gt;0,0.028*(0.6-0.1625*(U9-1))*'Vehicle Information'!$B$3,0)</f>
        <v>9.5</v>
      </c>
      <c r="V10">
        <f>SUMIF(B$9:U$9,"&lt;="&amp;'Vehicle Information'!$F$2,B10:U10)</f>
        <v>1390.8</v>
      </c>
      <c r="Y10">
        <v>10000</v>
      </c>
      <c r="Z10">
        <v>48</v>
      </c>
      <c r="AB10">
        <v>48</v>
      </c>
      <c r="AC10">
        <v>39.25</v>
      </c>
      <c r="AI10">
        <v>6000</v>
      </c>
      <c r="AJ10">
        <v>175</v>
      </c>
      <c r="AK10">
        <v>146</v>
      </c>
      <c r="AL10">
        <v>117</v>
      </c>
      <c r="AM10">
        <v>89</v>
      </c>
    </row>
    <row r="11" spans="1:39" x14ac:dyDescent="0.25">
      <c r="A11" t="s">
        <v>5</v>
      </c>
      <c r="B11">
        <f>0.85*'Vehicle Information'!$B$3*0.021+70</f>
        <v>641.20000000000005</v>
      </c>
      <c r="C11">
        <f>0.85*'Vehicle Information'!$B$3*0.015+70</f>
        <v>478</v>
      </c>
      <c r="D11">
        <f>0.85*'Vehicle Information'!$B$3*0.012+70</f>
        <v>396.40000000000003</v>
      </c>
      <c r="E11">
        <f>0.85*'Vehicle Information'!$B$3*0.009+70</f>
        <v>314.79999999999995</v>
      </c>
      <c r="F11">
        <f>0.85*'Vehicle Information'!$B$3*0.0045+70</f>
        <v>192.39999999999998</v>
      </c>
      <c r="G11">
        <f>0.85*'Vehicle Information'!$B$3*0.0045+70</f>
        <v>192.39999999999998</v>
      </c>
      <c r="H11">
        <f>0.85*'Vehicle Information'!$B$3*0.0045+70</f>
        <v>192.39999999999998</v>
      </c>
      <c r="I11">
        <f>0.85*'Vehicle Information'!$B$3*0.0045+70</f>
        <v>192.39999999999998</v>
      </c>
      <c r="J11">
        <f>0.85*'Vehicle Information'!$B$3*0.0045+70</f>
        <v>192.39999999999998</v>
      </c>
      <c r="K11">
        <f>3+70</f>
        <v>73</v>
      </c>
      <c r="L11">
        <f t="shared" ref="L11:U11" si="0">3+70</f>
        <v>73</v>
      </c>
      <c r="M11">
        <f t="shared" si="0"/>
        <v>73</v>
      </c>
      <c r="N11">
        <f t="shared" si="0"/>
        <v>73</v>
      </c>
      <c r="O11">
        <f t="shared" si="0"/>
        <v>73</v>
      </c>
      <c r="P11">
        <f t="shared" si="0"/>
        <v>73</v>
      </c>
      <c r="Q11">
        <f t="shared" si="0"/>
        <v>73</v>
      </c>
      <c r="R11">
        <f t="shared" si="0"/>
        <v>73</v>
      </c>
      <c r="S11">
        <f t="shared" si="0"/>
        <v>73</v>
      </c>
      <c r="T11">
        <f t="shared" si="0"/>
        <v>73</v>
      </c>
      <c r="U11">
        <f t="shared" si="0"/>
        <v>73</v>
      </c>
      <c r="V11">
        <f>SUMIF(B$9:U$9,"&lt;="&amp;'Vehicle Information'!$F$2,B11:U11)</f>
        <v>3011.4000000000005</v>
      </c>
      <c r="Y11">
        <v>11000</v>
      </c>
      <c r="Z11">
        <v>53</v>
      </c>
      <c r="AB11">
        <v>60</v>
      </c>
      <c r="AC11">
        <v>45.25</v>
      </c>
      <c r="AI11">
        <v>7000</v>
      </c>
      <c r="AJ11">
        <v>208</v>
      </c>
      <c r="AK11">
        <v>172</v>
      </c>
      <c r="AL11">
        <v>137</v>
      </c>
      <c r="AM11">
        <v>102</v>
      </c>
    </row>
    <row r="12" spans="1:39" x14ac:dyDescent="0.25">
      <c r="A12" t="s">
        <v>12</v>
      </c>
      <c r="B12">
        <v>48</v>
      </c>
      <c r="C12">
        <v>48</v>
      </c>
      <c r="D12">
        <v>36</v>
      </c>
      <c r="E12">
        <v>36</v>
      </c>
      <c r="F12">
        <v>36</v>
      </c>
      <c r="G12">
        <v>36</v>
      </c>
      <c r="H12">
        <v>24</v>
      </c>
      <c r="I12">
        <v>24</v>
      </c>
      <c r="J12">
        <v>24</v>
      </c>
      <c r="K12">
        <v>24</v>
      </c>
      <c r="L12">
        <v>24</v>
      </c>
      <c r="M12">
        <v>24</v>
      </c>
      <c r="N12">
        <v>24</v>
      </c>
      <c r="O12">
        <v>24</v>
      </c>
      <c r="P12">
        <v>24</v>
      </c>
      <c r="Q12">
        <v>24</v>
      </c>
      <c r="R12">
        <v>24</v>
      </c>
      <c r="S12">
        <v>24</v>
      </c>
      <c r="T12">
        <v>24</v>
      </c>
      <c r="U12">
        <v>24</v>
      </c>
      <c r="V12">
        <f>SUMIF(B$9:U$9,"&lt;="&amp;'Vehicle Information'!$F$2,B12:U12)</f>
        <v>384</v>
      </c>
      <c r="Y12">
        <v>12000</v>
      </c>
      <c r="Z12">
        <v>58</v>
      </c>
      <c r="AB12">
        <v>72</v>
      </c>
      <c r="AC12">
        <v>51.25</v>
      </c>
      <c r="AI12">
        <v>8000</v>
      </c>
      <c r="AJ12">
        <v>241</v>
      </c>
      <c r="AK12">
        <v>199</v>
      </c>
      <c r="AL12">
        <v>157</v>
      </c>
      <c r="AM12">
        <v>115</v>
      </c>
    </row>
    <row r="13" spans="1:39" x14ac:dyDescent="0.25">
      <c r="A13" t="s">
        <v>15</v>
      </c>
      <c r="B13">
        <f>0.4*'Vehicle Information'!$B$4/100+0.01*'Vehicle Information'!$B$3</f>
        <v>332.66</v>
      </c>
      <c r="C13">
        <f>0.4*'Vehicle Information'!$B$4/100+0.01*'Vehicle Information'!$B$3</f>
        <v>332.66</v>
      </c>
      <c r="D13">
        <f>0.4*'Vehicle Information'!$B$4/100+0.01*'Vehicle Information'!$B$3</f>
        <v>332.66</v>
      </c>
      <c r="E13">
        <f>0.4*'Vehicle Information'!$B$4/100+0.01*'Vehicle Information'!$B$3</f>
        <v>332.66</v>
      </c>
      <c r="F13">
        <f>0.4*'Vehicle Information'!$B$4/100+0.01*'Vehicle Information'!$B$3</f>
        <v>332.66</v>
      </c>
      <c r="G13">
        <f>0.4*'Vehicle Information'!$B$4/100+0.01*'Vehicle Information'!$B$3</f>
        <v>332.66</v>
      </c>
      <c r="H13">
        <f>0.4*'Vehicle Information'!$B$4/100+0.01*'Vehicle Information'!$B$3</f>
        <v>332.66</v>
      </c>
      <c r="I13">
        <f>0.4*'Vehicle Information'!$B$4/100+0.0075*'Vehicle Information'!$B$3</f>
        <v>252.66</v>
      </c>
      <c r="J13">
        <f>0.4*'Vehicle Information'!$B$4/100+0.0075*'Vehicle Information'!$B$3</f>
        <v>252.66</v>
      </c>
      <c r="K13">
        <f>0.4*'Vehicle Information'!$B$4/100+0.005*'Vehicle Information'!$B$3</f>
        <v>172.66</v>
      </c>
      <c r="L13">
        <f>0.4*'Vehicle Information'!$B$4/100+0.005*'Vehicle Information'!$B$3</f>
        <v>172.66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  <c r="V13">
        <f>SUMIF(B$9:U$9,"&lt;="&amp;'Vehicle Information'!$F$2,B13:U13)</f>
        <v>3229.2599999999998</v>
      </c>
      <c r="Y13">
        <v>13000</v>
      </c>
      <c r="Z13">
        <v>63</v>
      </c>
      <c r="AI13">
        <v>9000</v>
      </c>
      <c r="AJ13">
        <v>274</v>
      </c>
      <c r="AK13">
        <v>225</v>
      </c>
      <c r="AL13">
        <v>177</v>
      </c>
      <c r="AM13">
        <v>128</v>
      </c>
    </row>
    <row r="14" spans="1:39" x14ac:dyDescent="0.25">
      <c r="A14" t="s">
        <v>22</v>
      </c>
      <c r="B14">
        <f>VLOOKUP('Vehicle Information'!B3,'Calculation Sheet'!Y6:Z30,2,TRUE)</f>
        <v>148</v>
      </c>
      <c r="C14">
        <f>0.9*B14</f>
        <v>133.20000000000002</v>
      </c>
      <c r="D14">
        <f t="shared" ref="D14:E14" si="1">0.9*C14</f>
        <v>119.88000000000002</v>
      </c>
      <c r="E14">
        <f t="shared" si="1"/>
        <v>107.89200000000002</v>
      </c>
      <c r="F14">
        <f>E14</f>
        <v>107.89200000000002</v>
      </c>
      <c r="G14">
        <f t="shared" ref="G14:U14" si="2">F14</f>
        <v>107.89200000000002</v>
      </c>
      <c r="H14">
        <f t="shared" si="2"/>
        <v>107.89200000000002</v>
      </c>
      <c r="I14">
        <f t="shared" si="2"/>
        <v>107.89200000000002</v>
      </c>
      <c r="J14">
        <f t="shared" si="2"/>
        <v>107.89200000000002</v>
      </c>
      <c r="K14">
        <f t="shared" si="2"/>
        <v>107.89200000000002</v>
      </c>
      <c r="L14">
        <f t="shared" si="2"/>
        <v>107.89200000000002</v>
      </c>
      <c r="M14">
        <f t="shared" si="2"/>
        <v>107.89200000000002</v>
      </c>
      <c r="N14">
        <f t="shared" si="2"/>
        <v>107.89200000000002</v>
      </c>
      <c r="O14">
        <f t="shared" si="2"/>
        <v>107.89200000000002</v>
      </c>
      <c r="P14">
        <f t="shared" si="2"/>
        <v>107.89200000000002</v>
      </c>
      <c r="Q14">
        <f t="shared" si="2"/>
        <v>107.89200000000002</v>
      </c>
      <c r="R14">
        <f t="shared" si="2"/>
        <v>107.89200000000002</v>
      </c>
      <c r="S14">
        <f t="shared" si="2"/>
        <v>107.89200000000002</v>
      </c>
      <c r="T14">
        <f t="shared" si="2"/>
        <v>107.89200000000002</v>
      </c>
      <c r="U14">
        <f t="shared" si="2"/>
        <v>107.89200000000002</v>
      </c>
      <c r="V14">
        <f>SUMIF(B$9:U$9,"&lt;="&amp;'Vehicle Information'!$F$2,B14:U14)</f>
        <v>1372.1080000000004</v>
      </c>
      <c r="Y14">
        <v>14000</v>
      </c>
      <c r="Z14">
        <v>68</v>
      </c>
    </row>
    <row r="15" spans="1:39" x14ac:dyDescent="0.25">
      <c r="A15" t="s">
        <v>23</v>
      </c>
      <c r="B15">
        <f>Z33*'Vehicle Information'!$B$3+'Calculation Sheet'!Z34</f>
        <v>411</v>
      </c>
      <c r="C15">
        <f>AA33*'Vehicle Information'!$B$3+'Calculation Sheet'!AA34</f>
        <v>411</v>
      </c>
      <c r="D15">
        <f>AB33*'Vehicle Information'!$B$3+'Calculation Sheet'!AB34</f>
        <v>371.23776223776218</v>
      </c>
      <c r="E15">
        <f>AC33*'Vehicle Information'!$B$3+'Calculation Sheet'!AC34</f>
        <v>331</v>
      </c>
      <c r="F15">
        <f>AD33*'Vehicle Information'!$B$3+'Calculation Sheet'!AD34</f>
        <v>290.7622377622377</v>
      </c>
      <c r="G15">
        <f>AE33*'Vehicle Information'!$B$3+'Calculation Sheet'!AE34</f>
        <v>251</v>
      </c>
      <c r="H15">
        <f>AF33*'Vehicle Information'!$B$3+'Calculation Sheet'!AF34</f>
        <v>210.76223776223776</v>
      </c>
      <c r="I15">
        <f>AG33*'Vehicle Information'!$B$3+'Calculation Sheet'!AG34</f>
        <v>171</v>
      </c>
      <c r="J15">
        <f>AH33*'Vehicle Information'!$B$3+'Calculation Sheet'!AH34</f>
        <v>133.90909090909088</v>
      </c>
      <c r="K15">
        <f>AI33*'Vehicle Information'!$B$3+'Calculation Sheet'!AI34</f>
        <v>96.818181818181813</v>
      </c>
      <c r="L15">
        <f>AJ33*'Vehicle Information'!$B$3+'Calculation Sheet'!AJ34</f>
        <v>60.2027972027972</v>
      </c>
      <c r="M15">
        <f>AK33*'Vehicle Information'!$B$3+'Calculation Sheet'!AK34</f>
        <v>35</v>
      </c>
      <c r="N15">
        <f>M15</f>
        <v>35</v>
      </c>
      <c r="O15">
        <f t="shared" ref="O15:U15" si="3">N15</f>
        <v>35</v>
      </c>
      <c r="P15">
        <f t="shared" si="3"/>
        <v>35</v>
      </c>
      <c r="Q15">
        <f t="shared" si="3"/>
        <v>35</v>
      </c>
      <c r="R15">
        <f t="shared" si="3"/>
        <v>35</v>
      </c>
      <c r="S15">
        <f t="shared" si="3"/>
        <v>35</v>
      </c>
      <c r="T15">
        <f t="shared" si="3"/>
        <v>35</v>
      </c>
      <c r="U15">
        <f t="shared" si="3"/>
        <v>35</v>
      </c>
      <c r="V15">
        <f>SUMIF(B$9:U$9,"&lt;="&amp;'Vehicle Information'!$F$2,B15:U15)</f>
        <v>2773.6923076923081</v>
      </c>
      <c r="Y15">
        <v>15000</v>
      </c>
      <c r="Z15">
        <v>73</v>
      </c>
      <c r="AB15" t="s">
        <v>39</v>
      </c>
    </row>
    <row r="16" spans="1:39" x14ac:dyDescent="0.25">
      <c r="A16" t="s">
        <v>26</v>
      </c>
      <c r="B16">
        <v>217</v>
      </c>
      <c r="C16">
        <v>217</v>
      </c>
      <c r="D16">
        <v>217</v>
      </c>
      <c r="E16">
        <v>217</v>
      </c>
      <c r="F16">
        <v>87</v>
      </c>
      <c r="G16">
        <v>87</v>
      </c>
      <c r="H16">
        <v>87</v>
      </c>
      <c r="I16">
        <v>87</v>
      </c>
      <c r="J16">
        <v>87</v>
      </c>
      <c r="K16">
        <v>87</v>
      </c>
      <c r="L16">
        <v>28</v>
      </c>
      <c r="M16">
        <v>28</v>
      </c>
      <c r="N16">
        <v>28</v>
      </c>
      <c r="O16">
        <v>28</v>
      </c>
      <c r="P16">
        <v>28</v>
      </c>
      <c r="Q16">
        <v>28</v>
      </c>
      <c r="R16">
        <v>28</v>
      </c>
      <c r="S16">
        <v>28</v>
      </c>
      <c r="T16">
        <v>28</v>
      </c>
      <c r="U16">
        <v>28</v>
      </c>
      <c r="V16">
        <f>SUMIF(B$9:U$9,"&lt;="&amp;'Vehicle Information'!$F$2,B16:U16)</f>
        <v>1446</v>
      </c>
      <c r="Y16">
        <v>16000</v>
      </c>
      <c r="Z16">
        <v>78</v>
      </c>
      <c r="AB16">
        <v>0</v>
      </c>
      <c r="AC16">
        <v>30</v>
      </c>
    </row>
    <row r="17" spans="1:29" x14ac:dyDescent="0.25">
      <c r="A17" t="s">
        <v>31</v>
      </c>
      <c r="B17">
        <f>IF('Vehicle Information'!$B$4&lt;2000,33,IF('Vehicle Information'!$B$4&gt;3000,62,45))</f>
        <v>62</v>
      </c>
      <c r="C17">
        <f>IF('Vehicle Information'!$B$4&lt;2000,33,IF('Vehicle Information'!$B$4&gt;3000,62,45))</f>
        <v>62</v>
      </c>
      <c r="D17">
        <f>IF('Vehicle Information'!$B$4&lt;2000,33,IF('Vehicle Information'!$B$4&gt;3000,62,45))</f>
        <v>62</v>
      </c>
      <c r="E17">
        <f>IF('Vehicle Information'!$B$4&lt;2000,33,IF('Vehicle Information'!$B$4&gt;3000,62,45))</f>
        <v>62</v>
      </c>
      <c r="F17">
        <f>IF('Vehicle Information'!$B$4&lt;2000,33,IF('Vehicle Information'!$B$4&gt;3000,62,45))</f>
        <v>62</v>
      </c>
      <c r="G17">
        <f>IF('Vehicle Information'!$B$4&lt;2000,27,IF('Vehicle Information'!$B$4&gt;3000,51,37))</f>
        <v>51</v>
      </c>
      <c r="H17">
        <f>IF('Vehicle Information'!$B$4&lt;2000,27,IF('Vehicle Information'!$B$4&gt;3000,51,37))</f>
        <v>51</v>
      </c>
      <c r="I17">
        <f>IF('Vehicle Information'!$B$4&lt;2000,27,IF('Vehicle Information'!$B$4&gt;3000,51,37))</f>
        <v>51</v>
      </c>
      <c r="J17">
        <f>IF('Vehicle Information'!$B$4&lt;2000,27,IF('Vehicle Information'!$B$4&gt;3000,51,37))</f>
        <v>51</v>
      </c>
      <c r="K17">
        <f>IF('Vehicle Information'!$B$4&lt;2000,27,IF('Vehicle Information'!$B$4&gt;3000,51,37))</f>
        <v>51</v>
      </c>
      <c r="L17">
        <f>IF('Vehicle Information'!$B$4&lt;2000,27,IF('Vehicle Information'!$B$4&gt;3000,51,37))</f>
        <v>51</v>
      </c>
      <c r="M17">
        <f>IF('Vehicle Information'!$B$4&lt;2000,27,IF('Vehicle Information'!$B$4&gt;3000,51,37))</f>
        <v>51</v>
      </c>
      <c r="N17">
        <f>IF('Vehicle Information'!$B$4&lt;2000,27,IF('Vehicle Information'!$B$4&gt;3000,51,37))</f>
        <v>51</v>
      </c>
      <c r="O17">
        <f>IF('Vehicle Information'!$B$4&lt;2000,27,IF('Vehicle Information'!$B$4&gt;3000,51,37))</f>
        <v>51</v>
      </c>
      <c r="P17">
        <f>IF('Vehicle Information'!$B$4&lt;2000,27,IF('Vehicle Information'!$B$4&gt;3000,51,37))</f>
        <v>51</v>
      </c>
      <c r="Q17">
        <f>IF('Vehicle Information'!$B$4&lt;2000,27,IF('Vehicle Information'!$B$4&gt;3000,51,37))</f>
        <v>51</v>
      </c>
      <c r="R17">
        <f>IF('Vehicle Information'!$B$4&lt;2000,27,IF('Vehicle Information'!$B$4&gt;3000,51,37))</f>
        <v>51</v>
      </c>
      <c r="S17">
        <f>IF('Vehicle Information'!$B$4&lt;2000,27,IF('Vehicle Information'!$B$4&gt;3000,51,37))</f>
        <v>51</v>
      </c>
      <c r="T17">
        <f>IF('Vehicle Information'!$B$4&lt;2000,27,IF('Vehicle Information'!$B$4&gt;3000,51,37))</f>
        <v>51</v>
      </c>
      <c r="U17">
        <f>IF('Vehicle Information'!$B$4&lt;2000,27,IF('Vehicle Information'!$B$4&gt;3000,51,37))</f>
        <v>51</v>
      </c>
      <c r="V17">
        <f>SUMIF(B$9:U$9,"&lt;="&amp;'Vehicle Information'!$F$2,B17:U17)</f>
        <v>667</v>
      </c>
      <c r="Y17">
        <v>17000</v>
      </c>
      <c r="Z17">
        <v>83</v>
      </c>
      <c r="AB17">
        <v>4000</v>
      </c>
      <c r="AC17">
        <v>40</v>
      </c>
    </row>
    <row r="18" spans="1:29" x14ac:dyDescent="0.25">
      <c r="A18" t="s">
        <v>30</v>
      </c>
      <c r="B18">
        <f>IF('Vehicle Information'!$B$4&lt;3500,59,84)</f>
        <v>59</v>
      </c>
      <c r="C18">
        <f>IF('Vehicle Information'!$B$4&lt;3500,59,84)</f>
        <v>59</v>
      </c>
      <c r="D18">
        <f>IF('Vehicle Information'!$B$4&lt;3500,46.5,71.5)</f>
        <v>46.5</v>
      </c>
      <c r="E18">
        <f>IF('Vehicle Information'!$B$4&lt;3500,46.5,71.5)</f>
        <v>46.5</v>
      </c>
      <c r="F18">
        <f>IF('Vehicle Information'!$B$4&lt;3500,46.5,71.5)</f>
        <v>46.5</v>
      </c>
      <c r="G18">
        <f>IF('Vehicle Information'!$B$4&lt;3500,46.5,71.5)</f>
        <v>46.5</v>
      </c>
      <c r="H18">
        <f>IF('Vehicle Information'!$B$4&lt;3500,46.5,71.5)</f>
        <v>46.5</v>
      </c>
      <c r="I18">
        <f>IF('Vehicle Information'!$B$4&lt;3500,46.5,71.5)</f>
        <v>46.5</v>
      </c>
      <c r="J18">
        <f>IF('Vehicle Information'!$B$4&lt;3500,46.5,71.5)</f>
        <v>46.5</v>
      </c>
      <c r="K18">
        <f>IF('Vehicle Information'!$B$4&lt;3500,46.5,71.5)</f>
        <v>46.5</v>
      </c>
      <c r="L18">
        <f>IF('Vehicle Information'!$B$4&lt;3500,46.5,71.5)</f>
        <v>46.5</v>
      </c>
      <c r="M18">
        <f>IF('Vehicle Information'!$B$4&lt;3500,46.5,71.5)</f>
        <v>46.5</v>
      </c>
      <c r="N18">
        <f>IF('Vehicle Information'!$B$4&lt;3500,46.5,71.5)</f>
        <v>46.5</v>
      </c>
      <c r="O18">
        <f>IF('Vehicle Information'!$B$4&lt;3500,46.5,71.5)</f>
        <v>46.5</v>
      </c>
      <c r="P18">
        <f>IF('Vehicle Information'!$B$4&lt;3500,46.5,71.5)</f>
        <v>46.5</v>
      </c>
      <c r="Q18">
        <f>IF('Vehicle Information'!$B$4&lt;3500,46.5,71.5)</f>
        <v>46.5</v>
      </c>
      <c r="R18">
        <f>IF('Vehicle Information'!$B$4&lt;3500,46.5,71.5)</f>
        <v>46.5</v>
      </c>
      <c r="S18">
        <f>IF('Vehicle Information'!$B$4&lt;3500,46.5,71.5)</f>
        <v>46.5</v>
      </c>
      <c r="T18">
        <f>IF('Vehicle Information'!$B$4&lt;3500,46.5,71.5)</f>
        <v>46.5</v>
      </c>
      <c r="U18">
        <f>IF('Vehicle Information'!$B$4&lt;3500,46.5,71.5)</f>
        <v>46.5</v>
      </c>
      <c r="V18">
        <f>SUMIF(B$9:U$9,"&lt;="&amp;'Vehicle Information'!$F$2,B18:U18)</f>
        <v>583</v>
      </c>
      <c r="Y18">
        <v>18000</v>
      </c>
      <c r="Z18">
        <v>88</v>
      </c>
      <c r="AB18">
        <v>5000</v>
      </c>
      <c r="AC18">
        <v>48</v>
      </c>
    </row>
    <row r="19" spans="1:29" x14ac:dyDescent="0.25">
      <c r="A19" t="s">
        <v>34</v>
      </c>
      <c r="B19">
        <f>VLOOKUP('Vehicle Information'!$B$4,'Calculation Sheet'!$AI$6:$AM$13,2,TRUE)</f>
        <v>73</v>
      </c>
      <c r="C19">
        <f>VLOOKUP('Vehicle Information'!$B$4,'Calculation Sheet'!$AI$6:$AM$13,2,TRUE)</f>
        <v>73</v>
      </c>
      <c r="D19">
        <f>VLOOKUP('Vehicle Information'!$B$4,'Calculation Sheet'!$AI$6:$AM$13,2,TRUE)</f>
        <v>73</v>
      </c>
      <c r="E19">
        <f>VLOOKUP('Vehicle Information'!$B$4,'Calculation Sheet'!$AI$6:$AM$13,2,TRUE)</f>
        <v>73</v>
      </c>
      <c r="F19">
        <f>VLOOKUP('Vehicle Information'!$B$4,'Calculation Sheet'!$AI$6:$AM$13,2,TRUE)</f>
        <v>73</v>
      </c>
      <c r="G19">
        <f>VLOOKUP('Vehicle Information'!$B$4,'Calculation Sheet'!$AI$6:$AM$13,2,TRUE)</f>
        <v>73</v>
      </c>
      <c r="H19">
        <f>VLOOKUP('Vehicle Information'!$B$4,'Calculation Sheet'!$AI$6:$AM$13,3,TRUE)</f>
        <v>65</v>
      </c>
      <c r="I19">
        <f>VLOOKUP('Vehicle Information'!$B$4,'Calculation Sheet'!$AI$6:$AM$13,3,TRUE)</f>
        <v>65</v>
      </c>
      <c r="J19">
        <f>VLOOKUP('Vehicle Information'!$B$4,'Calculation Sheet'!$AI$6:$AM$13,3,TRUE)</f>
        <v>65</v>
      </c>
      <c r="K19">
        <f>VLOOKUP('Vehicle Information'!$B$4,'Calculation Sheet'!$AI$6:$AM$13,4,TRUE)</f>
        <v>57</v>
      </c>
      <c r="L19">
        <f>VLOOKUP('Vehicle Information'!$B$4,'Calculation Sheet'!$AI$6:$AM$13,4,TRUE)</f>
        <v>57</v>
      </c>
      <c r="M19">
        <f>VLOOKUP('Vehicle Information'!$B$4,'Calculation Sheet'!$AI$6:$AM$13,4,TRUE)</f>
        <v>57</v>
      </c>
      <c r="N19">
        <f>VLOOKUP('Vehicle Information'!$B$4,'Calculation Sheet'!$AI$6:$AM$13,5,TRUE)</f>
        <v>49</v>
      </c>
      <c r="O19">
        <f>VLOOKUP('Vehicle Information'!$B$4,'Calculation Sheet'!$AI$6:$AM$13,5,TRUE)</f>
        <v>49</v>
      </c>
      <c r="P19">
        <f>VLOOKUP('Vehicle Information'!$B$4,'Calculation Sheet'!$AI$6:$AM$13,5,TRUE)</f>
        <v>49</v>
      </c>
      <c r="Q19">
        <f>VLOOKUP('Vehicle Information'!$B$4,'Calculation Sheet'!$AI$6:$AM$13,5,TRUE)</f>
        <v>49</v>
      </c>
      <c r="R19">
        <f>VLOOKUP('Vehicle Information'!$B$4,'Calculation Sheet'!$AI$6:$AM$13,5,TRUE)</f>
        <v>49</v>
      </c>
      <c r="S19">
        <f>VLOOKUP('Vehicle Information'!$B$4,'Calculation Sheet'!$AI$6:$AM$13,5,TRUE)</f>
        <v>49</v>
      </c>
      <c r="T19">
        <f>VLOOKUP('Vehicle Information'!$B$4,'Calculation Sheet'!$AI$6:$AM$13,5,TRUE)</f>
        <v>49</v>
      </c>
      <c r="U19">
        <f>VLOOKUP('Vehicle Information'!$B$4,'Calculation Sheet'!$AI$6:$AM$13,5,TRUE)</f>
        <v>49</v>
      </c>
      <c r="V19">
        <f>SUMIF(B$9:U$9,"&lt;="&amp;'Vehicle Information'!$F$2,B19:U19)</f>
        <v>804</v>
      </c>
      <c r="Y19">
        <v>19000</v>
      </c>
      <c r="Z19">
        <v>93</v>
      </c>
      <c r="AB19">
        <v>6000</v>
      </c>
      <c r="AC19">
        <v>56</v>
      </c>
    </row>
    <row r="20" spans="1:29" x14ac:dyDescent="0.25">
      <c r="A20" t="s">
        <v>36</v>
      </c>
      <c r="B20">
        <v>91</v>
      </c>
      <c r="C20">
        <v>91</v>
      </c>
      <c r="D20">
        <v>91</v>
      </c>
      <c r="E20">
        <v>91</v>
      </c>
      <c r="F20">
        <v>81</v>
      </c>
      <c r="G20">
        <v>81</v>
      </c>
      <c r="H20">
        <v>81</v>
      </c>
      <c r="I20">
        <v>81</v>
      </c>
      <c r="J20">
        <v>61</v>
      </c>
      <c r="K20">
        <v>61</v>
      </c>
      <c r="L20">
        <v>61</v>
      </c>
      <c r="M20">
        <v>61</v>
      </c>
      <c r="N20">
        <v>41</v>
      </c>
      <c r="O20">
        <v>41</v>
      </c>
      <c r="P20">
        <v>41</v>
      </c>
      <c r="Q20">
        <v>41</v>
      </c>
      <c r="R20">
        <v>21</v>
      </c>
      <c r="S20">
        <v>21</v>
      </c>
      <c r="T20">
        <v>21</v>
      </c>
      <c r="U20">
        <v>21</v>
      </c>
      <c r="V20">
        <f>SUMIF(B$9:U$9,"&lt;="&amp;'Vehicle Information'!$F$2,B20:U20)</f>
        <v>932</v>
      </c>
      <c r="Y20">
        <v>20000</v>
      </c>
      <c r="Z20">
        <v>98</v>
      </c>
      <c r="AB20">
        <v>7000</v>
      </c>
      <c r="AC20">
        <v>64</v>
      </c>
    </row>
    <row r="21" spans="1:29" x14ac:dyDescent="0.25">
      <c r="A21" t="s">
        <v>41</v>
      </c>
      <c r="B21">
        <f>VLOOKUP('Vehicle Information'!$B$4,'Calculation Sheet'!$AE$6:$AG$9,2,TRUE)</f>
        <v>51</v>
      </c>
      <c r="C21">
        <f>VLOOKUP('Vehicle Information'!$B$4,'Calculation Sheet'!$AE$6:$AG$9,2,TRUE)</f>
        <v>51</v>
      </c>
      <c r="D21">
        <f>VLOOKUP('Vehicle Information'!$B$4,'Calculation Sheet'!$AE$6:$AG$9,2,TRUE)</f>
        <v>51</v>
      </c>
      <c r="E21">
        <f>VLOOKUP('Vehicle Information'!$B$4,'Calculation Sheet'!$AE$6:$AG$9,2,TRUE)</f>
        <v>51</v>
      </c>
      <c r="F21">
        <f>VLOOKUP('Vehicle Information'!$B$4,'Calculation Sheet'!$AE$6:$AG$9,2,TRUE)</f>
        <v>51</v>
      </c>
      <c r="G21">
        <f>VLOOKUP('Vehicle Information'!$B$4,'Calculation Sheet'!$AE$6:$AG$9,2,TRUE)</f>
        <v>51</v>
      </c>
      <c r="H21">
        <f>VLOOKUP('Vehicle Information'!$B$4,'Calculation Sheet'!$AE$6:$AG$9,2,TRUE)</f>
        <v>51</v>
      </c>
      <c r="I21">
        <f>VLOOKUP('Vehicle Information'!$B$4,'Calculation Sheet'!$AE$6:$AG$9,2,TRUE)</f>
        <v>51</v>
      </c>
      <c r="J21">
        <f>VLOOKUP('Vehicle Information'!$B$4,'Calculation Sheet'!$AE$6:$AG$9,2,TRUE)</f>
        <v>51</v>
      </c>
      <c r="K21">
        <f>VLOOKUP('Vehicle Information'!$B$4,'Calculation Sheet'!$AE$6:$AG$9,3,TRUE)</f>
        <v>35.700000000000003</v>
      </c>
      <c r="L21">
        <f>VLOOKUP('Vehicle Information'!$B$4,'Calculation Sheet'!$AE$6:$AG$9,3,TRUE)</f>
        <v>35.700000000000003</v>
      </c>
      <c r="M21">
        <f>VLOOKUP('Vehicle Information'!$B$4,'Calculation Sheet'!$AE$6:$AG$9,3,TRUE)</f>
        <v>35.700000000000003</v>
      </c>
      <c r="N21">
        <f>VLOOKUP('Vehicle Information'!$B$4,'Calculation Sheet'!$AE$6:$AG$9,3,TRUE)</f>
        <v>35.700000000000003</v>
      </c>
      <c r="O21">
        <f>VLOOKUP('Vehicle Information'!$B$4,'Calculation Sheet'!$AE$6:$AG$9,3,TRUE)</f>
        <v>35.700000000000003</v>
      </c>
      <c r="P21">
        <f>VLOOKUP('Vehicle Information'!$B$4,'Calculation Sheet'!$AE$6:$AG$9,3,TRUE)</f>
        <v>35.700000000000003</v>
      </c>
      <c r="Q21">
        <f>VLOOKUP('Vehicle Information'!$B$4,'Calculation Sheet'!$AE$6:$AG$9,3,TRUE)</f>
        <v>35.700000000000003</v>
      </c>
      <c r="R21">
        <f>VLOOKUP('Vehicle Information'!$B$4,'Calculation Sheet'!$AE$6:$AG$9,3,TRUE)</f>
        <v>35.700000000000003</v>
      </c>
      <c r="S21">
        <f>VLOOKUP('Vehicle Information'!$B$4,'Calculation Sheet'!$AE$6:$AG$9,3,TRUE)</f>
        <v>35.700000000000003</v>
      </c>
      <c r="T21">
        <f>VLOOKUP('Vehicle Information'!$B$4,'Calculation Sheet'!$AE$6:$AG$9,3,TRUE)</f>
        <v>35.700000000000003</v>
      </c>
      <c r="U21">
        <f>VLOOKUP('Vehicle Information'!$B$4,'Calculation Sheet'!$AE$6:$AG$9,3,TRUE)</f>
        <v>35.700000000000003</v>
      </c>
      <c r="V21">
        <f>SUMIF(B$9:U$9,"&lt;="&amp;'Vehicle Information'!$F$2,B21:U21)</f>
        <v>566.1</v>
      </c>
      <c r="Y21">
        <v>21000</v>
      </c>
      <c r="Z21">
        <v>103</v>
      </c>
      <c r="AB21">
        <v>8000</v>
      </c>
      <c r="AC21">
        <v>70</v>
      </c>
    </row>
    <row r="22" spans="1:29" x14ac:dyDescent="0.25">
      <c r="A22" t="s">
        <v>50</v>
      </c>
      <c r="B22">
        <f>15+'Vehicle Information'!$B$3*0.03*0.6</f>
        <v>591</v>
      </c>
      <c r="C22">
        <f>15+'Vehicle Information'!$B$3*0.03*0.5</f>
        <v>495</v>
      </c>
      <c r="D22">
        <f>15+'Vehicle Information'!$B$3*0.03*0.4</f>
        <v>399</v>
      </c>
      <c r="E22">
        <f>15+'Vehicle Information'!$B$3*0.03*0.3</f>
        <v>303</v>
      </c>
      <c r="F22">
        <f>15+'Vehicle Information'!$B$3*0.03*0.2</f>
        <v>207</v>
      </c>
      <c r="G22">
        <f>15+'Vehicle Information'!$B$3*0.03*0.15</f>
        <v>159</v>
      </c>
      <c r="H22">
        <f>15+'Vehicle Information'!$B$3*0.03*0.15</f>
        <v>159</v>
      </c>
      <c r="I22">
        <f>15+'Vehicle Information'!$B$3*0.03*0.15</f>
        <v>159</v>
      </c>
      <c r="J22">
        <f>15+'Vehicle Information'!$B$3*0.03*0.15</f>
        <v>159</v>
      </c>
      <c r="K22">
        <f>15+'Vehicle Information'!$B$3*0.03*0.15</f>
        <v>159</v>
      </c>
      <c r="L22">
        <f>15+'Vehicle Information'!$B$3*0.03*0.15</f>
        <v>159</v>
      </c>
      <c r="M22">
        <f>15+'Vehicle Information'!$B$3*0.03*0.15</f>
        <v>159</v>
      </c>
      <c r="N22">
        <f>15+'Vehicle Information'!$B$3*0.03*0.15</f>
        <v>159</v>
      </c>
      <c r="O22">
        <f>15+'Vehicle Information'!$B$3*0.03*0.15</f>
        <v>159</v>
      </c>
      <c r="P22">
        <f>15+'Vehicle Information'!$B$3*0.03*0.15</f>
        <v>159</v>
      </c>
      <c r="Q22">
        <f>15+'Vehicle Information'!$B$3*0.03*0.15</f>
        <v>159</v>
      </c>
      <c r="R22">
        <f>15+'Vehicle Information'!$B$3*0.03*0.15</f>
        <v>159</v>
      </c>
      <c r="S22">
        <f>15+'Vehicle Information'!$B$3*0.03*0.15</f>
        <v>159</v>
      </c>
      <c r="T22">
        <f>15+'Vehicle Information'!$B$3*0.03*0.15</f>
        <v>159</v>
      </c>
      <c r="U22">
        <f>15+'Vehicle Information'!$B$3*0.03*0.15</f>
        <v>159</v>
      </c>
      <c r="V22">
        <f>SUMIF(B$9:U$9,"&lt;="&amp;'Vehicle Information'!$F$2,B22:U22)</f>
        <v>3108</v>
      </c>
      <c r="Y22">
        <v>22000</v>
      </c>
      <c r="Z22">
        <v>108</v>
      </c>
      <c r="AB22">
        <v>9000</v>
      </c>
      <c r="AC22">
        <v>78</v>
      </c>
    </row>
    <row r="23" spans="1:29" x14ac:dyDescent="0.25">
      <c r="Y23">
        <v>23000</v>
      </c>
      <c r="Z23">
        <v>113</v>
      </c>
      <c r="AB23">
        <v>10000</v>
      </c>
      <c r="AC23">
        <v>106</v>
      </c>
    </row>
    <row r="24" spans="1:29" x14ac:dyDescent="0.25">
      <c r="A24" t="s">
        <v>4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f>8.25+12</f>
        <v>20.25</v>
      </c>
      <c r="I24">
        <f t="shared" ref="I24:U24" si="4">8.25+12</f>
        <v>20.25</v>
      </c>
      <c r="J24">
        <f t="shared" si="4"/>
        <v>20.25</v>
      </c>
      <c r="K24">
        <f t="shared" si="4"/>
        <v>20.25</v>
      </c>
      <c r="L24">
        <f t="shared" si="4"/>
        <v>20.25</v>
      </c>
      <c r="M24">
        <f t="shared" si="4"/>
        <v>20.25</v>
      </c>
      <c r="N24">
        <f t="shared" si="4"/>
        <v>20.25</v>
      </c>
      <c r="O24">
        <f t="shared" si="4"/>
        <v>20.25</v>
      </c>
      <c r="P24">
        <f t="shared" si="4"/>
        <v>20.25</v>
      </c>
      <c r="Q24">
        <f t="shared" si="4"/>
        <v>20.25</v>
      </c>
      <c r="R24">
        <f t="shared" si="4"/>
        <v>20.25</v>
      </c>
      <c r="S24">
        <f t="shared" si="4"/>
        <v>20.25</v>
      </c>
      <c r="T24">
        <f t="shared" si="4"/>
        <v>20.25</v>
      </c>
      <c r="U24">
        <f t="shared" si="4"/>
        <v>20.25</v>
      </c>
      <c r="V24">
        <f>SUMIF(B$9:U$9,"&lt;="&amp;'Vehicle Information'!$F$2,B24:U24)</f>
        <v>241.5</v>
      </c>
      <c r="Y24">
        <v>24000</v>
      </c>
      <c r="Z24">
        <v>118</v>
      </c>
    </row>
    <row r="25" spans="1:29" x14ac:dyDescent="0.25">
      <c r="A25" t="s">
        <v>8</v>
      </c>
      <c r="B25">
        <v>10</v>
      </c>
      <c r="C25">
        <v>10</v>
      </c>
      <c r="D25">
        <v>10</v>
      </c>
      <c r="E25">
        <v>10</v>
      </c>
      <c r="F25">
        <f>35/2</f>
        <v>17.5</v>
      </c>
      <c r="G25">
        <f t="shared" ref="G25:U25" si="5">35/2</f>
        <v>17.5</v>
      </c>
      <c r="H25">
        <f t="shared" si="5"/>
        <v>17.5</v>
      </c>
      <c r="I25">
        <f t="shared" si="5"/>
        <v>17.5</v>
      </c>
      <c r="J25">
        <f t="shared" si="5"/>
        <v>17.5</v>
      </c>
      <c r="K25">
        <f t="shared" si="5"/>
        <v>17.5</v>
      </c>
      <c r="L25">
        <f t="shared" si="5"/>
        <v>17.5</v>
      </c>
      <c r="M25">
        <f t="shared" si="5"/>
        <v>17.5</v>
      </c>
      <c r="N25">
        <f t="shared" si="5"/>
        <v>17.5</v>
      </c>
      <c r="O25">
        <f t="shared" si="5"/>
        <v>17.5</v>
      </c>
      <c r="P25">
        <f t="shared" si="5"/>
        <v>17.5</v>
      </c>
      <c r="Q25">
        <f t="shared" si="5"/>
        <v>17.5</v>
      </c>
      <c r="R25">
        <f t="shared" si="5"/>
        <v>17.5</v>
      </c>
      <c r="S25">
        <f t="shared" si="5"/>
        <v>17.5</v>
      </c>
      <c r="T25">
        <f t="shared" si="5"/>
        <v>17.5</v>
      </c>
      <c r="U25">
        <f t="shared" si="5"/>
        <v>17.5</v>
      </c>
      <c r="V25">
        <f>SUMIF(B$9:U$9,"&lt;="&amp;'Vehicle Information'!$F$2,B25:U25)</f>
        <v>180</v>
      </c>
      <c r="Y25">
        <v>25000</v>
      </c>
      <c r="Z25">
        <v>123</v>
      </c>
    </row>
    <row r="26" spans="1:29" x14ac:dyDescent="0.25">
      <c r="A26" t="s">
        <v>44</v>
      </c>
      <c r="B26">
        <v>0</v>
      </c>
      <c r="C26">
        <v>28</v>
      </c>
      <c r="D26">
        <v>0</v>
      </c>
      <c r="E26">
        <f>17+28</f>
        <v>45</v>
      </c>
      <c r="F26">
        <v>0</v>
      </c>
      <c r="G26">
        <f>28</f>
        <v>28</v>
      </c>
      <c r="H26">
        <f>28</f>
        <v>28</v>
      </c>
      <c r="I26">
        <f>17+28</f>
        <v>45</v>
      </c>
      <c r="J26">
        <f>28</f>
        <v>28</v>
      </c>
      <c r="K26">
        <f>17+28</f>
        <v>45</v>
      </c>
      <c r="L26">
        <f t="shared" ref="L26:U26" si="6">17+28</f>
        <v>45</v>
      </c>
      <c r="M26">
        <f t="shared" si="6"/>
        <v>45</v>
      </c>
      <c r="N26">
        <f t="shared" si="6"/>
        <v>45</v>
      </c>
      <c r="O26">
        <f t="shared" si="6"/>
        <v>45</v>
      </c>
      <c r="P26">
        <f t="shared" si="6"/>
        <v>45</v>
      </c>
      <c r="Q26">
        <f t="shared" si="6"/>
        <v>45</v>
      </c>
      <c r="R26">
        <f t="shared" si="6"/>
        <v>45</v>
      </c>
      <c r="S26">
        <f t="shared" si="6"/>
        <v>45</v>
      </c>
      <c r="T26">
        <f t="shared" si="6"/>
        <v>45</v>
      </c>
      <c r="U26">
        <f t="shared" si="6"/>
        <v>45</v>
      </c>
      <c r="V26">
        <f>SUMIF(B$9:U$9,"&lt;="&amp;'Vehicle Information'!$F$2,B26:U26)</f>
        <v>337</v>
      </c>
      <c r="Y26">
        <v>26000</v>
      </c>
      <c r="Z26">
        <v>128</v>
      </c>
    </row>
    <row r="27" spans="1:29" x14ac:dyDescent="0.25">
      <c r="Y27">
        <v>27000</v>
      </c>
      <c r="Z27">
        <v>133</v>
      </c>
    </row>
    <row r="28" spans="1:29" x14ac:dyDescent="0.25">
      <c r="Y28">
        <v>28000</v>
      </c>
      <c r="Z28">
        <v>138</v>
      </c>
    </row>
    <row r="29" spans="1:29" x14ac:dyDescent="0.25">
      <c r="Y29">
        <v>29000</v>
      </c>
      <c r="Z29">
        <v>143</v>
      </c>
    </row>
    <row r="30" spans="1:29" x14ac:dyDescent="0.25">
      <c r="Y30">
        <v>30000</v>
      </c>
      <c r="Z30">
        <v>148</v>
      </c>
    </row>
    <row r="32" spans="1:29" x14ac:dyDescent="0.25">
      <c r="Y32" t="s">
        <v>23</v>
      </c>
    </row>
    <row r="33" spans="25:37" x14ac:dyDescent="0.25">
      <c r="Y33" t="s">
        <v>108</v>
      </c>
      <c r="Z33">
        <v>1.2500000000000001E-2</v>
      </c>
      <c r="AA33">
        <v>1.2500000000000001E-2</v>
      </c>
      <c r="AB33">
        <v>1.1258741258741259E-2</v>
      </c>
      <c r="AC33">
        <v>0.01</v>
      </c>
      <c r="AD33">
        <v>8.7412587412587419E-3</v>
      </c>
      <c r="AE33">
        <v>7.4999999999999997E-3</v>
      </c>
      <c r="AF33">
        <v>6.2412587412587414E-3</v>
      </c>
      <c r="AG33">
        <v>5.0000000000000001E-3</v>
      </c>
      <c r="AH33">
        <v>3.6363636363636364E-3</v>
      </c>
      <c r="AI33">
        <v>2.2727272727272726E-3</v>
      </c>
      <c r="AJ33">
        <v>9.2657342657342663E-4</v>
      </c>
      <c r="AK33">
        <v>0</v>
      </c>
    </row>
    <row r="34" spans="25:37" x14ac:dyDescent="0.25">
      <c r="Y34" t="s">
        <v>109</v>
      </c>
      <c r="Z34">
        <v>11</v>
      </c>
      <c r="AA34">
        <v>11</v>
      </c>
      <c r="AB34">
        <v>10.958041958041917</v>
      </c>
      <c r="AC34">
        <v>11</v>
      </c>
      <c r="AD34">
        <v>11.041958041957969</v>
      </c>
      <c r="AE34">
        <v>11</v>
      </c>
      <c r="AF34">
        <v>11.041958041958026</v>
      </c>
      <c r="AG34">
        <v>11</v>
      </c>
      <c r="AH34">
        <v>17.545454545454533</v>
      </c>
      <c r="AI34">
        <v>24.090909090909093</v>
      </c>
      <c r="AJ34">
        <v>30.552447552447546</v>
      </c>
      <c r="AK34">
        <v>35</v>
      </c>
    </row>
    <row r="35" spans="25:37" x14ac:dyDescent="0.25">
      <c r="Y35" t="s">
        <v>32</v>
      </c>
    </row>
    <row r="36" spans="25:37" x14ac:dyDescent="0.25">
      <c r="Y36" t="s">
        <v>108</v>
      </c>
      <c r="Z36">
        <v>2.1770833333333333E-2</v>
      </c>
    </row>
    <row r="37" spans="25:37" x14ac:dyDescent="0.25">
      <c r="Y37" t="s">
        <v>109</v>
      </c>
      <c r="Z37">
        <v>-12.682291666666671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H2" sqref="H2:H52"/>
    </sheetView>
  </sheetViews>
  <sheetFormatPr defaultRowHeight="15" x14ac:dyDescent="0.25"/>
  <cols>
    <col min="1" max="1" width="18.7109375" bestFit="1" customWidth="1"/>
    <col min="3" max="3" width="15.5703125" bestFit="1" customWidth="1"/>
    <col min="4" max="4" width="13.42578125" bestFit="1" customWidth="1"/>
    <col min="5" max="5" width="16.42578125" bestFit="1" customWidth="1"/>
    <col min="6" max="6" width="9.5703125" bestFit="1" customWidth="1"/>
    <col min="7" max="7" width="15" bestFit="1" customWidth="1"/>
  </cols>
  <sheetData>
    <row r="1" spans="1:11" x14ac:dyDescent="0.25">
      <c r="A1" t="s">
        <v>51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s="2" t="s">
        <v>58</v>
      </c>
    </row>
    <row r="2" spans="1:11" x14ac:dyDescent="0.25">
      <c r="A2" s="8" t="s">
        <v>0</v>
      </c>
      <c r="B2" s="6">
        <f>'State Sales Tax'!G2</f>
        <v>2560</v>
      </c>
      <c r="C2" s="6">
        <f>'Federal Fuel Tax'!B$6</f>
        <v>377.30304000000001</v>
      </c>
      <c r="D2" s="6">
        <f>'State Fuel Tax'!C2</f>
        <v>428.56703999999996</v>
      </c>
      <c r="E2" s="6">
        <f>'Title, Registration Fees'!B2</f>
        <v>276</v>
      </c>
      <c r="F2" s="6">
        <f>'Title, Registration Fees'!D2</f>
        <v>15</v>
      </c>
      <c r="G2" s="6">
        <f>'Inspection Fees'!B2</f>
        <v>0</v>
      </c>
      <c r="H2" s="6">
        <f>SUM(C2:G2)</f>
        <v>1096.8700799999999</v>
      </c>
      <c r="J2">
        <v>500</v>
      </c>
      <c r="K2" s="9">
        <f>COUNTIF(H2:H52,"&lt;"&amp;J2)</f>
        <v>0</v>
      </c>
    </row>
    <row r="3" spans="1:11" x14ac:dyDescent="0.25">
      <c r="A3" s="8" t="s">
        <v>1</v>
      </c>
      <c r="B3" s="6">
        <f>'State Sales Tax'!G3</f>
        <v>1200</v>
      </c>
      <c r="C3" s="6">
        <f>'Federal Fuel Tax'!B$6</f>
        <v>377.30304000000001</v>
      </c>
      <c r="D3" s="6">
        <f>'State Fuel Tax'!C3</f>
        <v>164.04480000000001</v>
      </c>
      <c r="E3" s="6">
        <f>'Title, Registration Fees'!B3</f>
        <v>600</v>
      </c>
      <c r="F3" s="6">
        <f>'Title, Registration Fees'!D3</f>
        <v>15</v>
      </c>
      <c r="G3" s="6">
        <f>'Inspection Fees'!B3</f>
        <v>0</v>
      </c>
      <c r="H3" s="6">
        <f t="shared" ref="H3:H52" si="0">SUM(C3:G3)</f>
        <v>1156.3478399999999</v>
      </c>
      <c r="J3">
        <v>1000</v>
      </c>
      <c r="K3" s="9">
        <f>COUNTIF($H$2:$H$52,"&lt;"&amp;J3)-SUM(K$2:K2)</f>
        <v>1</v>
      </c>
    </row>
    <row r="4" spans="1:11" x14ac:dyDescent="0.25">
      <c r="A4" s="8" t="s">
        <v>2</v>
      </c>
      <c r="B4" s="6">
        <f>'State Sales Tax'!G4</f>
        <v>3248</v>
      </c>
      <c r="C4" s="6">
        <f>'Federal Fuel Tax'!B$6</f>
        <v>377.30304000000001</v>
      </c>
      <c r="D4" s="6">
        <f>'State Fuel Tax'!C4</f>
        <v>389.60640000000001</v>
      </c>
      <c r="E4" s="6">
        <f>'Title, Registration Fees'!B4</f>
        <v>1390.8</v>
      </c>
      <c r="F4" s="6">
        <f>'Title, Registration Fees'!D4</f>
        <v>4</v>
      </c>
      <c r="G4" s="6">
        <f>'Inspection Fees'!B4</f>
        <v>120</v>
      </c>
      <c r="H4" s="6">
        <f t="shared" si="0"/>
        <v>2281.7094400000001</v>
      </c>
      <c r="J4">
        <v>1500</v>
      </c>
      <c r="K4" s="9">
        <f>COUNTIF($H$2:$H$52,"&lt;"&amp;J4)-SUM(K$2:K3)</f>
        <v>19</v>
      </c>
    </row>
    <row r="5" spans="1:11" x14ac:dyDescent="0.25">
      <c r="A5" s="8" t="s">
        <v>3</v>
      </c>
      <c r="B5" s="6">
        <f>'State Sales Tax'!G5</f>
        <v>2800</v>
      </c>
      <c r="C5" s="6">
        <f>'Federal Fuel Tax'!B$6</f>
        <v>377.30304000000001</v>
      </c>
      <c r="D5" s="6">
        <f>'State Fuel Tax'!C5</f>
        <v>447.02207999999996</v>
      </c>
      <c r="E5" s="6">
        <f>'Title, Registration Fees'!B5</f>
        <v>330</v>
      </c>
      <c r="F5" s="6">
        <f>'Title, Registration Fees'!D5</f>
        <v>5</v>
      </c>
      <c r="G5" s="6">
        <f>'Inspection Fees'!B5</f>
        <v>0</v>
      </c>
      <c r="H5" s="6">
        <f t="shared" si="0"/>
        <v>1159.32512</v>
      </c>
      <c r="J5">
        <v>2000</v>
      </c>
      <c r="K5" s="9">
        <f>COUNTIF($H$2:$H$52,"&lt;"&amp;J5)-SUM(K$2:K4)</f>
        <v>17</v>
      </c>
    </row>
    <row r="6" spans="1:11" x14ac:dyDescent="0.25">
      <c r="A6" s="8" t="s">
        <v>4</v>
      </c>
      <c r="B6" s="6">
        <f>'State Sales Tax'!G6</f>
        <v>2720</v>
      </c>
      <c r="C6" s="6">
        <f>'Federal Fuel Tax'!B$6</f>
        <v>377.30304000000001</v>
      </c>
      <c r="D6" s="6">
        <f>'State Fuel Tax'!C6</f>
        <v>1035.5328</v>
      </c>
      <c r="E6" s="6">
        <f>'Title, Registration Fees'!B6</f>
        <v>552</v>
      </c>
      <c r="F6" s="6">
        <f>'Title, Registration Fees'!D6</f>
        <v>18</v>
      </c>
      <c r="G6" s="6">
        <f>'Inspection Fees'!B6</f>
        <v>0</v>
      </c>
      <c r="H6" s="6">
        <f t="shared" si="0"/>
        <v>1982.83584</v>
      </c>
      <c r="J6">
        <v>2500</v>
      </c>
      <c r="K6" s="9">
        <f>COUNTIF($H$2:$H$52,"&lt;"&amp;J6)-SUM(K$2:K5)</f>
        <v>6</v>
      </c>
    </row>
    <row r="7" spans="1:11" x14ac:dyDescent="0.25">
      <c r="A7" s="8" t="s">
        <v>5</v>
      </c>
      <c r="B7" s="6">
        <f>'State Sales Tax'!G7</f>
        <v>2048</v>
      </c>
      <c r="C7" s="6">
        <f>'Federal Fuel Tax'!B$6</f>
        <v>377.30304000000001</v>
      </c>
      <c r="D7" s="6">
        <f>'State Fuel Tax'!C7</f>
        <v>451.1232</v>
      </c>
      <c r="E7" s="6">
        <f>'Title, Registration Fees'!B7</f>
        <v>3011.4000000000005</v>
      </c>
      <c r="F7" s="6">
        <f>'Title, Registration Fees'!D7</f>
        <v>9.0500000000000007</v>
      </c>
      <c r="G7" s="6">
        <f>'Inspection Fees'!B7</f>
        <v>310</v>
      </c>
      <c r="H7" s="6">
        <f t="shared" si="0"/>
        <v>4158.8762400000005</v>
      </c>
      <c r="J7">
        <v>3000</v>
      </c>
      <c r="K7" s="9">
        <f>COUNTIF($H$2:$H$52,"&lt;"&amp;J7)-SUM(K$2:K6)</f>
        <v>4</v>
      </c>
    </row>
    <row r="8" spans="1:11" x14ac:dyDescent="0.25">
      <c r="A8" s="8" t="s">
        <v>6</v>
      </c>
      <c r="B8" s="6">
        <f>'State Sales Tax'!G8</f>
        <v>2032</v>
      </c>
      <c r="C8" s="6">
        <f>'Federal Fuel Tax'!B$6</f>
        <v>377.30304000000001</v>
      </c>
      <c r="D8" s="6">
        <f>'State Fuel Tax'!C8</f>
        <v>922.75199999999995</v>
      </c>
      <c r="E8" s="6">
        <f>'Title, Registration Fees'!B8</f>
        <v>480</v>
      </c>
      <c r="F8" s="6">
        <f>'Title, Registration Fees'!D8</f>
        <v>25</v>
      </c>
      <c r="G8" s="6">
        <f>'Inspection Fees'!B8</f>
        <v>130</v>
      </c>
      <c r="H8" s="6">
        <f t="shared" si="0"/>
        <v>1935.05504</v>
      </c>
      <c r="J8">
        <v>3500</v>
      </c>
      <c r="K8" s="9">
        <f>COUNTIF($H$2:$H$52,"&lt;"&amp;J8)-SUM(K$2:K7)</f>
        <v>0</v>
      </c>
    </row>
    <row r="9" spans="1:11" x14ac:dyDescent="0.25">
      <c r="A9" s="8" t="s">
        <v>7</v>
      </c>
      <c r="B9" s="6">
        <f>'State Sales Tax'!G9</f>
        <v>0</v>
      </c>
      <c r="C9" s="6">
        <f>'Federal Fuel Tax'!B$6</f>
        <v>377.30304000000001</v>
      </c>
      <c r="D9" s="6">
        <f>'State Fuel Tax'!C9</f>
        <v>471.62880000000001</v>
      </c>
      <c r="E9" s="6">
        <f>'Title, Registration Fees'!B9</f>
        <v>480</v>
      </c>
      <c r="F9" s="6">
        <f>'Title, Registration Fees'!D9</f>
        <v>35</v>
      </c>
      <c r="G9" s="6">
        <f>'Inspection Fees'!B9</f>
        <v>0</v>
      </c>
      <c r="H9" s="6">
        <f t="shared" si="0"/>
        <v>1363.93184</v>
      </c>
      <c r="J9">
        <v>4000</v>
      </c>
      <c r="K9" s="9">
        <f>COUNTIF($H$2:$H$52,"&lt;"&amp;J9)-SUM(K$2:K8)</f>
        <v>2</v>
      </c>
    </row>
    <row r="10" spans="1:11" x14ac:dyDescent="0.25">
      <c r="A10" s="8" t="s">
        <v>8</v>
      </c>
      <c r="B10" s="6">
        <f>'State Sales Tax'!G10</f>
        <v>1920</v>
      </c>
      <c r="C10" s="6">
        <f>'Federal Fuel Tax'!B$6</f>
        <v>377.30304000000001</v>
      </c>
      <c r="D10" s="6">
        <f>'State Fuel Tax'!C10</f>
        <v>481.88159999999993</v>
      </c>
      <c r="E10" s="6">
        <f>'Title, Registration Fees'!B10</f>
        <v>432</v>
      </c>
      <c r="F10" s="6">
        <f>'Title, Registration Fees'!D10</f>
        <v>26</v>
      </c>
      <c r="G10" s="6">
        <f>'Inspection Fees'!B10</f>
        <v>180</v>
      </c>
      <c r="H10" s="6">
        <f t="shared" si="0"/>
        <v>1497.1846399999999</v>
      </c>
      <c r="J10">
        <v>4500</v>
      </c>
      <c r="K10" s="9">
        <f>COUNTIF($H$2:$H$52,"&lt;"&amp;J10)-SUM(K$2:K9)</f>
        <v>2</v>
      </c>
    </row>
    <row r="11" spans="1:11" x14ac:dyDescent="0.25">
      <c r="A11" s="8" t="s">
        <v>9</v>
      </c>
      <c r="B11" s="6">
        <f>'State Sales Tax'!G11</f>
        <v>2160</v>
      </c>
      <c r="C11" s="6">
        <f>'Federal Fuel Tax'!B$6</f>
        <v>377.30304000000001</v>
      </c>
      <c r="D11" s="6">
        <f>'State Fuel Tax'!C11</f>
        <v>717.69599999999991</v>
      </c>
      <c r="E11" s="6">
        <f>'Title, Registration Fees'!B11</f>
        <v>591</v>
      </c>
      <c r="F11" s="6">
        <f>'Title, Registration Fees'!D11</f>
        <v>77.25</v>
      </c>
      <c r="G11" s="6">
        <f>'Inspection Fees'!B11</f>
        <v>0</v>
      </c>
      <c r="H11" s="6">
        <f t="shared" si="0"/>
        <v>1763.2490399999999</v>
      </c>
      <c r="J11">
        <v>5000</v>
      </c>
      <c r="K11" s="9">
        <f>COUNTIF($H$2:$H$52,"&lt;"&amp;J11)-SUM(K$2:K10)</f>
        <v>0</v>
      </c>
    </row>
    <row r="12" spans="1:11" x14ac:dyDescent="0.25">
      <c r="A12" s="8" t="s">
        <v>10</v>
      </c>
      <c r="B12" s="6">
        <f>'State Sales Tax'!G12</f>
        <v>2080</v>
      </c>
      <c r="C12" s="6">
        <f>'Federal Fuel Tax'!B$6</f>
        <v>377.30304000000001</v>
      </c>
      <c r="D12" s="6">
        <f>'State Fuel Tax'!C12</f>
        <v>586.46016000000009</v>
      </c>
      <c r="E12" s="6">
        <f>'Title, Registration Fees'!B12</f>
        <v>240</v>
      </c>
      <c r="F12" s="6">
        <f>'Title, Registration Fees'!D12</f>
        <v>18</v>
      </c>
      <c r="G12" s="6">
        <f>'Inspection Fees'!B12</f>
        <v>100</v>
      </c>
      <c r="H12" s="6">
        <f t="shared" si="0"/>
        <v>1321.7632000000001</v>
      </c>
      <c r="J12">
        <v>5500</v>
      </c>
      <c r="K12" s="9">
        <f>COUNTIF($H$2:$H$52,"&lt;"&amp;J12)-SUM(K$2:K11)</f>
        <v>0</v>
      </c>
    </row>
    <row r="13" spans="1:11" x14ac:dyDescent="0.25">
      <c r="A13" s="8" t="s">
        <v>11</v>
      </c>
      <c r="B13" s="6">
        <f>'State Sales Tax'!G13</f>
        <v>1360</v>
      </c>
      <c r="C13" s="6">
        <f>'Federal Fuel Tax'!B$6</f>
        <v>377.30304000000001</v>
      </c>
      <c r="D13" s="6">
        <f>'State Fuel Tax'!C13</f>
        <v>1000.67328</v>
      </c>
      <c r="E13" s="6">
        <f>'Title, Registration Fees'!B13</f>
        <v>824.84999999999991</v>
      </c>
      <c r="F13" s="6">
        <f>'Title, Registration Fees'!D13</f>
        <v>5</v>
      </c>
      <c r="G13" s="6">
        <f>'Inspection Fees'!B13</f>
        <v>150</v>
      </c>
      <c r="H13" s="6">
        <f t="shared" si="0"/>
        <v>2357.8263200000001</v>
      </c>
      <c r="J13">
        <v>6000</v>
      </c>
      <c r="K13" s="9">
        <f>COUNTIF($H$2:$H$52,"&lt;"&amp;J13)-SUM(K$2:K12)</f>
        <v>0</v>
      </c>
    </row>
    <row r="14" spans="1:11" x14ac:dyDescent="0.25">
      <c r="A14" s="8" t="s">
        <v>12</v>
      </c>
      <c r="B14" s="6">
        <f>'State Sales Tax'!G14</f>
        <v>2400</v>
      </c>
      <c r="C14" s="6">
        <f>'Federal Fuel Tax'!B$6</f>
        <v>377.30304000000001</v>
      </c>
      <c r="D14" s="6">
        <f>'State Fuel Tax'!C14</f>
        <v>512.64</v>
      </c>
      <c r="E14" s="6">
        <f>'Title, Registration Fees'!B14</f>
        <v>384</v>
      </c>
      <c r="F14" s="6">
        <f>'Title, Registration Fees'!D14</f>
        <v>14</v>
      </c>
      <c r="G14" s="6">
        <f>'Inspection Fees'!B14</f>
        <v>66</v>
      </c>
      <c r="H14" s="6">
        <f t="shared" si="0"/>
        <v>1353.9430400000001</v>
      </c>
      <c r="J14">
        <v>6500</v>
      </c>
      <c r="K14" s="9">
        <f>COUNTIF($H$2:$H$52,"&lt;"&amp;J14)-SUM(K$2:K13)</f>
        <v>0</v>
      </c>
    </row>
    <row r="15" spans="1:11" x14ac:dyDescent="0.25">
      <c r="A15" s="8" t="s">
        <v>13</v>
      </c>
      <c r="B15" s="6">
        <f>'State Sales Tax'!G15</f>
        <v>2680</v>
      </c>
      <c r="C15" s="6">
        <f>'Federal Fuel Tax'!B$6</f>
        <v>377.30304000000001</v>
      </c>
      <c r="D15" s="6">
        <f>'State Fuel Tax'!C15</f>
        <v>871.48799999999994</v>
      </c>
      <c r="E15" s="6">
        <f>'Title, Registration Fees'!B15</f>
        <v>1188</v>
      </c>
      <c r="F15" s="6">
        <f>'Title, Registration Fees'!D15</f>
        <v>95</v>
      </c>
      <c r="G15" s="6">
        <f>'Inspection Fees'!B15</f>
        <v>160</v>
      </c>
      <c r="H15" s="6">
        <f t="shared" si="0"/>
        <v>2691.7910400000001</v>
      </c>
      <c r="J15">
        <v>7000</v>
      </c>
      <c r="K15" s="9">
        <f>COUNTIF($H$2:$H$52,"&lt;"&amp;J15)-SUM(K$2:K14)</f>
        <v>0</v>
      </c>
    </row>
    <row r="16" spans="1:11" x14ac:dyDescent="0.25">
      <c r="A16" s="8" t="s">
        <v>14</v>
      </c>
      <c r="B16" s="6">
        <f>'State Sales Tax'!G16</f>
        <v>2240</v>
      </c>
      <c r="C16" s="6">
        <f>'Federal Fuel Tax'!B$6</f>
        <v>377.30304000000001</v>
      </c>
      <c r="D16" s="6">
        <f>'State Fuel Tax'!C16</f>
        <v>844.83072000000004</v>
      </c>
      <c r="E16" s="6">
        <f>'Title, Registration Fees'!B16</f>
        <v>252.60000000000002</v>
      </c>
      <c r="F16" s="6">
        <f>'Title, Registration Fees'!D16</f>
        <v>15</v>
      </c>
      <c r="G16" s="6">
        <f>'Inspection Fees'!B16</f>
        <v>0</v>
      </c>
      <c r="H16" s="6">
        <f t="shared" si="0"/>
        <v>1489.7337600000001</v>
      </c>
      <c r="K16" s="9">
        <f>SUM(K5:K12)</f>
        <v>31</v>
      </c>
    </row>
    <row r="17" spans="1:8" x14ac:dyDescent="0.25">
      <c r="A17" s="8" t="s">
        <v>15</v>
      </c>
      <c r="B17" s="6">
        <f>'State Sales Tax'!G17</f>
        <v>2240</v>
      </c>
      <c r="C17" s="6">
        <f>'Federal Fuel Tax'!B$6</f>
        <v>377.30304000000001</v>
      </c>
      <c r="D17" s="6">
        <f>'State Fuel Tax'!C17</f>
        <v>451.1232</v>
      </c>
      <c r="E17" s="6">
        <f>'Title, Registration Fees'!B17</f>
        <v>3229.2599999999998</v>
      </c>
      <c r="F17" s="6">
        <f>'Title, Registration Fees'!D17</f>
        <v>25</v>
      </c>
      <c r="G17" s="6">
        <f>'Inspection Fees'!B17</f>
        <v>0</v>
      </c>
      <c r="H17" s="6">
        <f t="shared" si="0"/>
        <v>4082.68624</v>
      </c>
    </row>
    <row r="18" spans="1:8" x14ac:dyDescent="0.25">
      <c r="A18" s="8" t="s">
        <v>16</v>
      </c>
      <c r="B18" s="6">
        <f>'State Sales Tax'!G18</f>
        <v>2816</v>
      </c>
      <c r="C18" s="6">
        <f>'Federal Fuel Tax'!B$6</f>
        <v>377.30304000000001</v>
      </c>
      <c r="D18" s="6">
        <f>'State Fuel Tax'!C18</f>
        <v>512.64</v>
      </c>
      <c r="E18" s="6">
        <f>'Title, Registration Fees'!B18</f>
        <v>420</v>
      </c>
      <c r="F18" s="6">
        <f>'Title, Registration Fees'!D18</f>
        <v>10</v>
      </c>
      <c r="G18" s="6">
        <f>'Inspection Fees'!B18</f>
        <v>20</v>
      </c>
      <c r="H18" s="6">
        <f t="shared" si="0"/>
        <v>1339.9430400000001</v>
      </c>
    </row>
    <row r="19" spans="1:8" x14ac:dyDescent="0.25">
      <c r="A19" s="8" t="s">
        <v>17</v>
      </c>
      <c r="B19" s="6">
        <f>'State Sales Tax'!G19</f>
        <v>1920</v>
      </c>
      <c r="C19" s="6">
        <f>'Federal Fuel Tax'!B$6</f>
        <v>377.30304000000001</v>
      </c>
      <c r="D19" s="6">
        <f>'State Fuel Tax'!C19</f>
        <v>613.11743999999999</v>
      </c>
      <c r="E19" s="6">
        <f>'Title, Registration Fees'!B19</f>
        <v>252</v>
      </c>
      <c r="F19" s="6">
        <f>'Title, Registration Fees'!D19</f>
        <v>10</v>
      </c>
      <c r="G19" s="6">
        <f>'Inspection Fees'!B19</f>
        <v>0</v>
      </c>
      <c r="H19" s="6">
        <f t="shared" si="0"/>
        <v>1252.42048</v>
      </c>
    </row>
    <row r="20" spans="1:8" x14ac:dyDescent="0.25">
      <c r="A20" s="8" t="s">
        <v>18</v>
      </c>
      <c r="B20" s="6">
        <f>'State Sales Tax'!G20</f>
        <v>2360</v>
      </c>
      <c r="C20" s="6">
        <f>'Federal Fuel Tax'!B$6</f>
        <v>377.30304000000001</v>
      </c>
      <c r="D20" s="6">
        <f>'State Fuel Tax'!C20</f>
        <v>410.11200000000002</v>
      </c>
      <c r="E20" s="6">
        <f>'Title, Registration Fees'!B20</f>
        <v>432</v>
      </c>
      <c r="F20" s="6">
        <f>'Title, Registration Fees'!D20</f>
        <v>18.5</v>
      </c>
      <c r="G20" s="6">
        <f>'Inspection Fees'!B20</f>
        <v>120</v>
      </c>
      <c r="H20" s="6">
        <f t="shared" si="0"/>
        <v>1357.9150400000001</v>
      </c>
    </row>
    <row r="21" spans="1:8" x14ac:dyDescent="0.25">
      <c r="A21" s="8" t="s">
        <v>19</v>
      </c>
      <c r="B21" s="6">
        <f>'State Sales Tax'!G21</f>
        <v>1600</v>
      </c>
      <c r="C21" s="6">
        <f>'Federal Fuel Tax'!B$6</f>
        <v>377.30304000000001</v>
      </c>
      <c r="D21" s="6">
        <f>'State Fuel Tax'!C21</f>
        <v>645.92639999999994</v>
      </c>
      <c r="E21" s="6">
        <f>'Title, Registration Fees'!B21</f>
        <v>420</v>
      </c>
      <c r="F21" s="6">
        <f>'Title, Registration Fees'!D21</f>
        <v>33</v>
      </c>
      <c r="G21" s="6">
        <f>'Inspection Fees'!B21</f>
        <v>222</v>
      </c>
      <c r="H21" s="6">
        <f t="shared" si="0"/>
        <v>1698.2294400000001</v>
      </c>
    </row>
    <row r="22" spans="1:8" x14ac:dyDescent="0.25">
      <c r="A22" s="8" t="s">
        <v>20</v>
      </c>
      <c r="B22" s="6">
        <f>'State Sales Tax'!G22</f>
        <v>1920</v>
      </c>
      <c r="C22" s="6">
        <f>'Federal Fuel Tax'!B$6</f>
        <v>377.30304000000001</v>
      </c>
      <c r="D22" s="6">
        <f>'State Fuel Tax'!C22</f>
        <v>481.88159999999993</v>
      </c>
      <c r="E22" s="6">
        <f>'Title, Registration Fees'!B22</f>
        <v>1536</v>
      </c>
      <c r="F22" s="6">
        <f>'Title, Registration Fees'!D22</f>
        <v>100</v>
      </c>
      <c r="G22" s="6">
        <f>'Inspection Fees'!B22</f>
        <v>140</v>
      </c>
      <c r="H22" s="6">
        <f t="shared" si="0"/>
        <v>2635.1846399999999</v>
      </c>
    </row>
    <row r="23" spans="1:8" x14ac:dyDescent="0.25">
      <c r="A23" s="8" t="s">
        <v>21</v>
      </c>
      <c r="B23" s="6">
        <f>'State Sales Tax'!G23</f>
        <v>2000</v>
      </c>
      <c r="C23" s="6">
        <f>'Federal Fuel Tax'!B$6</f>
        <v>377.30304000000001</v>
      </c>
      <c r="D23" s="6">
        <f>'State Fuel Tax'!C23</f>
        <v>481.88159999999993</v>
      </c>
      <c r="E23" s="6">
        <f>'Title, Registration Fees'!B23</f>
        <v>210</v>
      </c>
      <c r="F23" s="6">
        <f>'Title, Registration Fees'!D23</f>
        <v>75</v>
      </c>
      <c r="G23" s="6">
        <f>'Inspection Fees'!B23</f>
        <v>348</v>
      </c>
      <c r="H23" s="6">
        <f t="shared" si="0"/>
        <v>1492.1846399999999</v>
      </c>
    </row>
    <row r="24" spans="1:8" x14ac:dyDescent="0.25">
      <c r="A24" s="8" t="s">
        <v>22</v>
      </c>
      <c r="B24" s="6">
        <f>'State Sales Tax'!G24</f>
        <v>1920</v>
      </c>
      <c r="C24" s="6">
        <f>'Federal Fuel Tax'!B$6</f>
        <v>377.30304000000001</v>
      </c>
      <c r="D24" s="6">
        <f>'State Fuel Tax'!C24</f>
        <v>863.2857600000001</v>
      </c>
      <c r="E24" s="6">
        <f>'Title, Registration Fees'!B24</f>
        <v>1372.1080000000004</v>
      </c>
      <c r="F24" s="6">
        <f>'Title, Registration Fees'!D24</f>
        <v>15</v>
      </c>
      <c r="G24" s="6">
        <f>'Inspection Fees'!B24</f>
        <v>0</v>
      </c>
      <c r="H24" s="6">
        <f t="shared" si="0"/>
        <v>2627.6968000000006</v>
      </c>
    </row>
    <row r="25" spans="1:8" x14ac:dyDescent="0.25">
      <c r="A25" s="8" t="s">
        <v>23</v>
      </c>
      <c r="B25" s="6">
        <f>'State Sales Tax'!G25</f>
        <v>2360</v>
      </c>
      <c r="C25" s="6">
        <f>'Federal Fuel Tax'!B$6</f>
        <v>377.30304000000001</v>
      </c>
      <c r="D25" s="6">
        <f>'State Fuel Tax'!C25</f>
        <v>586.46016000000009</v>
      </c>
      <c r="E25" s="6">
        <f>'Title, Registration Fees'!B25</f>
        <v>2773.6923076923081</v>
      </c>
      <c r="F25" s="6">
        <f>'Title, Registration Fees'!D25</f>
        <v>13.75</v>
      </c>
      <c r="G25" s="6">
        <f>'Inspection Fees'!B25</f>
        <v>0</v>
      </c>
      <c r="H25" s="6">
        <f t="shared" si="0"/>
        <v>3751.2055076923079</v>
      </c>
    </row>
    <row r="26" spans="1:8" x14ac:dyDescent="0.25">
      <c r="A26" s="8" t="s">
        <v>24</v>
      </c>
      <c r="B26" s="6">
        <f>'State Sales Tax'!G26</f>
        <v>2280</v>
      </c>
      <c r="C26" s="6">
        <f>'Federal Fuel Tax'!B$6</f>
        <v>377.30304000000001</v>
      </c>
      <c r="D26" s="6">
        <f>'State Fuel Tax'!C26</f>
        <v>385.50527999999997</v>
      </c>
      <c r="E26" s="6">
        <f>'Title, Registration Fees'!B26</f>
        <v>168</v>
      </c>
      <c r="F26" s="6">
        <f>'Title, Registration Fees'!D26</f>
        <v>9</v>
      </c>
      <c r="G26" s="6">
        <f>'Inspection Fees'!B26</f>
        <v>60</v>
      </c>
      <c r="H26" s="6">
        <f t="shared" si="0"/>
        <v>999.80831999999998</v>
      </c>
    </row>
    <row r="27" spans="1:8" x14ac:dyDescent="0.25">
      <c r="A27" s="8" t="s">
        <v>25</v>
      </c>
      <c r="B27" s="6">
        <f>'State Sales Tax'!G27</f>
        <v>2493.6000000000004</v>
      </c>
      <c r="C27" s="6">
        <f>'Federal Fuel Tax'!B$6</f>
        <v>377.30304000000001</v>
      </c>
      <c r="D27" s="6">
        <f>'State Fuel Tax'!C27</f>
        <v>354.74688000000003</v>
      </c>
      <c r="E27" s="6">
        <f>'Title, Registration Fees'!B27</f>
        <v>657</v>
      </c>
      <c r="F27" s="6">
        <f>'Title, Registration Fees'!D27</f>
        <v>11</v>
      </c>
      <c r="G27" s="6">
        <f>'Inspection Fees'!B27</f>
        <v>432</v>
      </c>
      <c r="H27" s="6">
        <f t="shared" si="0"/>
        <v>1832.0499199999999</v>
      </c>
    </row>
    <row r="28" spans="1:8" x14ac:dyDescent="0.25">
      <c r="A28" s="8" t="s">
        <v>26</v>
      </c>
      <c r="B28" s="6">
        <f>'State Sales Tax'!G28</f>
        <v>0</v>
      </c>
      <c r="C28" s="6">
        <f>'Federal Fuel Tax'!B$6</f>
        <v>377.30304000000001</v>
      </c>
      <c r="D28" s="6">
        <f>'State Fuel Tax'!C28</f>
        <v>570.05568000000005</v>
      </c>
      <c r="E28" s="6">
        <f>'Title, Registration Fees'!B28</f>
        <v>1446</v>
      </c>
      <c r="F28" s="6">
        <f>'Title, Registration Fees'!D28</f>
        <v>12</v>
      </c>
      <c r="G28" s="6">
        <f>'Inspection Fees'!B28</f>
        <v>0</v>
      </c>
      <c r="H28" s="6">
        <f t="shared" si="0"/>
        <v>2405.3587200000002</v>
      </c>
    </row>
    <row r="29" spans="1:8" x14ac:dyDescent="0.25">
      <c r="A29" s="8" t="s">
        <v>27</v>
      </c>
      <c r="B29" s="6">
        <f>'State Sales Tax'!G29</f>
        <v>2080</v>
      </c>
      <c r="C29" s="6">
        <f>'Federal Fuel Tax'!B$6</f>
        <v>377.30304000000001</v>
      </c>
      <c r="D29" s="6">
        <f>'State Fuel Tax'!C29</f>
        <v>555.70176000000004</v>
      </c>
      <c r="E29" s="6">
        <f>'Title, Registration Fees'!B29</f>
        <v>180</v>
      </c>
      <c r="F29" s="6">
        <f>'Title, Registration Fees'!D29</f>
        <v>10</v>
      </c>
      <c r="G29" s="6">
        <f>'Inspection Fees'!B29</f>
        <v>10</v>
      </c>
      <c r="H29" s="6">
        <f t="shared" si="0"/>
        <v>1133.0048000000002</v>
      </c>
    </row>
    <row r="30" spans="1:8" x14ac:dyDescent="0.25">
      <c r="A30" s="8" t="s">
        <v>28</v>
      </c>
      <c r="B30" s="6">
        <f>'State Sales Tax'!G30</f>
        <v>2392</v>
      </c>
      <c r="C30" s="6">
        <f>'Federal Fuel Tax'!B$6</f>
        <v>377.30304000000001</v>
      </c>
      <c r="D30" s="6">
        <f>'State Fuel Tax'!C30</f>
        <v>678.73536000000001</v>
      </c>
      <c r="E30" s="6">
        <f>'Title, Registration Fees'!B30</f>
        <v>396</v>
      </c>
      <c r="F30" s="6">
        <f>'Title, Registration Fees'!D30</f>
        <v>28.25</v>
      </c>
      <c r="G30" s="6">
        <f>'Inspection Fees'!B30</f>
        <v>474</v>
      </c>
      <c r="H30" s="6">
        <f t="shared" si="0"/>
        <v>1954.2883999999999</v>
      </c>
    </row>
    <row r="31" spans="1:8" x14ac:dyDescent="0.25">
      <c r="A31" s="8" t="s">
        <v>29</v>
      </c>
      <c r="B31" s="6">
        <f>'State Sales Tax'!G31</f>
        <v>0</v>
      </c>
      <c r="C31" s="6">
        <f>'Federal Fuel Tax'!B$6</f>
        <v>377.30304000000001</v>
      </c>
      <c r="D31" s="6">
        <f>'State Fuel Tax'!C31</f>
        <v>401.90976000000001</v>
      </c>
      <c r="E31" s="6">
        <f>'Title, Registration Fees'!B31</f>
        <v>518.40000000000009</v>
      </c>
      <c r="F31" s="6">
        <f>'Title, Registration Fees'!D31</f>
        <v>25</v>
      </c>
      <c r="G31" s="6">
        <f>'Inspection Fees'!B31</f>
        <v>240</v>
      </c>
      <c r="H31" s="6">
        <f t="shared" si="0"/>
        <v>1562.6128000000001</v>
      </c>
    </row>
    <row r="32" spans="1:8" x14ac:dyDescent="0.25">
      <c r="A32" s="8" t="s">
        <v>30</v>
      </c>
      <c r="B32" s="6">
        <f>'State Sales Tax'!G32</f>
        <v>2240</v>
      </c>
      <c r="C32" s="6">
        <f>'Federal Fuel Tax'!B$6</f>
        <v>377.30304000000001</v>
      </c>
      <c r="D32" s="6">
        <f>'State Fuel Tax'!C32</f>
        <v>297.33119999999997</v>
      </c>
      <c r="E32" s="6">
        <f>'Title, Registration Fees'!B32</f>
        <v>583</v>
      </c>
      <c r="F32" s="6">
        <f>'Title, Registration Fees'!D32</f>
        <v>60</v>
      </c>
      <c r="G32" s="6">
        <f>'Inspection Fees'!B32</f>
        <v>0</v>
      </c>
      <c r="H32" s="6">
        <f t="shared" si="0"/>
        <v>1317.6342399999999</v>
      </c>
    </row>
    <row r="33" spans="1:8" x14ac:dyDescent="0.25">
      <c r="A33" s="8" t="s">
        <v>31</v>
      </c>
      <c r="B33" s="6">
        <f>'State Sales Tax'!G33</f>
        <v>2560</v>
      </c>
      <c r="C33" s="6">
        <f>'Federal Fuel Tax'!B$6</f>
        <v>377.30304000000001</v>
      </c>
      <c r="D33" s="6">
        <f>'State Fuel Tax'!C33</f>
        <v>387.55583999999993</v>
      </c>
      <c r="E33" s="6">
        <f>'Title, Registration Fees'!B33</f>
        <v>667</v>
      </c>
      <c r="F33" s="6">
        <f>'Title, Registration Fees'!D33</f>
        <v>3</v>
      </c>
      <c r="G33" s="6">
        <f>'Inspection Fees'!B33</f>
        <v>180</v>
      </c>
      <c r="H33" s="6">
        <f t="shared" si="0"/>
        <v>1614.85888</v>
      </c>
    </row>
    <row r="34" spans="1:8" x14ac:dyDescent="0.25">
      <c r="A34" s="8" t="s">
        <v>32</v>
      </c>
      <c r="B34" s="6">
        <f>'State Sales Tax'!G34</f>
        <v>2080</v>
      </c>
      <c r="C34" s="6">
        <f>'Federal Fuel Tax'!B$6</f>
        <v>377.30304000000001</v>
      </c>
      <c r="D34" s="6">
        <f>'State Fuel Tax'!C34</f>
        <v>1051.9372800000001</v>
      </c>
      <c r="E34" s="6">
        <f>'Title, Registration Fees'!B34</f>
        <v>674.66874999999982</v>
      </c>
      <c r="F34" s="6">
        <f>'Title, Registration Fees'!D34</f>
        <v>55</v>
      </c>
      <c r="G34" s="6">
        <f>'Inspection Fees'!B34</f>
        <v>444</v>
      </c>
      <c r="H34" s="6">
        <f t="shared" si="0"/>
        <v>2602.9090699999997</v>
      </c>
    </row>
    <row r="35" spans="1:8" x14ac:dyDescent="0.25">
      <c r="A35" s="8" t="s">
        <v>33</v>
      </c>
      <c r="B35" s="6">
        <f>'State Sales Tax'!G35</f>
        <v>2320</v>
      </c>
      <c r="C35" s="6">
        <f>'Federal Fuel Tax'!B$6</f>
        <v>377.30304000000001</v>
      </c>
      <c r="D35" s="6">
        <f>'State Fuel Tax'!C35</f>
        <v>775.11167999999986</v>
      </c>
      <c r="E35" s="6">
        <f>'Title, Registration Fees'!B35</f>
        <v>336</v>
      </c>
      <c r="F35" s="6">
        <f>'Title, Registration Fees'!D35</f>
        <v>40</v>
      </c>
      <c r="G35" s="6">
        <f>'Inspection Fees'!B35</f>
        <v>523.20000000000005</v>
      </c>
      <c r="H35" s="6">
        <f t="shared" si="0"/>
        <v>2051.6147199999996</v>
      </c>
    </row>
    <row r="36" spans="1:8" x14ac:dyDescent="0.25">
      <c r="A36" s="8" t="s">
        <v>34</v>
      </c>
      <c r="B36" s="6">
        <f>'State Sales Tax'!G36</f>
        <v>2080</v>
      </c>
      <c r="C36" s="6">
        <f>'Federal Fuel Tax'!B$6</f>
        <v>377.30304000000001</v>
      </c>
      <c r="D36" s="6">
        <f>'State Fuel Tax'!C36</f>
        <v>471.62880000000001</v>
      </c>
      <c r="E36" s="6">
        <f>'Title, Registration Fees'!B36</f>
        <v>804</v>
      </c>
      <c r="F36" s="6">
        <f>'Title, Registration Fees'!D36</f>
        <v>5</v>
      </c>
      <c r="G36" s="6">
        <f>'Inspection Fees'!B36</f>
        <v>0</v>
      </c>
      <c r="H36" s="6">
        <f t="shared" si="0"/>
        <v>1657.93184</v>
      </c>
    </row>
    <row r="37" spans="1:8" x14ac:dyDescent="0.25">
      <c r="A37" s="8" t="s">
        <v>35</v>
      </c>
      <c r="B37" s="6">
        <f>'State Sales Tax'!G37</f>
        <v>2120</v>
      </c>
      <c r="C37" s="6">
        <f>'Federal Fuel Tax'!B$6</f>
        <v>377.30304000000001</v>
      </c>
      <c r="D37" s="6">
        <f>'State Fuel Tax'!C37</f>
        <v>574.15680000000009</v>
      </c>
      <c r="E37" s="6">
        <f>'Title, Registration Fees'!B37</f>
        <v>408</v>
      </c>
      <c r="F37" s="6">
        <f>'Title, Registration Fees'!D37</f>
        <v>16</v>
      </c>
      <c r="G37" s="6">
        <f>'Inspection Fees'!B37</f>
        <v>0</v>
      </c>
      <c r="H37" s="6">
        <f t="shared" si="0"/>
        <v>1375.45984</v>
      </c>
    </row>
    <row r="38" spans="1:8" x14ac:dyDescent="0.25">
      <c r="A38" s="8" t="s">
        <v>36</v>
      </c>
      <c r="B38" s="6">
        <f>'State Sales Tax'!G38</f>
        <v>2456</v>
      </c>
      <c r="C38" s="6">
        <f>'Federal Fuel Tax'!B$6</f>
        <v>377.30304000000001</v>
      </c>
      <c r="D38" s="6">
        <f>'State Fuel Tax'!C38</f>
        <v>348.59520000000003</v>
      </c>
      <c r="E38" s="6">
        <f>'Title, Registration Fees'!B38</f>
        <v>992</v>
      </c>
      <c r="F38" s="6">
        <f>'Title, Registration Fees'!D38</f>
        <v>11</v>
      </c>
      <c r="G38" s="6">
        <f>'Inspection Fees'!B38</f>
        <v>0</v>
      </c>
      <c r="H38" s="6">
        <f t="shared" si="0"/>
        <v>1728.89824</v>
      </c>
    </row>
    <row r="39" spans="1:8" x14ac:dyDescent="0.25">
      <c r="A39" s="8" t="s">
        <v>37</v>
      </c>
      <c r="B39" s="6">
        <f>'State Sales Tax'!G39</f>
        <v>0</v>
      </c>
      <c r="C39" s="6">
        <f>'Federal Fuel Tax'!B$6</f>
        <v>377.30304000000001</v>
      </c>
      <c r="D39" s="6">
        <f>'State Fuel Tax'!C39</f>
        <v>635.67359999999996</v>
      </c>
      <c r="E39" s="6">
        <f>'Title, Registration Fees'!B39</f>
        <v>516</v>
      </c>
      <c r="F39" s="6">
        <f>'Title, Registration Fees'!D39</f>
        <v>77</v>
      </c>
      <c r="G39" s="6">
        <f>'Inspection Fees'!B39</f>
        <v>121</v>
      </c>
      <c r="H39" s="6">
        <f t="shared" si="0"/>
        <v>1726.9766399999999</v>
      </c>
    </row>
    <row r="40" spans="1:8" x14ac:dyDescent="0.25">
      <c r="A40" s="8" t="s">
        <v>38</v>
      </c>
      <c r="B40" s="6">
        <f>'State Sales Tax'!G40</f>
        <v>2240</v>
      </c>
      <c r="C40" s="6">
        <f>'Federal Fuel Tax'!B$6</f>
        <v>377.30304000000001</v>
      </c>
      <c r="D40" s="6">
        <f>'State Fuel Tax'!C40</f>
        <v>662.33087999999987</v>
      </c>
      <c r="E40" s="6">
        <f>'Title, Registration Fees'!B40</f>
        <v>432</v>
      </c>
      <c r="F40" s="6">
        <f>'Title, Registration Fees'!D40</f>
        <v>22.5</v>
      </c>
      <c r="G40" s="6">
        <f>'Inspection Fees'!B40</f>
        <v>612</v>
      </c>
      <c r="H40" s="6">
        <f t="shared" si="0"/>
        <v>2106.1339199999998</v>
      </c>
    </row>
    <row r="41" spans="1:8" x14ac:dyDescent="0.25">
      <c r="A41" s="8" t="s">
        <v>39</v>
      </c>
      <c r="B41" s="6">
        <f>'State Sales Tax'!G41</f>
        <v>2240</v>
      </c>
      <c r="C41" s="6">
        <f>'Federal Fuel Tax'!B$6</f>
        <v>377.30304000000001</v>
      </c>
      <c r="D41" s="6">
        <f>'State Fuel Tax'!C41</f>
        <v>676.6848</v>
      </c>
      <c r="E41" s="6">
        <f>'Title, Registration Fees'!B41</f>
        <v>360</v>
      </c>
      <c r="F41" s="6">
        <f>'Title, Registration Fees'!D41</f>
        <v>51.5</v>
      </c>
      <c r="G41" s="6">
        <f>'Inspection Fees'!B41</f>
        <v>19.5</v>
      </c>
      <c r="H41" s="6">
        <f t="shared" si="0"/>
        <v>1484.98784</v>
      </c>
    </row>
    <row r="42" spans="1:8" x14ac:dyDescent="0.25">
      <c r="A42" s="8" t="s">
        <v>40</v>
      </c>
      <c r="B42" s="6">
        <f>'State Sales Tax'!G42</f>
        <v>2400</v>
      </c>
      <c r="C42" s="6">
        <f>'Federal Fuel Tax'!B$6</f>
        <v>377.30304000000001</v>
      </c>
      <c r="D42" s="6">
        <f>'State Fuel Tax'!C42</f>
        <v>344.49408</v>
      </c>
      <c r="E42" s="6">
        <f>'Title, Registration Fees'!B42</f>
        <v>288</v>
      </c>
      <c r="F42" s="6">
        <f>'Title, Registration Fees'!D42</f>
        <v>15</v>
      </c>
      <c r="G42" s="6">
        <f>'Inspection Fees'!B42</f>
        <v>0</v>
      </c>
      <c r="H42" s="6">
        <f t="shared" si="0"/>
        <v>1024.7971199999999</v>
      </c>
    </row>
    <row r="43" spans="1:8" x14ac:dyDescent="0.25">
      <c r="A43" s="8" t="s">
        <v>41</v>
      </c>
      <c r="B43" s="6">
        <f>'State Sales Tax'!G43</f>
        <v>1600</v>
      </c>
      <c r="C43" s="6">
        <f>'Federal Fuel Tax'!B$6</f>
        <v>377.30304000000001</v>
      </c>
      <c r="D43" s="6">
        <f>'State Fuel Tax'!C43</f>
        <v>492.13439999999997</v>
      </c>
      <c r="E43" s="6">
        <f>'Title, Registration Fees'!B43</f>
        <v>566.1</v>
      </c>
      <c r="F43" s="6">
        <f>'Title, Registration Fees'!D43</f>
        <v>5</v>
      </c>
      <c r="G43" s="6">
        <f>'Inspection Fees'!B43</f>
        <v>0</v>
      </c>
      <c r="H43" s="6">
        <f t="shared" si="0"/>
        <v>1440.5374400000001</v>
      </c>
    </row>
    <row r="44" spans="1:8" x14ac:dyDescent="0.25">
      <c r="A44" s="8" t="s">
        <v>42</v>
      </c>
      <c r="B44" s="6">
        <f>'State Sales Tax'!G44</f>
        <v>2920</v>
      </c>
      <c r="C44" s="6">
        <f>'Federal Fuel Tax'!B$6</f>
        <v>377.30304000000001</v>
      </c>
      <c r="D44" s="6">
        <f>'State Fuel Tax'!C44</f>
        <v>438.81984</v>
      </c>
      <c r="E44" s="6">
        <f>'Title, Registration Fees'!B44</f>
        <v>288</v>
      </c>
      <c r="F44" s="6">
        <f>'Title, Registration Fees'!D44</f>
        <v>13</v>
      </c>
      <c r="G44" s="6">
        <f>'Inspection Fees'!B44</f>
        <v>120</v>
      </c>
      <c r="H44" s="6">
        <f t="shared" si="0"/>
        <v>1237.1228799999999</v>
      </c>
    </row>
    <row r="45" spans="1:8" x14ac:dyDescent="0.25">
      <c r="A45" s="8" t="s">
        <v>43</v>
      </c>
      <c r="B45" s="6">
        <f>'State Sales Tax'!G45</f>
        <v>2320</v>
      </c>
      <c r="C45" s="6">
        <f>'Federal Fuel Tax'!B$6</f>
        <v>377.30304000000001</v>
      </c>
      <c r="D45" s="6">
        <f>'State Fuel Tax'!C45</f>
        <v>410.11200000000002</v>
      </c>
      <c r="E45" s="6">
        <f>'Title, Registration Fees'!B45</f>
        <v>609</v>
      </c>
      <c r="F45" s="6">
        <f>'Title, Registration Fees'!D45</f>
        <v>13</v>
      </c>
      <c r="G45" s="6">
        <f>'Inspection Fees'!B45</f>
        <v>327</v>
      </c>
      <c r="H45" s="6">
        <f t="shared" si="0"/>
        <v>1736.4150400000001</v>
      </c>
    </row>
    <row r="46" spans="1:8" x14ac:dyDescent="0.25">
      <c r="A46" s="8" t="s">
        <v>44</v>
      </c>
      <c r="B46" s="6">
        <f>'State Sales Tax'!G46</f>
        <v>2504</v>
      </c>
      <c r="C46" s="6">
        <f>'Federal Fuel Tax'!B$6</f>
        <v>377.30304000000001</v>
      </c>
      <c r="D46" s="6">
        <f>'State Fuel Tax'!C46</f>
        <v>502.38719999999995</v>
      </c>
      <c r="E46" s="6">
        <f>'Title, Registration Fees'!B46</f>
        <v>516</v>
      </c>
      <c r="F46" s="6">
        <f>'Title, Registration Fees'!D46</f>
        <v>6</v>
      </c>
      <c r="G46" s="6">
        <f>'Inspection Fees'!B46</f>
        <v>337</v>
      </c>
      <c r="H46" s="6">
        <f t="shared" si="0"/>
        <v>1738.6902399999999</v>
      </c>
    </row>
    <row r="47" spans="1:8" x14ac:dyDescent="0.25">
      <c r="A47" s="8" t="s">
        <v>45</v>
      </c>
      <c r="B47" s="6">
        <f>'State Sales Tax'!G47</f>
        <v>2080</v>
      </c>
      <c r="C47" s="6">
        <f>'Federal Fuel Tax'!B$6</f>
        <v>377.30304000000001</v>
      </c>
      <c r="D47" s="6">
        <f>'State Fuel Tax'!C47</f>
        <v>543.39840000000004</v>
      </c>
      <c r="E47" s="6">
        <f>'Title, Registration Fees'!B47</f>
        <v>924</v>
      </c>
      <c r="F47" s="6">
        <f>'Title, Registration Fees'!D47</f>
        <v>33</v>
      </c>
      <c r="G47" s="6">
        <f>'Inspection Fees'!B47</f>
        <v>60</v>
      </c>
      <c r="H47" s="6">
        <f t="shared" si="0"/>
        <v>1937.70144</v>
      </c>
    </row>
    <row r="48" spans="1:8" x14ac:dyDescent="0.25">
      <c r="A48" s="8" t="s">
        <v>46</v>
      </c>
      <c r="B48" s="6">
        <f>'State Sales Tax'!G48</f>
        <v>1680</v>
      </c>
      <c r="C48" s="6">
        <f>'Federal Fuel Tax'!B$6</f>
        <v>377.30304000000001</v>
      </c>
      <c r="D48" s="6">
        <f>'State Fuel Tax'!C48</f>
        <v>412.16256000000004</v>
      </c>
      <c r="E48" s="6">
        <f>'Title, Registration Fees'!B48</f>
        <v>489</v>
      </c>
      <c r="F48" s="6">
        <f>'Title, Registration Fees'!D48</f>
        <v>10</v>
      </c>
      <c r="G48" s="6">
        <f>'Inspection Fees'!B48</f>
        <v>360</v>
      </c>
      <c r="H48" s="6">
        <f t="shared" si="0"/>
        <v>1648.4656</v>
      </c>
    </row>
    <row r="49" spans="1:8" x14ac:dyDescent="0.25">
      <c r="A49" s="8" t="s">
        <v>47</v>
      </c>
      <c r="B49" s="6">
        <f>'State Sales Tax'!G49</f>
        <v>2640</v>
      </c>
      <c r="C49" s="6">
        <f>'Federal Fuel Tax'!B$6</f>
        <v>377.30304000000001</v>
      </c>
      <c r="D49" s="6">
        <f>'State Fuel Tax'!C49</f>
        <v>768.96</v>
      </c>
      <c r="E49" s="6">
        <f>'Title, Registration Fees'!B49</f>
        <v>525</v>
      </c>
      <c r="F49" s="6">
        <f>'Title, Registration Fees'!D49</f>
        <v>25.5</v>
      </c>
      <c r="G49" s="6">
        <f>'Inspection Fees'!B49</f>
        <v>90</v>
      </c>
      <c r="H49" s="6">
        <f t="shared" si="0"/>
        <v>1786.76304</v>
      </c>
    </row>
    <row r="50" spans="1:8" x14ac:dyDescent="0.25">
      <c r="A50" s="8" t="s">
        <v>48</v>
      </c>
      <c r="B50" s="6">
        <f>'State Sales Tax'!G50</f>
        <v>2080</v>
      </c>
      <c r="C50" s="6">
        <f>'Federal Fuel Tax'!B$6</f>
        <v>377.30304000000001</v>
      </c>
      <c r="D50" s="6">
        <f>'State Fuel Tax'!C50</f>
        <v>684.88703999999996</v>
      </c>
      <c r="E50" s="6">
        <f>'Title, Registration Fees'!B50</f>
        <v>360</v>
      </c>
      <c r="F50" s="6">
        <f>'Title, Registration Fees'!D50</f>
        <v>10</v>
      </c>
      <c r="G50" s="6">
        <f>'Inspection Fees'!B50</f>
        <v>148.32</v>
      </c>
      <c r="H50" s="6">
        <f t="shared" si="0"/>
        <v>1580.5100799999998</v>
      </c>
    </row>
    <row r="51" spans="1:8" x14ac:dyDescent="0.25">
      <c r="A51" s="8" t="s">
        <v>49</v>
      </c>
      <c r="B51" s="6">
        <f>'State Sales Tax'!G51</f>
        <v>1840</v>
      </c>
      <c r="C51" s="6">
        <f>'Federal Fuel Tax'!B$6</f>
        <v>377.30304000000001</v>
      </c>
      <c r="D51" s="6">
        <f>'State Fuel Tax'!C51</f>
        <v>674.63423999999986</v>
      </c>
      <c r="E51" s="6">
        <f>'Title, Registration Fees'!B51</f>
        <v>900</v>
      </c>
      <c r="F51" s="6">
        <f>'Title, Registration Fees'!D51</f>
        <v>69.5</v>
      </c>
      <c r="G51" s="6">
        <f>'Inspection Fees'!B51</f>
        <v>0</v>
      </c>
      <c r="H51" s="6">
        <f t="shared" si="0"/>
        <v>2021.4372799999999</v>
      </c>
    </row>
    <row r="52" spans="1:8" x14ac:dyDescent="0.25">
      <c r="A52" s="8" t="s">
        <v>50</v>
      </c>
      <c r="B52" s="6">
        <f>'State Sales Tax'!G52</f>
        <v>1920</v>
      </c>
      <c r="C52" s="6">
        <f>'Federal Fuel Tax'!B$6</f>
        <v>377.30304000000001</v>
      </c>
      <c r="D52" s="6">
        <f>'State Fuel Tax'!C52</f>
        <v>287.07840000000004</v>
      </c>
      <c r="E52" s="6">
        <f>'Title, Registration Fees'!B52</f>
        <v>3108</v>
      </c>
      <c r="F52" s="6">
        <f>'Title, Registration Fees'!D52</f>
        <v>9</v>
      </c>
      <c r="G52" s="6">
        <f>'Inspection Fees'!B52</f>
        <v>9</v>
      </c>
      <c r="H52" s="6">
        <f t="shared" si="0"/>
        <v>3790.3814400000001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workbookViewId="0">
      <selection activeCell="B2" sqref="B2"/>
    </sheetView>
  </sheetViews>
  <sheetFormatPr defaultRowHeight="15" x14ac:dyDescent="0.25"/>
  <cols>
    <col min="1" max="1" width="18.7109375" bestFit="1" customWidth="1"/>
  </cols>
  <sheetData>
    <row r="1" spans="1:21" x14ac:dyDescent="0.25">
      <c r="A1" t="s">
        <v>51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8" t="s">
        <v>0</v>
      </c>
    </row>
    <row r="3" spans="1:21" x14ac:dyDescent="0.25">
      <c r="A3" s="8" t="s">
        <v>1</v>
      </c>
    </row>
    <row r="4" spans="1:21" x14ac:dyDescent="0.25">
      <c r="A4" s="8" t="s">
        <v>2</v>
      </c>
    </row>
    <row r="5" spans="1:21" x14ac:dyDescent="0.25">
      <c r="A5" s="8" t="s">
        <v>3</v>
      </c>
    </row>
    <row r="6" spans="1:21" x14ac:dyDescent="0.25">
      <c r="A6" s="8" t="s">
        <v>4</v>
      </c>
    </row>
    <row r="7" spans="1:21" x14ac:dyDescent="0.25">
      <c r="A7" s="8" t="s">
        <v>5</v>
      </c>
    </row>
    <row r="8" spans="1:21" x14ac:dyDescent="0.25">
      <c r="A8" s="8" t="s">
        <v>6</v>
      </c>
    </row>
    <row r="9" spans="1:21" x14ac:dyDescent="0.25">
      <c r="A9" s="8" t="s">
        <v>7</v>
      </c>
    </row>
    <row r="10" spans="1:21" x14ac:dyDescent="0.25">
      <c r="A10" s="8" t="s">
        <v>8</v>
      </c>
    </row>
    <row r="11" spans="1:21" x14ac:dyDescent="0.25">
      <c r="A11" s="8" t="s">
        <v>9</v>
      </c>
    </row>
    <row r="12" spans="1:21" x14ac:dyDescent="0.25">
      <c r="A12" s="8" t="s">
        <v>10</v>
      </c>
    </row>
    <row r="13" spans="1:21" x14ac:dyDescent="0.25">
      <c r="A13" s="8" t="s">
        <v>11</v>
      </c>
    </row>
    <row r="14" spans="1:21" x14ac:dyDescent="0.25">
      <c r="A14" s="8" t="s">
        <v>12</v>
      </c>
    </row>
    <row r="15" spans="1:21" x14ac:dyDescent="0.25">
      <c r="A15" s="8" t="s">
        <v>13</v>
      </c>
    </row>
    <row r="16" spans="1:21" x14ac:dyDescent="0.25">
      <c r="A16" s="8" t="s">
        <v>14</v>
      </c>
    </row>
    <row r="17" spans="1:1" x14ac:dyDescent="0.25">
      <c r="A17" s="8" t="s">
        <v>15</v>
      </c>
    </row>
    <row r="18" spans="1:1" x14ac:dyDescent="0.25">
      <c r="A18" s="8" t="s">
        <v>16</v>
      </c>
    </row>
    <row r="19" spans="1:1" x14ac:dyDescent="0.25">
      <c r="A19" s="8" t="s">
        <v>17</v>
      </c>
    </row>
    <row r="20" spans="1:1" x14ac:dyDescent="0.25">
      <c r="A20" s="8" t="s">
        <v>18</v>
      </c>
    </row>
    <row r="21" spans="1:1" x14ac:dyDescent="0.25">
      <c r="A21" s="8" t="s">
        <v>19</v>
      </c>
    </row>
    <row r="22" spans="1:1" x14ac:dyDescent="0.25">
      <c r="A22" s="8" t="s">
        <v>20</v>
      </c>
    </row>
    <row r="23" spans="1:1" x14ac:dyDescent="0.25">
      <c r="A23" s="8" t="s">
        <v>21</v>
      </c>
    </row>
    <row r="24" spans="1:1" x14ac:dyDescent="0.25">
      <c r="A24" s="8" t="s">
        <v>22</v>
      </c>
    </row>
    <row r="25" spans="1:1" x14ac:dyDescent="0.25">
      <c r="A25" s="8" t="s">
        <v>23</v>
      </c>
    </row>
    <row r="26" spans="1:1" x14ac:dyDescent="0.25">
      <c r="A26" s="8" t="s">
        <v>24</v>
      </c>
    </row>
    <row r="27" spans="1:1" x14ac:dyDescent="0.25">
      <c r="A27" s="8" t="s">
        <v>25</v>
      </c>
    </row>
    <row r="28" spans="1:1" x14ac:dyDescent="0.25">
      <c r="A28" s="8" t="s">
        <v>26</v>
      </c>
    </row>
    <row r="29" spans="1:1" x14ac:dyDescent="0.25">
      <c r="A29" s="8" t="s">
        <v>27</v>
      </c>
    </row>
    <row r="30" spans="1:1" x14ac:dyDescent="0.25">
      <c r="A30" s="8" t="s">
        <v>28</v>
      </c>
    </row>
    <row r="31" spans="1:1" x14ac:dyDescent="0.25">
      <c r="A31" s="8" t="s">
        <v>29</v>
      </c>
    </row>
    <row r="32" spans="1:1" x14ac:dyDescent="0.25">
      <c r="A32" s="8" t="s">
        <v>30</v>
      </c>
    </row>
    <row r="33" spans="1:1" x14ac:dyDescent="0.25">
      <c r="A33" s="8" t="s">
        <v>31</v>
      </c>
    </row>
    <row r="34" spans="1:1" x14ac:dyDescent="0.25">
      <c r="A34" s="8" t="s">
        <v>32</v>
      </c>
    </row>
    <row r="35" spans="1:1" x14ac:dyDescent="0.25">
      <c r="A35" s="8" t="s">
        <v>33</v>
      </c>
    </row>
    <row r="36" spans="1:1" x14ac:dyDescent="0.25">
      <c r="A36" s="8" t="s">
        <v>34</v>
      </c>
    </row>
    <row r="37" spans="1:1" x14ac:dyDescent="0.25">
      <c r="A37" s="8" t="s">
        <v>35</v>
      </c>
    </row>
    <row r="38" spans="1:1" x14ac:dyDescent="0.25">
      <c r="A38" s="8" t="s">
        <v>36</v>
      </c>
    </row>
    <row r="39" spans="1:1" x14ac:dyDescent="0.25">
      <c r="A39" s="8" t="s">
        <v>37</v>
      </c>
    </row>
    <row r="40" spans="1:1" x14ac:dyDescent="0.25">
      <c r="A40" s="8" t="s">
        <v>38</v>
      </c>
    </row>
    <row r="41" spans="1:1" x14ac:dyDescent="0.25">
      <c r="A41" s="8" t="s">
        <v>39</v>
      </c>
    </row>
    <row r="42" spans="1:1" x14ac:dyDescent="0.25">
      <c r="A42" s="8" t="s">
        <v>40</v>
      </c>
    </row>
    <row r="43" spans="1:1" x14ac:dyDescent="0.25">
      <c r="A43" s="8" t="s">
        <v>41</v>
      </c>
    </row>
    <row r="44" spans="1:1" x14ac:dyDescent="0.25">
      <c r="A44" s="8" t="s">
        <v>42</v>
      </c>
    </row>
    <row r="45" spans="1:1" x14ac:dyDescent="0.25">
      <c r="A45" s="8" t="s">
        <v>43</v>
      </c>
    </row>
    <row r="46" spans="1:1" x14ac:dyDescent="0.25">
      <c r="A46" s="8" t="s">
        <v>44</v>
      </c>
    </row>
    <row r="47" spans="1:1" x14ac:dyDescent="0.25">
      <c r="A47" s="8" t="s">
        <v>45</v>
      </c>
    </row>
    <row r="48" spans="1:1" x14ac:dyDescent="0.25">
      <c r="A48" s="8" t="s">
        <v>46</v>
      </c>
    </row>
    <row r="49" spans="1:1" x14ac:dyDescent="0.25">
      <c r="A49" s="8" t="s">
        <v>47</v>
      </c>
    </row>
    <row r="50" spans="1:1" x14ac:dyDescent="0.25">
      <c r="A50" s="8" t="s">
        <v>48</v>
      </c>
    </row>
    <row r="51" spans="1:1" x14ac:dyDescent="0.25">
      <c r="A51" s="8" t="s">
        <v>49</v>
      </c>
    </row>
    <row r="52" spans="1:1" x14ac:dyDescent="0.25">
      <c r="A52" s="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Vehicle Information</vt:lpstr>
      <vt:lpstr>State Sales Tax</vt:lpstr>
      <vt:lpstr>Federal Fuel Tax</vt:lpstr>
      <vt:lpstr>State Fuel Tax</vt:lpstr>
      <vt:lpstr>Title, Registration Fees</vt:lpstr>
      <vt:lpstr>Inspection Fees</vt:lpstr>
      <vt:lpstr>Calculation Sheet</vt:lpstr>
      <vt:lpstr>Total Fees</vt:lpstr>
      <vt:lpstr>Annual Fees</vt:lpstr>
      <vt:lpstr>Drivetrain</vt:lpstr>
      <vt:lpstr>Fuels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Jenn</dc:creator>
  <cp:lastModifiedBy>AlanJenn</cp:lastModifiedBy>
  <dcterms:created xsi:type="dcterms:W3CDTF">2012-12-10T23:35:57Z</dcterms:created>
  <dcterms:modified xsi:type="dcterms:W3CDTF">2013-07-25T23:30:58Z</dcterms:modified>
</cp:coreProperties>
</file>