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844705A76C41D9A/ドキュメント/"/>
    </mc:Choice>
  </mc:AlternateContent>
  <xr:revisionPtr revIDLastSave="0" documentId="13_ncr:20001_{CEAC7006-A810-4238-BE1F-100F1001F8E8}" xr6:coauthVersionLast="47" xr6:coauthVersionMax="47" xr10:uidLastSave="{00000000-0000-0000-0000-000000000000}"/>
  <bookViews>
    <workbookView xWindow="-120" yWindow="-120" windowWidth="20730" windowHeight="11160" firstSheet="10" activeTab="12" xr2:uid="{00000000-000D-0000-FFFF-FFFF00000000}"/>
  </bookViews>
  <sheets>
    <sheet name="Cover Page" sheetId="1" r:id="rId1"/>
    <sheet name="Free Cash Flows" sheetId="2" r:id="rId2"/>
    <sheet name="Fixed Assets" sheetId="3" r:id="rId3"/>
    <sheet name="Net Working Capital" sheetId="4" r:id="rId4"/>
    <sheet name="DCF" sheetId="5" r:id="rId5"/>
    <sheet name="WACC" sheetId="6" r:id="rId6"/>
    <sheet name="Relative Valuation" sheetId="7" r:id="rId7"/>
    <sheet name="Income Statement" sheetId="8" r:id="rId8"/>
    <sheet name="Balance Sheet" sheetId="9" r:id="rId9"/>
    <sheet name="Cash Flows" sheetId="10" r:id="rId10"/>
    <sheet name="Latest Reports" sheetId="11" r:id="rId11"/>
    <sheet name="Peer Comparision" sheetId="12" r:id="rId12"/>
    <sheet name="Shareholding" sheetId="13" r:id="rId13"/>
  </sheets>
  <definedNames>
    <definedName name="SHARE">LAMBDA(g, w, ( (DCF!$M$4*(1+g)/(w-g))/(1+w)^DCF!$M$6 + DCF!$I$4/(1+w)^DCF!$I$6 + DCF!$J$4/(1+w)^DCF!$J$6 + DCF!$K$4/(1+w)^DCF!$K$6 + DCF!$L$4/(1+w)^DCF!$L$6 + DCF!$M$4/(1+w)^DCF!$M$6 + DCF!$C$16 - DCF!$C$17 - DCF!$C$18 )/DCF!$C$20)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8" l="1"/>
  <c r="F23" i="8"/>
  <c r="E23" i="8"/>
  <c r="D23" i="8"/>
  <c r="C23" i="8"/>
  <c r="G14" i="8"/>
  <c r="F14" i="8"/>
  <c r="E14" i="8"/>
  <c r="D14" i="8"/>
  <c r="C14" i="8"/>
  <c r="G13" i="8"/>
  <c r="F13" i="8"/>
  <c r="E13" i="8"/>
  <c r="D13" i="8"/>
  <c r="C13" i="8"/>
  <c r="G12" i="8"/>
  <c r="F12" i="8"/>
  <c r="E12" i="8"/>
  <c r="D12" i="8"/>
  <c r="C12" i="8"/>
  <c r="O25" i="7"/>
  <c r="P25" i="7" s="1"/>
  <c r="P23" i="7"/>
  <c r="O23" i="7"/>
  <c r="N23" i="7"/>
  <c r="P19" i="7"/>
  <c r="O19" i="7"/>
  <c r="P18" i="7"/>
  <c r="O18" i="7"/>
  <c r="P17" i="7"/>
  <c r="P22" i="7" s="1"/>
  <c r="P24" i="7" s="1"/>
  <c r="P26" i="7" s="1"/>
  <c r="O17" i="7"/>
  <c r="O22" i="7" s="1"/>
  <c r="O24" i="7" s="1"/>
  <c r="O26" i="7" s="1"/>
  <c r="P16" i="7"/>
  <c r="O16" i="7"/>
  <c r="P15" i="7"/>
  <c r="O15" i="7"/>
  <c r="P14" i="7"/>
  <c r="O14" i="7"/>
  <c r="N12" i="7"/>
  <c r="N11" i="7"/>
  <c r="N10" i="7"/>
  <c r="N9" i="7"/>
  <c r="N8" i="7"/>
  <c r="N7" i="7"/>
  <c r="N6" i="7"/>
  <c r="F15" i="6"/>
  <c r="G16" i="6" s="1"/>
  <c r="C12" i="6" s="1"/>
  <c r="C13" i="6" s="1"/>
  <c r="C16" i="6" s="1"/>
  <c r="C4" i="6"/>
  <c r="C6" i="6" s="1"/>
  <c r="C9" i="6" s="1"/>
  <c r="C18" i="5"/>
  <c r="C16" i="5"/>
  <c r="J11" i="5"/>
  <c r="K11" i="5" s="1"/>
  <c r="I11" i="5"/>
  <c r="H11" i="5"/>
  <c r="G11" i="5" s="1"/>
  <c r="E25" i="4"/>
  <c r="C23" i="4"/>
  <c r="J21" i="4"/>
  <c r="F17" i="4"/>
  <c r="H16" i="4"/>
  <c r="H24" i="4" s="1"/>
  <c r="H11" i="4"/>
  <c r="G11" i="4"/>
  <c r="F11" i="4"/>
  <c r="E11" i="4"/>
  <c r="D11" i="4"/>
  <c r="C11" i="4"/>
  <c r="C25" i="4" s="1"/>
  <c r="H10" i="4"/>
  <c r="H12" i="4" s="1"/>
  <c r="G20" i="2" s="1"/>
  <c r="G10" i="4"/>
  <c r="F10" i="4"/>
  <c r="E10" i="4"/>
  <c r="D10" i="4"/>
  <c r="C10" i="4"/>
  <c r="C24" i="4" s="1"/>
  <c r="H9" i="4"/>
  <c r="G9" i="4"/>
  <c r="F9" i="4"/>
  <c r="E9" i="4"/>
  <c r="E12" i="4" s="1"/>
  <c r="D20" i="2" s="1"/>
  <c r="D9" i="4"/>
  <c r="D21" i="4" s="1"/>
  <c r="C9" i="4"/>
  <c r="H7" i="4"/>
  <c r="G19" i="2" s="1"/>
  <c r="G18" i="2" s="1"/>
  <c r="H6" i="4"/>
  <c r="G6" i="4"/>
  <c r="F6" i="4"/>
  <c r="E6" i="4"/>
  <c r="D6" i="4"/>
  <c r="C6" i="4"/>
  <c r="H5" i="4"/>
  <c r="G5" i="4"/>
  <c r="F5" i="4"/>
  <c r="E5" i="4"/>
  <c r="D5" i="4"/>
  <c r="C5" i="4"/>
  <c r="C20" i="4" s="1"/>
  <c r="H4" i="4"/>
  <c r="G4" i="4"/>
  <c r="F4" i="4"/>
  <c r="E4" i="4"/>
  <c r="E7" i="4" s="1"/>
  <c r="D19" i="2" s="1"/>
  <c r="D4" i="4"/>
  <c r="C4" i="4"/>
  <c r="G12" i="3"/>
  <c r="G11" i="3"/>
  <c r="E11" i="3"/>
  <c r="C11" i="3"/>
  <c r="G7" i="3"/>
  <c r="C7" i="3"/>
  <c r="G6" i="3"/>
  <c r="C6" i="3"/>
  <c r="H4" i="3"/>
  <c r="G4" i="3"/>
  <c r="F7" i="3" s="1"/>
  <c r="F4" i="3"/>
  <c r="F11" i="3" s="1"/>
  <c r="E4" i="3"/>
  <c r="D7" i="3" s="1"/>
  <c r="D6" i="3" s="1"/>
  <c r="D4" i="3"/>
  <c r="D11" i="3" s="1"/>
  <c r="G28" i="2"/>
  <c r="G16" i="2"/>
  <c r="G11" i="2"/>
  <c r="G15" i="2" s="1"/>
  <c r="F11" i="2"/>
  <c r="F15" i="2" s="1"/>
  <c r="E11" i="2"/>
  <c r="E15" i="2" s="1"/>
  <c r="D11" i="2"/>
  <c r="D15" i="2" s="1"/>
  <c r="C11" i="2"/>
  <c r="C15" i="2" s="1"/>
  <c r="G8" i="2"/>
  <c r="G9" i="2" s="1"/>
  <c r="F8" i="2"/>
  <c r="E8" i="2"/>
  <c r="E28" i="2" s="1"/>
  <c r="D8" i="2"/>
  <c r="C8" i="2"/>
  <c r="C9" i="2" s="1"/>
  <c r="G7" i="2"/>
  <c r="F7" i="2"/>
  <c r="E7" i="2"/>
  <c r="E9" i="2" s="1"/>
  <c r="D7" i="2"/>
  <c r="D9" i="2" s="1"/>
  <c r="C7" i="2"/>
  <c r="G5" i="2"/>
  <c r="G27" i="2" s="1"/>
  <c r="F5" i="2"/>
  <c r="E5" i="2"/>
  <c r="E27" i="2" s="1"/>
  <c r="D5" i="2"/>
  <c r="C5" i="2"/>
  <c r="D17" i="4" s="1"/>
  <c r="G4" i="2"/>
  <c r="F4" i="2"/>
  <c r="G16" i="4" s="1"/>
  <c r="E4" i="2"/>
  <c r="D4" i="2"/>
  <c r="E16" i="4" s="1"/>
  <c r="E23" i="4" s="1"/>
  <c r="C4" i="2"/>
  <c r="C6" i="2" s="1"/>
  <c r="C10" i="2" s="1"/>
  <c r="C13" i="2" l="1"/>
  <c r="C12" i="2"/>
  <c r="F25" i="2"/>
  <c r="D12" i="3"/>
  <c r="D16" i="2"/>
  <c r="C7" i="4"/>
  <c r="C19" i="4"/>
  <c r="G7" i="4"/>
  <c r="F19" i="2" s="1"/>
  <c r="G19" i="4"/>
  <c r="D20" i="4"/>
  <c r="G24" i="4"/>
  <c r="F6" i="2"/>
  <c r="F10" i="2" s="1"/>
  <c r="F28" i="2"/>
  <c r="F9" i="2"/>
  <c r="C12" i="3"/>
  <c r="C16" i="2"/>
  <c r="E17" i="4"/>
  <c r="E21" i="4" s="1"/>
  <c r="D27" i="2"/>
  <c r="F20" i="4"/>
  <c r="F7" i="4"/>
  <c r="E19" i="2" s="1"/>
  <c r="G23" i="4"/>
  <c r="G25" i="4"/>
  <c r="N19" i="7"/>
  <c r="N15" i="7"/>
  <c r="N17" i="7"/>
  <c r="N22" i="7" s="1"/>
  <c r="N24" i="7" s="1"/>
  <c r="N26" i="7" s="1"/>
  <c r="N18" i="7"/>
  <c r="C27" i="2"/>
  <c r="H19" i="4"/>
  <c r="G20" i="4"/>
  <c r="H25" i="4"/>
  <c r="D12" i="4"/>
  <c r="C20" i="2" s="1"/>
  <c r="H17" i="4"/>
  <c r="H20" i="4" s="1"/>
  <c r="E19" i="4"/>
  <c r="C17" i="5"/>
  <c r="C8" i="6"/>
  <c r="G25" i="2"/>
  <c r="H4" i="2"/>
  <c r="G17" i="4"/>
  <c r="G21" i="4" s="1"/>
  <c r="F27" i="2"/>
  <c r="D6" i="2"/>
  <c r="D10" i="2" s="1"/>
  <c r="D28" i="2"/>
  <c r="C28" i="2"/>
  <c r="F6" i="3"/>
  <c r="E7" i="3"/>
  <c r="E6" i="3" s="1"/>
  <c r="H11" i="3"/>
  <c r="D18" i="2"/>
  <c r="H23" i="4"/>
  <c r="D7" i="4"/>
  <c r="C19" i="2" s="1"/>
  <c r="C18" i="2" s="1"/>
  <c r="C17" i="2" s="1"/>
  <c r="F21" i="4"/>
  <c r="E24" i="4"/>
  <c r="F12" i="4"/>
  <c r="E20" i="2" s="1"/>
  <c r="D16" i="4"/>
  <c r="D24" i="4" s="1"/>
  <c r="K21" i="4"/>
  <c r="N14" i="7"/>
  <c r="G6" i="2"/>
  <c r="G10" i="2" s="1"/>
  <c r="E25" i="2"/>
  <c r="E6" i="2"/>
  <c r="E10" i="2" s="1"/>
  <c r="D25" i="2"/>
  <c r="E20" i="4"/>
  <c r="I20" i="4" s="1"/>
  <c r="C12" i="4"/>
  <c r="G12" i="4"/>
  <c r="F20" i="2" s="1"/>
  <c r="F16" i="4"/>
  <c r="F23" i="4" s="1"/>
  <c r="C21" i="4"/>
  <c r="N16" i="7"/>
  <c r="J20" i="4" l="1"/>
  <c r="I24" i="4"/>
  <c r="J24" i="4" s="1"/>
  <c r="K24" i="4" s="1"/>
  <c r="L24" i="4" s="1"/>
  <c r="M24" i="4" s="1"/>
  <c r="F13" i="2"/>
  <c r="F12" i="2"/>
  <c r="E16" i="2"/>
  <c r="E12" i="3"/>
  <c r="D12" i="2"/>
  <c r="D14" i="2" s="1"/>
  <c r="D21" i="2" s="1"/>
  <c r="E4" i="5" s="1"/>
  <c r="D13" i="2"/>
  <c r="H27" i="2"/>
  <c r="I27" i="2" s="1"/>
  <c r="J27" i="2" s="1"/>
  <c r="K27" i="2" s="1"/>
  <c r="L27" i="2" s="1"/>
  <c r="E18" i="2"/>
  <c r="E17" i="2" s="1"/>
  <c r="H12" i="3"/>
  <c r="F18" i="2"/>
  <c r="I16" i="4"/>
  <c r="I4" i="2"/>
  <c r="H7" i="2"/>
  <c r="H5" i="2"/>
  <c r="I17" i="4" s="1"/>
  <c r="I9" i="4" s="1"/>
  <c r="D25" i="4"/>
  <c r="I25" i="4" s="1"/>
  <c r="J25" i="4" s="1"/>
  <c r="K25" i="4" s="1"/>
  <c r="L25" i="4" s="1"/>
  <c r="M25" i="4" s="1"/>
  <c r="D19" i="4"/>
  <c r="E12" i="2"/>
  <c r="E13" i="2"/>
  <c r="D23" i="4"/>
  <c r="I23" i="4" s="1"/>
  <c r="J23" i="4" s="1"/>
  <c r="K23" i="4" s="1"/>
  <c r="L23" i="4" s="1"/>
  <c r="M23" i="4" s="1"/>
  <c r="F12" i="3"/>
  <c r="F16" i="2"/>
  <c r="C15" i="6"/>
  <c r="C18" i="6"/>
  <c r="C12" i="5" s="1"/>
  <c r="F14" i="5" s="1"/>
  <c r="F24" i="4"/>
  <c r="G13" i="2"/>
  <c r="G12" i="2"/>
  <c r="G14" i="2" s="1"/>
  <c r="H5" i="3"/>
  <c r="I11" i="3"/>
  <c r="F25" i="4"/>
  <c r="F19" i="4"/>
  <c r="I19" i="4" s="1"/>
  <c r="L21" i="4"/>
  <c r="D17" i="2"/>
  <c r="H28" i="2"/>
  <c r="I28" i="2" s="1"/>
  <c r="J28" i="2" s="1"/>
  <c r="K28" i="2" s="1"/>
  <c r="L28" i="2" s="1"/>
  <c r="H21" i="4"/>
  <c r="C14" i="2"/>
  <c r="C21" i="2" s="1"/>
  <c r="D4" i="5" s="1"/>
  <c r="J19" i="4" l="1"/>
  <c r="I4" i="4"/>
  <c r="F15" i="5"/>
  <c r="F16" i="5" s="1"/>
  <c r="F13" i="5"/>
  <c r="F12" i="5" s="1"/>
  <c r="H6" i="3"/>
  <c r="H16" i="2" s="1"/>
  <c r="I12" i="3"/>
  <c r="I8" i="2"/>
  <c r="I7" i="2"/>
  <c r="I5" i="2"/>
  <c r="J17" i="4" s="1"/>
  <c r="J9" i="4" s="1"/>
  <c r="J16" i="4"/>
  <c r="J4" i="2"/>
  <c r="J11" i="3"/>
  <c r="E14" i="2"/>
  <c r="E21" i="2" s="1"/>
  <c r="F4" i="5" s="1"/>
  <c r="I10" i="4"/>
  <c r="I12" i="4" s="1"/>
  <c r="H20" i="2" s="1"/>
  <c r="I6" i="4"/>
  <c r="I11" i="4"/>
  <c r="K20" i="4"/>
  <c r="J5" i="4"/>
  <c r="H8" i="2"/>
  <c r="H9" i="2" s="1"/>
  <c r="M21" i="4"/>
  <c r="H11" i="2"/>
  <c r="H15" i="2" s="1"/>
  <c r="H7" i="3"/>
  <c r="I4" i="3" s="1"/>
  <c r="I5" i="3" s="1"/>
  <c r="I11" i="2" s="1"/>
  <c r="I15" i="2" s="1"/>
  <c r="H6" i="2"/>
  <c r="F17" i="2"/>
  <c r="G17" i="2"/>
  <c r="G21" i="2" s="1"/>
  <c r="H4" i="5" s="1"/>
  <c r="F14" i="2"/>
  <c r="F21" i="2" s="1"/>
  <c r="G4" i="5" s="1"/>
  <c r="I5" i="4"/>
  <c r="J11" i="4" l="1"/>
  <c r="J6" i="4"/>
  <c r="J10" i="4"/>
  <c r="J12" i="4"/>
  <c r="I20" i="2" s="1"/>
  <c r="I9" i="2"/>
  <c r="I7" i="4"/>
  <c r="H19" i="2" s="1"/>
  <c r="H18" i="2" s="1"/>
  <c r="H17" i="2" s="1"/>
  <c r="I7" i="3"/>
  <c r="J4" i="3" s="1"/>
  <c r="K11" i="3"/>
  <c r="J12" i="3"/>
  <c r="I6" i="3"/>
  <c r="I16" i="2" s="1"/>
  <c r="H10" i="2"/>
  <c r="L20" i="4"/>
  <c r="K16" i="4"/>
  <c r="K4" i="2"/>
  <c r="J7" i="2"/>
  <c r="J5" i="2"/>
  <c r="K17" i="4" s="1"/>
  <c r="K9" i="4" s="1"/>
  <c r="J6" i="2"/>
  <c r="J8" i="2"/>
  <c r="I6" i="2"/>
  <c r="I10" i="2" s="1"/>
  <c r="J4" i="4"/>
  <c r="J7" i="4" s="1"/>
  <c r="I19" i="2" s="1"/>
  <c r="K19" i="4"/>
  <c r="I18" i="2" l="1"/>
  <c r="I17" i="2" s="1"/>
  <c r="M20" i="4"/>
  <c r="J6" i="3"/>
  <c r="J16" i="2" s="1"/>
  <c r="K12" i="3"/>
  <c r="L19" i="4"/>
  <c r="K4" i="4"/>
  <c r="I12" i="2"/>
  <c r="I13" i="2"/>
  <c r="J9" i="2"/>
  <c r="J10" i="2" s="1"/>
  <c r="K5" i="4"/>
  <c r="L11" i="3"/>
  <c r="K10" i="4"/>
  <c r="K12" i="4" s="1"/>
  <c r="J20" i="2" s="1"/>
  <c r="K11" i="4"/>
  <c r="K6" i="4"/>
  <c r="K7" i="2"/>
  <c r="K9" i="2" s="1"/>
  <c r="K5" i="2"/>
  <c r="L17" i="4" s="1"/>
  <c r="L9" i="4" s="1"/>
  <c r="K8" i="2"/>
  <c r="L16" i="4"/>
  <c r="L4" i="2"/>
  <c r="K6" i="2"/>
  <c r="H12" i="2"/>
  <c r="H13" i="2"/>
  <c r="J5" i="3"/>
  <c r="J11" i="2" s="1"/>
  <c r="J15" i="2" s="1"/>
  <c r="J13" i="2" l="1"/>
  <c r="J12" i="2"/>
  <c r="J14" i="2" s="1"/>
  <c r="L12" i="3"/>
  <c r="K6" i="3"/>
  <c r="K16" i="2" s="1"/>
  <c r="L4" i="4"/>
  <c r="M19" i="4"/>
  <c r="L11" i="4"/>
  <c r="L12" i="4" s="1"/>
  <c r="K20" i="2" s="1"/>
  <c r="L6" i="4"/>
  <c r="L10" i="4"/>
  <c r="H14" i="2"/>
  <c r="H21" i="2" s="1"/>
  <c r="I4" i="5" s="1"/>
  <c r="I7" i="5" s="1"/>
  <c r="I14" i="2"/>
  <c r="I21" i="2" s="1"/>
  <c r="J4" i="5" s="1"/>
  <c r="J7" i="5" s="1"/>
  <c r="J7" i="3"/>
  <c r="K4" i="3" s="1"/>
  <c r="M16" i="4"/>
  <c r="L8" i="2"/>
  <c r="L7" i="2"/>
  <c r="L5" i="2"/>
  <c r="M17" i="4" s="1"/>
  <c r="M9" i="4" s="1"/>
  <c r="K10" i="2"/>
  <c r="K7" i="4"/>
  <c r="J19" i="2" s="1"/>
  <c r="J18" i="2" s="1"/>
  <c r="J17" i="2" s="1"/>
  <c r="L5" i="4"/>
  <c r="M5" i="4" l="1"/>
  <c r="K13" i="2"/>
  <c r="M10" i="4"/>
  <c r="M11" i="4"/>
  <c r="M12" i="4" s="1"/>
  <c r="L20" i="2" s="1"/>
  <c r="M6" i="4"/>
  <c r="L9" i="2"/>
  <c r="K5" i="3"/>
  <c r="K11" i="2" s="1"/>
  <c r="K15" i="2" s="1"/>
  <c r="M4" i="4"/>
  <c r="M7" i="4" s="1"/>
  <c r="L19" i="2" s="1"/>
  <c r="J21" i="2"/>
  <c r="K4" i="5" s="1"/>
  <c r="K7" i="5" s="1"/>
  <c r="L6" i="2"/>
  <c r="L10" i="2" s="1"/>
  <c r="L7" i="4"/>
  <c r="K19" i="2" s="1"/>
  <c r="K18" i="2" s="1"/>
  <c r="K17" i="2" s="1"/>
  <c r="L18" i="2" l="1"/>
  <c r="L17" i="2" s="1"/>
  <c r="K7" i="3"/>
  <c r="L4" i="3" s="1"/>
  <c r="K12" i="2"/>
  <c r="K14" i="2" s="1"/>
  <c r="K21" i="2" s="1"/>
  <c r="L4" i="5" s="1"/>
  <c r="L7" i="5" s="1"/>
  <c r="L5" i="3" l="1"/>
  <c r="L11" i="2" s="1"/>
  <c r="L6" i="3"/>
  <c r="L16" i="2" s="1"/>
  <c r="L15" i="2" l="1"/>
  <c r="L13" i="2"/>
  <c r="L12" i="2"/>
  <c r="L14" i="2" s="1"/>
  <c r="L21" i="2" s="1"/>
  <c r="M4" i="5" s="1"/>
  <c r="L7" i="3"/>
  <c r="M7" i="5" l="1"/>
  <c r="C10" i="5" s="1"/>
  <c r="C13" i="5"/>
  <c r="C14" i="5" s="1"/>
  <c r="C15" i="5" s="1"/>
  <c r="C19" i="5" s="1"/>
  <c r="C21" i="5" s="1"/>
</calcChain>
</file>

<file path=xl/sharedStrings.xml><?xml version="1.0" encoding="utf-8"?>
<sst xmlns="http://schemas.openxmlformats.org/spreadsheetml/2006/main" count="408" uniqueCount="258">
  <si>
    <t>Stock Price as of 25/03/25</t>
  </si>
  <si>
    <t>Free Cash Flow (Rs. cr)</t>
  </si>
  <si>
    <t>Fiscal Year</t>
  </si>
  <si>
    <t>2019A</t>
  </si>
  <si>
    <t>2020A</t>
  </si>
  <si>
    <t>2021A</t>
  </si>
  <si>
    <t>2022A</t>
  </si>
  <si>
    <t>2023A</t>
  </si>
  <si>
    <t>2024E</t>
  </si>
  <si>
    <t>2025E</t>
  </si>
  <si>
    <t>2026E</t>
  </si>
  <si>
    <t>2027E</t>
  </si>
  <si>
    <t>2028E</t>
  </si>
  <si>
    <t>Revenue</t>
  </si>
  <si>
    <t>COGS</t>
  </si>
  <si>
    <t>Gross Profit</t>
  </si>
  <si>
    <t>Operating Expenses</t>
  </si>
  <si>
    <t>Selling, General, Administrative (SG&amp;A)</t>
  </si>
  <si>
    <t>Total Operating Expenses</t>
  </si>
  <si>
    <t>EBITDA</t>
  </si>
  <si>
    <t>Depreciation &amp; Amortization</t>
  </si>
  <si>
    <t>Operating Profit (EBIT)</t>
  </si>
  <si>
    <t>Operating Taxes</t>
  </si>
  <si>
    <t>NOPAT (Net Operating Profit After Taxes)</t>
  </si>
  <si>
    <t>(+) Depreciation &amp; Amortization</t>
  </si>
  <si>
    <t>(-) Capital Expenditures</t>
  </si>
  <si>
    <t>(-) Change in NWC</t>
  </si>
  <si>
    <t>NWC</t>
  </si>
  <si>
    <t>Current Assets</t>
  </si>
  <si>
    <t>Current Liabilitites</t>
  </si>
  <si>
    <t>Unlevered Free Cash Flow</t>
  </si>
  <si>
    <t>Assumptions</t>
  </si>
  <si>
    <t>Revenue Growth</t>
  </si>
  <si>
    <t>COGS % of Revenue</t>
  </si>
  <si>
    <t>SG&amp;A % of Revenue</t>
  </si>
  <si>
    <t>Tax % of EBIT</t>
  </si>
  <si>
    <t>Fixed Assets Schedule</t>
  </si>
  <si>
    <t>Beginning PP&amp;E</t>
  </si>
  <si>
    <t>D&amp;A</t>
  </si>
  <si>
    <t>CapEx</t>
  </si>
  <si>
    <t>Ending PP&amp;E</t>
  </si>
  <si>
    <t>D&amp;A as a % of Beginning PP&amp;E</t>
  </si>
  <si>
    <t>CapEx as a % of Beginning PP&amp;E</t>
  </si>
  <si>
    <t>Net Working Capital</t>
  </si>
  <si>
    <t>2018A</t>
  </si>
  <si>
    <t>Accounts Receivables</t>
  </si>
  <si>
    <t>Merchandise Inventory</t>
  </si>
  <si>
    <t>Other Current Assets</t>
  </si>
  <si>
    <t>Accounts Payable</t>
  </si>
  <si>
    <t>Advance from Customers</t>
  </si>
  <si>
    <t>Other Current Liabilities</t>
  </si>
  <si>
    <t>Current Liabilities</t>
  </si>
  <si>
    <t>Days Sales Outstanding (DSO)</t>
  </si>
  <si>
    <t>Days Inventory Outstanding (DIO)</t>
  </si>
  <si>
    <t>Days Payable Outstanding (DPO)</t>
  </si>
  <si>
    <t>Other Current Assets as a % of Revenue</t>
  </si>
  <si>
    <t>Advance from Customers as a % of Revenue</t>
  </si>
  <si>
    <t>Other Current Liabilities as a % of Revenue</t>
  </si>
  <si>
    <t>Unlevered Free Cash Flow (mm)</t>
  </si>
  <si>
    <t>Projection Year</t>
  </si>
  <si>
    <t>Present Value of Free Cash Flow</t>
  </si>
  <si>
    <t>Implied Share Price Calculation</t>
  </si>
  <si>
    <t>Sensitivity Table</t>
  </si>
  <si>
    <t>Sum of PV of FCF</t>
  </si>
  <si>
    <t>Growth Rate</t>
  </si>
  <si>
    <t>WACC</t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</si>
  <si>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</si>
  <si>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</si>
  <si>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</si>
  <si>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</si>
  <si>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</si>
  <si>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</si>
  <si>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</si>
  <si>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t>Diluted Shares Outstanding (cr)</t>
  </si>
  <si>
    <t>Implied Share Price</t>
  </si>
  <si>
    <t>Weighted Average Cost of Capital (WACC)</t>
  </si>
  <si>
    <t>Equity (cr)</t>
  </si>
  <si>
    <t>Debt (cr)</t>
  </si>
  <si>
    <t>Cost of Debt</t>
  </si>
  <si>
    <t>Tax Rate</t>
  </si>
  <si>
    <t>D/(D+E)</t>
  </si>
  <si>
    <t>After Tax Cost of Debt</t>
  </si>
  <si>
    <t>Risk Free Rate (10-Yr Treasury Yield)</t>
  </si>
  <si>
    <t>Revenue Stream</t>
  </si>
  <si>
    <t>% of Revenue</t>
  </si>
  <si>
    <t>% Expected Market Return</t>
  </si>
  <si>
    <t>Expected Market Return</t>
  </si>
  <si>
    <t>India Formulation</t>
  </si>
  <si>
    <t>Market Risk Premium</t>
  </si>
  <si>
    <t>USA Formulation</t>
  </si>
  <si>
    <t>Levered Beta</t>
  </si>
  <si>
    <t>International Formulation</t>
  </si>
  <si>
    <t>E/(D+E)</t>
  </si>
  <si>
    <t>Consumer Wellness</t>
  </si>
  <si>
    <t>Cost of Equity</t>
  </si>
  <si>
    <t>Weighted Average Expected Market Return</t>
  </si>
  <si>
    <t>Comparable Companies Analysis</t>
  </si>
  <si>
    <t>Market Data</t>
  </si>
  <si>
    <t>Financials</t>
  </si>
  <si>
    <t>Valuation</t>
  </si>
  <si>
    <t>Company</t>
  </si>
  <si>
    <t>Ticker</t>
  </si>
  <si>
    <t>Share 
 Price</t>
  </si>
  <si>
    <t>Shares Outstanding</t>
  </si>
  <si>
    <t>Market Capitalization</t>
  </si>
  <si>
    <t>Net Debt</t>
  </si>
  <si>
    <t>Enterprise 
 Value</t>
  </si>
  <si>
    <t>Sales</t>
  </si>
  <si>
    <t>EBIT</t>
  </si>
  <si>
    <t>Net Profit</t>
  </si>
  <si>
    <t>EV/Sales</t>
  </si>
  <si>
    <t>EV/EBITDA</t>
  </si>
  <si>
    <t>P/E</t>
  </si>
  <si>
    <t xml:space="preserve">Zydus Lifesciences </t>
  </si>
  <si>
    <t>ZYDUSLIFE</t>
  </si>
  <si>
    <t>Sun Pharma.Inds.</t>
  </si>
  <si>
    <t>SUNPHARMA</t>
  </si>
  <si>
    <t>Cipla</t>
  </si>
  <si>
    <t>CIPLA</t>
  </si>
  <si>
    <t>Dr. Reddy Labs</t>
  </si>
  <si>
    <t>DRREDDY</t>
  </si>
  <si>
    <t>Lupin</t>
  </si>
  <si>
    <t>LUPIN</t>
  </si>
  <si>
    <t>Mankind Pharma</t>
  </si>
  <si>
    <t>MANKIND</t>
  </si>
  <si>
    <t>Aurobindo Pharma</t>
  </si>
  <si>
    <t>AUROPHARMA</t>
  </si>
  <si>
    <t>High</t>
  </si>
  <si>
    <t>75th Percentile</t>
  </si>
  <si>
    <t>Average</t>
  </si>
  <si>
    <t>Median</t>
  </si>
  <si>
    <t>25th Percentile</t>
  </si>
  <si>
    <t>Low</t>
  </si>
  <si>
    <t>Zydus Lifesciences Valuation</t>
  </si>
  <si>
    <t>Implied Enterprise Value</t>
  </si>
  <si>
    <t>Implied Market Value</t>
  </si>
  <si>
    <t>Shares Outstanding (cr)</t>
  </si>
  <si>
    <t>Implied Value Per Share</t>
  </si>
  <si>
    <t>Sales -</t>
  </si>
  <si>
    <t>Sales Growth %</t>
  </si>
  <si>
    <t>Expenses -</t>
  </si>
  <si>
    <t>Material Cost % -</t>
  </si>
  <si>
    <t>Raw material cost</t>
  </si>
  <si>
    <t>Change in inventory</t>
  </si>
  <si>
    <t>Manufacturing Cost %</t>
  </si>
  <si>
    <t>Employee Cost %</t>
  </si>
  <si>
    <t>Other Cost %</t>
  </si>
  <si>
    <t>Cost of Goods Sold</t>
  </si>
  <si>
    <t>Selling, General, Administrative</t>
  </si>
  <si>
    <t>Operating Profit</t>
  </si>
  <si>
    <t>OPM %</t>
  </si>
  <si>
    <t>Other Income -</t>
  </si>
  <si>
    <t>Exceptional items</t>
  </si>
  <si>
    <t>Other income normal</t>
  </si>
  <si>
    <t>Interest</t>
  </si>
  <si>
    <t>Depreciation</t>
  </si>
  <si>
    <t>Profit before tax</t>
  </si>
  <si>
    <t>Operating Tax</t>
  </si>
  <si>
    <t>Tax %</t>
  </si>
  <si>
    <t>Net Profit -</t>
  </si>
  <si>
    <t>Profit after tax</t>
  </si>
  <si>
    <t>Profit from Associates</t>
  </si>
  <si>
    <t>Reported Net Profit</t>
  </si>
  <si>
    <t>Minority share</t>
  </si>
  <si>
    <t>Profit for EPS</t>
  </si>
  <si>
    <t>Exceptional items AT</t>
  </si>
  <si>
    <t>Profit for PE</t>
  </si>
  <si>
    <t>EPS in Rs</t>
  </si>
  <si>
    <t>Dividend Payout %</t>
  </si>
  <si>
    <t>Equity Capital</t>
  </si>
  <si>
    <t>Reserves</t>
  </si>
  <si>
    <t>TTM</t>
  </si>
  <si>
    <t>Borrowings -</t>
  </si>
  <si>
    <t>Long term Borrowings</t>
  </si>
  <si>
    <t>Short term Borrowings</t>
  </si>
  <si>
    <t>Lease Liabilities</t>
  </si>
  <si>
    <t>Other Borrowings</t>
  </si>
  <si>
    <t>Other Liabilities -</t>
  </si>
  <si>
    <t>Non controlling int</t>
  </si>
  <si>
    <t>Trade Payables</t>
  </si>
  <si>
    <t>Other liability items</t>
  </si>
  <si>
    <t>Total Liabilities</t>
  </si>
  <si>
    <t>Fixed Assets -</t>
  </si>
  <si>
    <t>Land</t>
  </si>
  <si>
    <t>Building</t>
  </si>
  <si>
    <t>Plant Machinery</t>
  </si>
  <si>
    <t>Equipments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</si>
  <si>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</si>
  <si>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</si>
  <si>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</si>
  <si>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</si>
  <si>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</si>
  <si>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</si>
  <si>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</si>
  <si>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Investments</t>
  </si>
  <si>
    <t>Other Assets -</t>
  </si>
  <si>
    <t>Inventories</t>
  </si>
  <si>
    <t>Trade receivables</t>
  </si>
  <si>
    <t>Cash Equivalents</t>
  </si>
  <si>
    <t>Loans n Advances</t>
  </si>
  <si>
    <t>Other asset items</t>
  </si>
  <si>
    <t>Total Assets</t>
  </si>
  <si>
    <t>Cash from Operating Activity -</t>
  </si>
  <si>
    <t>Profit from operations</t>
  </si>
  <si>
    <t>Receivables</t>
  </si>
  <si>
    <t>Inventory</t>
  </si>
  <si>
    <t>Payables</t>
  </si>
  <si>
    <t>Loans Advances</t>
  </si>
  <si>
    <t>Other WC items</t>
  </si>
  <si>
    <t>Working capital changes</t>
  </si>
  <si>
    <t>Direct taxes</t>
  </si>
  <si>
    <t>Other operating items</t>
  </si>
  <si>
    <t>Exceptional CF items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</si>
  <si>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</si>
  <si>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</si>
  <si>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</si>
  <si>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</si>
  <si>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</si>
  <si>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</si>
  <si>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</si>
  <si>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Redemp n Canc of Shares</t>
  </si>
  <si>
    <t>Other investing items</t>
  </si>
  <si>
    <t>Cash from Financing Activity -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</si>
  <si>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</si>
  <si>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</si>
  <si>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</si>
  <si>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</si>
  <si>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</si>
  <si>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</si>
  <si>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</si>
  <si>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Net Cash Flow</t>
  </si>
  <si>
    <t>Qtr</t>
  </si>
  <si>
    <t>YOY Sales Growth %</t>
  </si>
  <si>
    <t>Expenses</t>
  </si>
  <si>
    <t>Other Income</t>
  </si>
  <si>
    <t>S.No.</t>
  </si>
  <si>
    <t>Name</t>
  </si>
  <si>
    <t>CMP Rs.</t>
  </si>
  <si>
    <t>Mar Cap Rs.Cr.</t>
  </si>
  <si>
    <t>Div Yld %</t>
  </si>
  <si>
    <t>NP Qtr Rs.Cr.</t>
  </si>
  <si>
    <t>Qtr Profit Var %</t>
  </si>
  <si>
    <t>Sales Qtr Rs.Cr.</t>
  </si>
  <si>
    <t>Qtr Sales Var %</t>
  </si>
  <si>
    <t>ROCE %</t>
  </si>
  <si>
    <t>Dr Reddy's Labs</t>
  </si>
  <si>
    <t>Zydus Lifesciences</t>
  </si>
  <si>
    <t>Industry</t>
  </si>
  <si>
    <t>Shareholders</t>
  </si>
  <si>
    <t>Promoters</t>
  </si>
  <si>
    <t>FIIs</t>
  </si>
  <si>
    <t>DIIs</t>
  </si>
  <si>
    <t>Government</t>
  </si>
  <si>
    <t>Public</t>
  </si>
  <si>
    <t>No. of Shareholders</t>
  </si>
  <si>
    <t>3,70,396</t>
  </si>
  <si>
    <t>3,06,495</t>
  </si>
  <si>
    <t>3,65,356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</si>
</sst>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;\(#,##0.00\)"/>
    <numFmt numFmtId="165" formatCode="#,##0;\(#,##0\)"/>
    <numFmt numFmtId="166" formatCode="0.0"/>
    <numFmt numFmtId="167" formatCode="0.000%"/>
    <numFmt numFmtId="168" formatCode="#,##0.000;\(#,##0.000\)"/>
    <numFmt numFmtId="169" formatCode="mmm\ yyyy"/>
  </numFmts>
  <fonts count="3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Helvetica Neue"/>
    </font>
    <font>
      <sz val="24"/>
      <color rgb="FFFFFFFF"/>
      <name val="Helvetica Neue"/>
    </font>
    <font>
      <sz val="11"/>
      <color rgb="FFFFFFFF"/>
      <name val="Helvetica Neue"/>
    </font>
    <font>
      <sz val="11"/>
      <color rgb="FF000000"/>
      <name val="Helvetica Neue"/>
    </font>
    <font>
      <b/>
      <sz val="11"/>
      <color rgb="FF000000"/>
      <name val="Helvetica Neue"/>
    </font>
    <font>
      <sz val="21"/>
      <color rgb="FFFFFFFF"/>
      <name val="Helvetica Neue"/>
    </font>
    <font>
      <sz val="10"/>
      <color rgb="FF22222F"/>
      <name val="Helvetica Neue"/>
    </font>
    <font>
      <sz val="10"/>
      <name val="Arial"/>
    </font>
    <font>
      <sz val="15"/>
      <color rgb="FFFFFFFF"/>
      <name val="Helvetica Neue"/>
    </font>
    <font>
      <sz val="13"/>
      <color rgb="FFFFFFFF"/>
      <name val="Helvetica Neue"/>
    </font>
    <font>
      <sz val="18"/>
      <color rgb="FFFFFFFF"/>
      <name val="Helvetica Neue"/>
    </font>
    <font>
      <sz val="14"/>
      <color rgb="FFFFFFFF"/>
      <name val="Helvetica Neue"/>
    </font>
    <font>
      <sz val="11"/>
      <color theme="1"/>
      <name val="Helvetica Neue"/>
    </font>
    <font>
      <b/>
      <sz val="12"/>
      <color rgb="FFFFFFFF"/>
      <name val="Helvetica Neue"/>
    </font>
    <font>
      <sz val="10"/>
      <color rgb="FF000000"/>
      <name val="Helvetica Neue"/>
    </font>
    <font>
      <sz val="12"/>
      <color rgb="FF000000"/>
      <name val="Helvetica Neue"/>
    </font>
    <font>
      <sz val="10"/>
      <color rgb="FF212529"/>
      <name val="Helvetica Neue"/>
    </font>
    <font>
      <sz val="12"/>
      <color rgb="FF0432FF"/>
      <name val="Helvetica Neue"/>
    </font>
    <font>
      <b/>
      <sz val="12"/>
      <color rgb="FF000000"/>
      <name val="Helvetica Neue"/>
    </font>
    <font>
      <sz val="12"/>
      <color rgb="FFFFFFFF"/>
      <name val="Helvetica Neue"/>
    </font>
    <font>
      <b/>
      <sz val="12"/>
      <color rgb="FF0432FF"/>
      <name val="Helvetica Neue"/>
    </font>
    <font>
      <sz val="12"/>
      <color rgb="FFFFFFFF"/>
      <name val="Arial"/>
      <scheme val="minor"/>
    </font>
    <font>
      <sz val="12"/>
      <color rgb="FFFFFFFF"/>
      <name val="Arial"/>
    </font>
    <font>
      <sz val="10"/>
      <color theme="1"/>
      <name val="&quot;Inter var&quot;"/>
    </font>
    <font>
      <sz val="10"/>
      <color rgb="FF22222F"/>
      <name val="&quot;Inter var&quot;"/>
    </font>
    <font>
      <b/>
      <sz val="10"/>
      <color theme="1"/>
      <name val="&quot;Inter var&quot;"/>
    </font>
    <font>
      <sz val="10"/>
      <color rgb="FF22222F"/>
      <name val="Arial"/>
    </font>
    <font>
      <sz val="11"/>
      <color rgb="FF000000"/>
      <name val="Calibri"/>
    </font>
    <font>
      <b/>
      <sz val="10"/>
      <color rgb="FF22222F"/>
      <name val="&quot;Inter var&quot;"/>
    </font>
    <font>
      <sz val="13"/>
      <color rgb="FFFFFFFF"/>
      <name val="Arial"/>
      <scheme val="minor"/>
    </font>
    <font>
      <sz val="13"/>
      <color rgb="FFFFFFFF"/>
      <name val="&quot;Inter var&quot;"/>
    </font>
    <font>
      <sz val="10"/>
      <color theme="1"/>
      <name val="Arial"/>
    </font>
    <font>
      <sz val="10"/>
      <color rgb="FFFFFFFF"/>
      <name val="Helvetica Neue"/>
    </font>
    <font>
      <u/>
      <sz val="10"/>
      <color theme="1"/>
      <name val="Helvetica Neue"/>
    </font>
    <font>
      <u/>
      <sz val="10"/>
      <color rgb="FF000000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rgb="FFB3559F"/>
        <bgColor rgb="FFB3559F"/>
      </patternFill>
    </fill>
    <fill>
      <patternFill patternType="solid">
        <fgColor rgb="FF189EA4"/>
        <bgColor rgb="FF189EA4"/>
      </patternFill>
    </fill>
    <fill>
      <patternFill patternType="solid">
        <fgColor rgb="FF22CBD2"/>
        <bgColor rgb="FF22CBD2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000000"/>
        <bgColor rgb="FF000000"/>
      </patternFill>
    </fill>
    <fill>
      <patternFill patternType="solid">
        <fgColor rgb="FFD9E2F3"/>
        <bgColor rgb="FFD9E2F3"/>
      </patternFill>
    </fill>
    <fill>
      <patternFill patternType="solid">
        <fgColor rgb="FF2A3E68"/>
        <bgColor rgb="FF2A3E68"/>
      </patternFill>
    </fill>
    <fill>
      <patternFill patternType="solid">
        <fgColor rgb="FFEFEFEF"/>
        <bgColor rgb="FFEFEFEF"/>
      </patternFill>
    </fill>
  </fills>
  <borders count="18">
    <border>
      <left/>
      <right/>
      <top/>
      <bottom/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FFFFFF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FFFFFF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293D68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0" fontId="2" fillId="0" borderId="0" xfId="0" applyFont="1"/>
    <xf numFmtId="0" fontId="4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5" fillId="0" borderId="0" xfId="0" applyFont="1"/>
    <xf numFmtId="164" fontId="2" fillId="0" borderId="0" xfId="0" applyNumberFormat="1" applyFont="1"/>
    <xf numFmtId="0" fontId="5" fillId="0" borderId="2" xfId="0" applyFont="1" applyBorder="1"/>
    <xf numFmtId="0" fontId="6" fillId="0" borderId="0" xfId="0" applyFont="1"/>
    <xf numFmtId="164" fontId="2" fillId="0" borderId="3" xfId="0" applyNumberFormat="1" applyFont="1" applyBorder="1"/>
    <xf numFmtId="0" fontId="5" fillId="0" borderId="0" xfId="0" applyFont="1" applyAlignment="1">
      <alignment horizontal="left"/>
    </xf>
    <xf numFmtId="0" fontId="6" fillId="4" borderId="4" xfId="0" applyFont="1" applyFill="1" applyBorder="1"/>
    <xf numFmtId="164" fontId="2" fillId="4" borderId="4" xfId="0" applyNumberFormat="1" applyFont="1" applyFill="1" applyBorder="1"/>
    <xf numFmtId="0" fontId="4" fillId="3" borderId="0" xfId="0" applyFont="1" applyFill="1"/>
    <xf numFmtId="10" fontId="2" fillId="0" borderId="0" xfId="0" applyNumberFormat="1" applyFont="1"/>
    <xf numFmtId="10" fontId="8" fillId="5" borderId="0" xfId="0" applyNumberFormat="1" applyFont="1" applyFill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0" fontId="6" fillId="0" borderId="4" xfId="0" applyFont="1" applyBorder="1"/>
    <xf numFmtId="3" fontId="6" fillId="0" borderId="4" xfId="0" applyNumberFormat="1" applyFont="1" applyBorder="1" applyAlignment="1">
      <alignment horizontal="right"/>
    </xf>
    <xf numFmtId="3" fontId="6" fillId="0" borderId="4" xfId="0" applyNumberFormat="1" applyFont="1" applyBorder="1"/>
    <xf numFmtId="0" fontId="5" fillId="6" borderId="0" xfId="0" applyFont="1" applyFill="1"/>
    <xf numFmtId="10" fontId="5" fillId="6" borderId="0" xfId="0" applyNumberFormat="1" applyFont="1" applyFill="1" applyAlignment="1">
      <alignment horizontal="right"/>
    </xf>
    <xf numFmtId="165" fontId="5" fillId="0" borderId="0" xfId="0" applyNumberFormat="1" applyFont="1"/>
    <xf numFmtId="165" fontId="6" fillId="0" borderId="4" xfId="0" applyNumberFormat="1" applyFont="1" applyBorder="1"/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6" fontId="5" fillId="0" borderId="0" xfId="0" applyNumberFormat="1" applyFont="1"/>
    <xf numFmtId="10" fontId="5" fillId="0" borderId="0" xfId="0" applyNumberFormat="1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164" fontId="6" fillId="0" borderId="4" xfId="0" applyNumberFormat="1" applyFont="1" applyBorder="1"/>
    <xf numFmtId="0" fontId="5" fillId="7" borderId="8" xfId="0" applyFont="1" applyFill="1" applyBorder="1"/>
    <xf numFmtId="0" fontId="5" fillId="7" borderId="0" xfId="0" applyFont="1" applyFill="1"/>
    <xf numFmtId="10" fontId="5" fillId="0" borderId="0" xfId="0" applyNumberFormat="1" applyFont="1" applyAlignment="1">
      <alignment horizontal="right"/>
    </xf>
    <xf numFmtId="10" fontId="5" fillId="8" borderId="0" xfId="0" applyNumberFormat="1" applyFont="1" applyFill="1"/>
    <xf numFmtId="10" fontId="5" fillId="8" borderId="10" xfId="0" applyNumberFormat="1" applyFont="1" applyFill="1" applyBorder="1"/>
    <xf numFmtId="167" fontId="5" fillId="0" borderId="0" xfId="0" applyNumberFormat="1" applyFont="1"/>
    <xf numFmtId="167" fontId="5" fillId="8" borderId="1" xfId="0" applyNumberFormat="1" applyFont="1" applyFill="1" applyBorder="1"/>
    <xf numFmtId="164" fontId="5" fillId="0" borderId="10" xfId="0" applyNumberFormat="1" applyFont="1" applyBorder="1"/>
    <xf numFmtId="167" fontId="5" fillId="8" borderId="0" xfId="0" applyNumberFormat="1" applyFont="1" applyFill="1"/>
    <xf numFmtId="164" fontId="5" fillId="8" borderId="0" xfId="0" applyNumberFormat="1" applyFont="1" applyFill="1"/>
    <xf numFmtId="164" fontId="5" fillId="9" borderId="0" xfId="0" applyNumberFormat="1" applyFont="1" applyFill="1"/>
    <xf numFmtId="167" fontId="5" fillId="8" borderId="2" xfId="0" applyNumberFormat="1" applyFont="1" applyFill="1" applyBorder="1"/>
    <xf numFmtId="164" fontId="5" fillId="0" borderId="2" xfId="0" applyNumberFormat="1" applyFont="1" applyBorder="1"/>
    <xf numFmtId="164" fontId="5" fillId="0" borderId="13" xfId="0" applyNumberFormat="1" applyFont="1" applyBorder="1"/>
    <xf numFmtId="0" fontId="5" fillId="0" borderId="4" xfId="0" applyFont="1" applyBorder="1"/>
    <xf numFmtId="164" fontId="5" fillId="0" borderId="4" xfId="0" applyNumberFormat="1" applyFont="1" applyBorder="1"/>
    <xf numFmtId="168" fontId="5" fillId="0" borderId="4" xfId="0" applyNumberFormat="1" applyFont="1" applyBorder="1"/>
    <xf numFmtId="164" fontId="6" fillId="4" borderId="4" xfId="0" applyNumberFormat="1" applyFont="1" applyFill="1" applyBorder="1"/>
    <xf numFmtId="10" fontId="14" fillId="0" borderId="0" xfId="0" applyNumberFormat="1" applyFont="1" applyAlignment="1">
      <alignment horizontal="right"/>
    </xf>
    <xf numFmtId="167" fontId="6" fillId="0" borderId="4" xfId="0" applyNumberFormat="1" applyFont="1" applyBorder="1"/>
    <xf numFmtId="0" fontId="4" fillId="3" borderId="0" xfId="0" applyFont="1" applyFill="1" applyAlignment="1">
      <alignment horizontal="right"/>
    </xf>
    <xf numFmtId="0" fontId="14" fillId="0" borderId="0" xfId="0" applyFont="1"/>
    <xf numFmtId="10" fontId="14" fillId="0" borderId="0" xfId="0" applyNumberFormat="1" applyFont="1"/>
    <xf numFmtId="10" fontId="14" fillId="8" borderId="0" xfId="0" applyNumberFormat="1" applyFont="1" applyFill="1"/>
    <xf numFmtId="167" fontId="6" fillId="4" borderId="4" xfId="0" applyNumberFormat="1" applyFont="1" applyFill="1" applyBorder="1"/>
    <xf numFmtId="0" fontId="15" fillId="3" borderId="0" xfId="0" applyFont="1" applyFill="1"/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 wrapText="1"/>
    </xf>
    <xf numFmtId="0" fontId="15" fillId="0" borderId="0" xfId="0" applyFont="1" applyAlignment="1">
      <alignment horizontal="center"/>
    </xf>
    <xf numFmtId="0" fontId="16" fillId="8" borderId="4" xfId="0" applyFont="1" applyFill="1" applyBorder="1" applyAlignment="1">
      <alignment horizontal="left"/>
    </xf>
    <xf numFmtId="0" fontId="17" fillId="8" borderId="4" xfId="0" applyFont="1" applyFill="1" applyBorder="1" applyAlignment="1">
      <alignment horizontal="center"/>
    </xf>
    <xf numFmtId="164" fontId="8" fillId="8" borderId="4" xfId="0" applyNumberFormat="1" applyFont="1" applyFill="1" applyBorder="1" applyAlignment="1">
      <alignment horizontal="right"/>
    </xf>
    <xf numFmtId="3" fontId="18" fillId="8" borderId="4" xfId="0" applyNumberFormat="1" applyFont="1" applyFill="1" applyBorder="1" applyAlignment="1">
      <alignment horizontal="right"/>
    </xf>
    <xf numFmtId="164" fontId="19" fillId="8" borderId="4" xfId="0" applyNumberFormat="1" applyFont="1" applyFill="1" applyBorder="1"/>
    <xf numFmtId="0" fontId="17" fillId="8" borderId="4" xfId="0" applyFont="1" applyFill="1" applyBorder="1"/>
    <xf numFmtId="2" fontId="8" fillId="8" borderId="4" xfId="0" applyNumberFormat="1" applyFont="1" applyFill="1" applyBorder="1" applyAlignment="1">
      <alignment horizontal="right"/>
    </xf>
    <xf numFmtId="0" fontId="8" fillId="8" borderId="4" xfId="0" applyFont="1" applyFill="1" applyBorder="1" applyAlignment="1">
      <alignment horizontal="righ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164" fontId="8" fillId="5" borderId="0" xfId="0" applyNumberFormat="1" applyFont="1" applyFill="1" applyAlignment="1">
      <alignment horizontal="right"/>
    </xf>
    <xf numFmtId="3" fontId="18" fillId="0" borderId="0" xfId="0" applyNumberFormat="1" applyFont="1" applyAlignment="1">
      <alignment horizontal="right"/>
    </xf>
    <xf numFmtId="164" fontId="19" fillId="0" borderId="0" xfId="0" applyNumberFormat="1" applyFont="1"/>
    <xf numFmtId="0" fontId="17" fillId="0" borderId="0" xfId="0" applyFont="1"/>
    <xf numFmtId="2" fontId="8" fillId="5" borderId="0" xfId="0" applyNumberFormat="1" applyFont="1" applyFill="1" applyAlignment="1">
      <alignment horizontal="right"/>
    </xf>
    <xf numFmtId="0" fontId="8" fillId="5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164" fontId="17" fillId="0" borderId="0" xfId="0" applyNumberFormat="1" applyFont="1"/>
    <xf numFmtId="0" fontId="17" fillId="8" borderId="0" xfId="0" applyFont="1" applyFill="1"/>
    <xf numFmtId="2" fontId="17" fillId="8" borderId="0" xfId="0" applyNumberFormat="1" applyFont="1" applyFill="1"/>
    <xf numFmtId="0" fontId="20" fillId="8" borderId="0" xfId="0" applyFont="1" applyFill="1"/>
    <xf numFmtId="2" fontId="20" fillId="8" borderId="0" xfId="0" applyNumberFormat="1" applyFont="1" applyFill="1"/>
    <xf numFmtId="0" fontId="21" fillId="3" borderId="0" xfId="0" applyFont="1" applyFill="1" applyAlignment="1">
      <alignment horizontal="center"/>
    </xf>
    <xf numFmtId="0" fontId="19" fillId="0" borderId="0" xfId="0" applyFont="1"/>
    <xf numFmtId="168" fontId="17" fillId="0" borderId="0" xfId="0" applyNumberFormat="1" applyFont="1"/>
    <xf numFmtId="0" fontId="20" fillId="8" borderId="4" xfId="0" applyFont="1" applyFill="1" applyBorder="1"/>
    <xf numFmtId="0" fontId="22" fillId="8" borderId="4" xfId="0" applyFont="1" applyFill="1" applyBorder="1"/>
    <xf numFmtId="164" fontId="20" fillId="8" borderId="4" xfId="0" applyNumberFormat="1" applyFont="1" applyFill="1" applyBorder="1"/>
    <xf numFmtId="0" fontId="8" fillId="0" borderId="0" xfId="0" applyFont="1" applyAlignment="1">
      <alignment horizontal="left"/>
    </xf>
    <xf numFmtId="164" fontId="1" fillId="0" borderId="0" xfId="0" applyNumberFormat="1" applyFont="1"/>
    <xf numFmtId="0" fontId="23" fillId="4" borderId="16" xfId="0" applyFont="1" applyFill="1" applyBorder="1"/>
    <xf numFmtId="164" fontId="24" fillId="4" borderId="3" xfId="0" applyNumberFormat="1" applyFont="1" applyFill="1" applyBorder="1" applyAlignment="1">
      <alignment horizontal="right"/>
    </xf>
    <xf numFmtId="164" fontId="24" fillId="4" borderId="17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25" fillId="8" borderId="8" xfId="0" applyFont="1" applyFill="1" applyBorder="1" applyAlignment="1">
      <alignment horizontal="left"/>
    </xf>
    <xf numFmtId="164" fontId="26" fillId="8" borderId="0" xfId="0" applyNumberFormat="1" applyFont="1" applyFill="1" applyAlignment="1">
      <alignment horizontal="right"/>
    </xf>
    <xf numFmtId="164" fontId="26" fillId="8" borderId="10" xfId="0" applyNumberFormat="1" applyFont="1" applyFill="1" applyBorder="1" applyAlignment="1">
      <alignment horizontal="right"/>
    </xf>
    <xf numFmtId="0" fontId="26" fillId="0" borderId="8" xfId="0" applyFont="1" applyBorder="1" applyAlignment="1">
      <alignment horizontal="left"/>
    </xf>
    <xf numFmtId="10" fontId="26" fillId="5" borderId="0" xfId="0" applyNumberFormat="1" applyFont="1" applyFill="1" applyAlignment="1">
      <alignment horizontal="right"/>
    </xf>
    <xf numFmtId="10" fontId="26" fillId="5" borderId="10" xfId="0" applyNumberFormat="1" applyFont="1" applyFill="1" applyBorder="1" applyAlignment="1">
      <alignment horizontal="right"/>
    </xf>
    <xf numFmtId="0" fontId="27" fillId="8" borderId="8" xfId="0" applyFont="1" applyFill="1" applyBorder="1" applyAlignment="1">
      <alignment horizontal="left"/>
    </xf>
    <xf numFmtId="4" fontId="25" fillId="0" borderId="8" xfId="0" applyNumberFormat="1" applyFont="1" applyBorder="1" applyAlignment="1">
      <alignment horizontal="left"/>
    </xf>
    <xf numFmtId="4" fontId="26" fillId="5" borderId="0" xfId="0" applyNumberFormat="1" applyFont="1" applyFill="1" applyAlignment="1">
      <alignment horizontal="right"/>
    </xf>
    <xf numFmtId="4" fontId="26" fillId="5" borderId="10" xfId="0" applyNumberFormat="1" applyFont="1" applyFill="1" applyBorder="1" applyAlignment="1">
      <alignment horizontal="right"/>
    </xf>
    <xf numFmtId="4" fontId="1" fillId="0" borderId="0" xfId="0" applyNumberFormat="1" applyFont="1"/>
    <xf numFmtId="164" fontId="26" fillId="5" borderId="0" xfId="0" applyNumberFormat="1" applyFont="1" applyFill="1" applyAlignment="1">
      <alignment horizontal="right"/>
    </xf>
    <xf numFmtId="164" fontId="26" fillId="5" borderId="10" xfId="0" applyNumberFormat="1" applyFont="1" applyFill="1" applyBorder="1" applyAlignment="1">
      <alignment horizontal="right"/>
    </xf>
    <xf numFmtId="4" fontId="26" fillId="0" borderId="8" xfId="0" applyNumberFormat="1" applyFont="1" applyBorder="1" applyAlignment="1">
      <alignment horizontal="left"/>
    </xf>
    <xf numFmtId="4" fontId="28" fillId="0" borderId="8" xfId="0" applyNumberFormat="1" applyFont="1" applyBorder="1" applyAlignment="1">
      <alignment horizontal="left"/>
    </xf>
    <xf numFmtId="0" fontId="29" fillId="0" borderId="8" xfId="0" applyFont="1" applyBorder="1"/>
    <xf numFmtId="0" fontId="30" fillId="10" borderId="8" xfId="0" applyFont="1" applyFill="1" applyBorder="1" applyAlignment="1">
      <alignment horizontal="left"/>
    </xf>
    <xf numFmtId="164" fontId="30" fillId="10" borderId="0" xfId="0" applyNumberFormat="1" applyFont="1" applyFill="1" applyAlignment="1">
      <alignment horizontal="right"/>
    </xf>
    <xf numFmtId="164" fontId="30" fillId="10" borderId="10" xfId="0" applyNumberFormat="1" applyFont="1" applyFill="1" applyBorder="1" applyAlignment="1">
      <alignment horizontal="right"/>
    </xf>
    <xf numFmtId="0" fontId="26" fillId="10" borderId="8" xfId="0" applyFont="1" applyFill="1" applyBorder="1" applyAlignment="1">
      <alignment horizontal="left"/>
    </xf>
    <xf numFmtId="164" fontId="26" fillId="10" borderId="0" xfId="0" applyNumberFormat="1" applyFont="1" applyFill="1" applyAlignment="1">
      <alignment horizontal="right"/>
    </xf>
    <xf numFmtId="164" fontId="26" fillId="10" borderId="10" xfId="0" applyNumberFormat="1" applyFont="1" applyFill="1" applyBorder="1" applyAlignment="1">
      <alignment horizontal="right"/>
    </xf>
    <xf numFmtId="0" fontId="30" fillId="0" borderId="8" xfId="0" applyFont="1" applyBorder="1" applyAlignment="1">
      <alignment horizontal="left"/>
    </xf>
    <xf numFmtId="164" fontId="30" fillId="5" borderId="0" xfId="0" applyNumberFormat="1" applyFont="1" applyFill="1" applyAlignment="1">
      <alignment horizontal="right"/>
    </xf>
    <xf numFmtId="164" fontId="30" fillId="5" borderId="10" xfId="0" applyNumberFormat="1" applyFont="1" applyFill="1" applyBorder="1" applyAlignment="1">
      <alignment horizontal="right"/>
    </xf>
    <xf numFmtId="4" fontId="28" fillId="5" borderId="0" xfId="0" applyNumberFormat="1" applyFont="1" applyFill="1" applyAlignment="1">
      <alignment horizontal="right"/>
    </xf>
    <xf numFmtId="164" fontId="30" fillId="8" borderId="0" xfId="0" applyNumberFormat="1" applyFont="1" applyFill="1" applyAlignment="1">
      <alignment horizontal="right"/>
    </xf>
    <xf numFmtId="164" fontId="30" fillId="8" borderId="10" xfId="0" applyNumberFormat="1" applyFont="1" applyFill="1" applyBorder="1" applyAlignment="1">
      <alignment horizontal="right"/>
    </xf>
    <xf numFmtId="4" fontId="26" fillId="0" borderId="12" xfId="0" applyNumberFormat="1" applyFont="1" applyBorder="1" applyAlignment="1">
      <alignment horizontal="left"/>
    </xf>
    <xf numFmtId="4" fontId="26" fillId="5" borderId="2" xfId="0" applyNumberFormat="1" applyFont="1" applyFill="1" applyBorder="1" applyAlignment="1">
      <alignment horizontal="right"/>
    </xf>
    <xf numFmtId="4" fontId="26" fillId="5" borderId="13" xfId="0" applyNumberFormat="1" applyFont="1" applyFill="1" applyBorder="1" applyAlignment="1">
      <alignment horizontal="right"/>
    </xf>
    <xf numFmtId="0" fontId="30" fillId="8" borderId="8" xfId="0" applyFont="1" applyFill="1" applyBorder="1" applyAlignment="1">
      <alignment horizontal="left"/>
    </xf>
    <xf numFmtId="0" fontId="26" fillId="8" borderId="0" xfId="0" applyFont="1" applyFill="1" applyAlignment="1">
      <alignment horizontal="right"/>
    </xf>
    <xf numFmtId="0" fontId="26" fillId="8" borderId="10" xfId="0" applyFont="1" applyFill="1" applyBorder="1" applyAlignment="1">
      <alignment horizontal="right"/>
    </xf>
    <xf numFmtId="3" fontId="26" fillId="5" borderId="0" xfId="0" applyNumberFormat="1" applyFont="1" applyFill="1" applyAlignment="1">
      <alignment horizontal="right"/>
    </xf>
    <xf numFmtId="3" fontId="26" fillId="5" borderId="10" xfId="0" applyNumberFormat="1" applyFont="1" applyFill="1" applyBorder="1" applyAlignment="1">
      <alignment horizontal="right"/>
    </xf>
    <xf numFmtId="0" fontId="26" fillId="5" borderId="0" xfId="0" applyFont="1" applyFill="1" applyAlignment="1">
      <alignment horizontal="right"/>
    </xf>
    <xf numFmtId="0" fontId="27" fillId="10" borderId="8" xfId="0" applyFont="1" applyFill="1" applyBorder="1" applyAlignment="1">
      <alignment horizontal="left"/>
    </xf>
    <xf numFmtId="3" fontId="26" fillId="10" borderId="0" xfId="0" applyNumberFormat="1" applyFont="1" applyFill="1" applyAlignment="1">
      <alignment horizontal="right"/>
    </xf>
    <xf numFmtId="0" fontId="26" fillId="10" borderId="10" xfId="0" applyFont="1" applyFill="1" applyBorder="1" applyAlignment="1">
      <alignment horizontal="right"/>
    </xf>
    <xf numFmtId="0" fontId="26" fillId="5" borderId="10" xfId="0" applyFont="1" applyFill="1" applyBorder="1" applyAlignment="1">
      <alignment horizontal="right"/>
    </xf>
    <xf numFmtId="3" fontId="26" fillId="10" borderId="10" xfId="0" applyNumberFormat="1" applyFont="1" applyFill="1" applyBorder="1" applyAlignment="1">
      <alignment horizontal="right"/>
    </xf>
    <xf numFmtId="3" fontId="26" fillId="8" borderId="0" xfId="0" applyNumberFormat="1" applyFont="1" applyFill="1" applyAlignment="1">
      <alignment horizontal="right"/>
    </xf>
    <xf numFmtId="3" fontId="26" fillId="8" borderId="10" xfId="0" applyNumberFormat="1" applyFont="1" applyFill="1" applyBorder="1" applyAlignment="1">
      <alignment horizontal="right"/>
    </xf>
    <xf numFmtId="0" fontId="30" fillId="8" borderId="12" xfId="0" applyFont="1" applyFill="1" applyBorder="1" applyAlignment="1">
      <alignment horizontal="left"/>
    </xf>
    <xf numFmtId="3" fontId="26" fillId="8" borderId="2" xfId="0" applyNumberFormat="1" applyFont="1" applyFill="1" applyBorder="1" applyAlignment="1">
      <alignment horizontal="right"/>
    </xf>
    <xf numFmtId="3" fontId="26" fillId="8" borderId="13" xfId="0" applyNumberFormat="1" applyFont="1" applyFill="1" applyBorder="1" applyAlignment="1">
      <alignment horizontal="right"/>
    </xf>
    <xf numFmtId="169" fontId="26" fillId="5" borderId="0" xfId="0" applyNumberFormat="1" applyFont="1" applyFill="1" applyAlignment="1">
      <alignment horizontal="right"/>
    </xf>
    <xf numFmtId="0" fontId="2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5" fillId="10" borderId="8" xfId="0" applyFont="1" applyFill="1" applyBorder="1" applyAlignment="1">
      <alignment horizontal="left"/>
    </xf>
    <xf numFmtId="0" fontId="26" fillId="10" borderId="0" xfId="0" applyFont="1" applyFill="1" applyAlignment="1">
      <alignment horizontal="right"/>
    </xf>
    <xf numFmtId="0" fontId="26" fillId="8" borderId="12" xfId="0" applyFont="1" applyFill="1" applyBorder="1" applyAlignment="1">
      <alignment horizontal="left"/>
    </xf>
    <xf numFmtId="0" fontId="26" fillId="8" borderId="2" xfId="0" applyFont="1" applyFill="1" applyBorder="1" applyAlignment="1">
      <alignment horizontal="right"/>
    </xf>
    <xf numFmtId="0" fontId="26" fillId="8" borderId="13" xfId="0" applyFont="1" applyFill="1" applyBorder="1" applyAlignment="1">
      <alignment horizontal="right"/>
    </xf>
    <xf numFmtId="0" fontId="31" fillId="4" borderId="16" xfId="0" applyFont="1" applyFill="1" applyBorder="1"/>
    <xf numFmtId="169" fontId="32" fillId="4" borderId="3" xfId="0" applyNumberFormat="1" applyFont="1" applyFill="1" applyBorder="1" applyAlignment="1">
      <alignment horizontal="right"/>
    </xf>
    <xf numFmtId="169" fontId="32" fillId="4" borderId="17" xfId="0" applyNumberFormat="1" applyFont="1" applyFill="1" applyBorder="1" applyAlignment="1">
      <alignment horizontal="right"/>
    </xf>
    <xf numFmtId="0" fontId="33" fillId="0" borderId="8" xfId="0" applyFont="1" applyBorder="1" applyAlignment="1">
      <alignment horizontal="left"/>
    </xf>
    <xf numFmtId="9" fontId="26" fillId="5" borderId="0" xfId="0" applyNumberFormat="1" applyFont="1" applyFill="1" applyAlignment="1">
      <alignment horizontal="right"/>
    </xf>
    <xf numFmtId="9" fontId="26" fillId="5" borderId="10" xfId="0" applyNumberFormat="1" applyFont="1" applyFill="1" applyBorder="1" applyAlignment="1">
      <alignment horizontal="right"/>
    </xf>
    <xf numFmtId="0" fontId="26" fillId="0" borderId="12" xfId="0" applyFont="1" applyBorder="1" applyAlignment="1">
      <alignment horizontal="left"/>
    </xf>
    <xf numFmtId="0" fontId="26" fillId="5" borderId="2" xfId="0" applyFont="1" applyFill="1" applyBorder="1" applyAlignment="1">
      <alignment horizontal="right"/>
    </xf>
    <xf numFmtId="0" fontId="26" fillId="5" borderId="13" xfId="0" applyFont="1" applyFill="1" applyBorder="1" applyAlignment="1">
      <alignment horizontal="right"/>
    </xf>
    <xf numFmtId="0" fontId="34" fillId="4" borderId="16" xfId="0" applyFont="1" applyFill="1" applyBorder="1" applyAlignment="1">
      <alignment horizontal="left"/>
    </xf>
    <xf numFmtId="0" fontId="34" fillId="4" borderId="3" xfId="0" applyFont="1" applyFill="1" applyBorder="1" applyAlignment="1">
      <alignment horizontal="left"/>
    </xf>
    <xf numFmtId="0" fontId="34" fillId="4" borderId="3" xfId="0" applyFont="1" applyFill="1" applyBorder="1" applyAlignment="1">
      <alignment horizontal="right"/>
    </xf>
    <xf numFmtId="0" fontId="34" fillId="4" borderId="17" xfId="0" applyFont="1" applyFill="1" applyBorder="1" applyAlignment="1">
      <alignment horizontal="right"/>
    </xf>
    <xf numFmtId="0" fontId="8" fillId="0" borderId="8" xfId="0" applyFont="1" applyBorder="1" applyAlignment="1">
      <alignment horizontal="left"/>
    </xf>
    <xf numFmtId="0" fontId="8" fillId="5" borderId="10" xfId="0" applyFont="1" applyFill="1" applyBorder="1" applyAlignment="1">
      <alignment horizontal="right"/>
    </xf>
    <xf numFmtId="0" fontId="35" fillId="0" borderId="0" xfId="0" applyFont="1" applyAlignment="1">
      <alignment horizontal="left"/>
    </xf>
    <xf numFmtId="0" fontId="36" fillId="0" borderId="0" xfId="0" applyFont="1" applyAlignment="1">
      <alignment horizontal="left"/>
    </xf>
    <xf numFmtId="0" fontId="2" fillId="0" borderId="12" xfId="0" applyFont="1" applyBorder="1"/>
    <xf numFmtId="0" fontId="8" fillId="5" borderId="2" xfId="0" applyFont="1" applyFill="1" applyBorder="1"/>
    <xf numFmtId="0" fontId="2" fillId="0" borderId="2" xfId="0" applyFont="1" applyBorder="1"/>
    <xf numFmtId="0" fontId="8" fillId="5" borderId="2" xfId="0" applyFont="1" applyFill="1" applyBorder="1" applyAlignment="1">
      <alignment horizontal="right"/>
    </xf>
    <xf numFmtId="0" fontId="2" fillId="0" borderId="13" xfId="0" applyFont="1" applyBorder="1"/>
    <xf numFmtId="169" fontId="34" fillId="4" borderId="3" xfId="0" applyNumberFormat="1" applyFont="1" applyFill="1" applyBorder="1" applyAlignment="1">
      <alignment horizontal="right"/>
    </xf>
    <xf numFmtId="169" fontId="34" fillId="4" borderId="17" xfId="0" applyNumberFormat="1" applyFont="1" applyFill="1" applyBorder="1" applyAlignment="1">
      <alignment horizontal="right"/>
    </xf>
    <xf numFmtId="0" fontId="2" fillId="0" borderId="8" xfId="0" applyFont="1" applyBorder="1" applyAlignment="1">
      <alignment horizontal="left"/>
    </xf>
    <xf numFmtId="10" fontId="8" fillId="5" borderId="10" xfId="0" applyNumberFormat="1" applyFont="1" applyFill="1" applyBorder="1" applyAlignment="1">
      <alignment horizontal="right"/>
    </xf>
    <xf numFmtId="0" fontId="8" fillId="0" borderId="12" xfId="0" applyFont="1" applyBorder="1" applyAlignment="1">
      <alignment horizontal="left"/>
    </xf>
    <xf numFmtId="0" fontId="8" fillId="5" borderId="13" xfId="0" applyFont="1" applyFill="1" applyBorder="1" applyAlignment="1">
      <alignment horizontal="right"/>
    </xf>
    <xf numFmtId="0" fontId="3" fillId="2" borderId="0" xfId="0" applyFont="1" applyFill="1"/>
    <xf numFmtId="0" fontId="0" fillId="0" borderId="0" xfId="0"/>
    <xf numFmtId="0" fontId="7" fillId="2" borderId="0" xfId="0" applyFont="1" applyFill="1"/>
    <xf numFmtId="0" fontId="6" fillId="0" borderId="4" xfId="0" applyFont="1" applyBorder="1"/>
    <xf numFmtId="0" fontId="9" fillId="0" borderId="4" xfId="0" applyFont="1" applyBorder="1"/>
    <xf numFmtId="0" fontId="10" fillId="2" borderId="0" xfId="0" applyFont="1" applyFill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11" fillId="3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9" xfId="0" applyFont="1" applyBorder="1"/>
    <xf numFmtId="0" fontId="12" fillId="3" borderId="11" xfId="0" applyFont="1" applyFill="1" applyBorder="1" applyAlignment="1">
      <alignment horizontal="center" vertical="center" textRotation="90"/>
    </xf>
    <xf numFmtId="0" fontId="9" fillId="0" borderId="8" xfId="0" applyFont="1" applyBorder="1"/>
    <xf numFmtId="0" fontId="9" fillId="0" borderId="12" xfId="0" applyFont="1" applyBorder="1"/>
    <xf numFmtId="0" fontId="13" fillId="3" borderId="0" xfId="0" applyFont="1" applyFill="1" applyAlignment="1">
      <alignment horizontal="center"/>
    </xf>
    <xf numFmtId="0" fontId="14" fillId="8" borderId="0" xfId="0" applyFont="1" applyFill="1"/>
    <xf numFmtId="0" fontId="3" fillId="2" borderId="14" xfId="0" applyFont="1" applyFill="1" applyBorder="1"/>
    <xf numFmtId="0" fontId="9" fillId="0" borderId="14" xfId="0" applyFont="1" applyBorder="1"/>
    <xf numFmtId="0" fontId="15" fillId="3" borderId="15" xfId="0" applyFont="1" applyFill="1" applyBorder="1" applyAlignment="1">
      <alignment horizontal="center"/>
    </xf>
    <xf numFmtId="0" fontId="9" fillId="0" borderId="15" xfId="0" applyFont="1" applyBorder="1"/>
    <xf numFmtId="0" fontId="12" fillId="3" borderId="0" xfId="0" applyFont="1" applyFill="1"/>
    <xf numFmtId="0" fontId="20" fillId="8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180975</xdr:rowOff>
    </xdr:from>
    <xdr:ext cx="8334375" cy="41719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8200" y="180975"/>
          <a:ext cx="8334375" cy="41719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J23:J32"/>
  <sheetViews>
    <sheetView workbookViewId="0">
      <selection activeCell="K26" sqref="K26"/>
    </sheetView>
  </sheetViews>
  <sheetFormatPr defaultColWidth="12.5703125" defaultRowHeight="15.75" customHeight="1"/>
  <sheetData>
    <row r="23" spans="10:10" ht="15.75" customHeight="1">
      <c r="J23" s="1" t="s">
        <v>0</v>
      </c>
    </row>
    <row r="32" spans="10:10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  <outlinePr summaryBelow="0" summaryRight="0"/>
  </sheetPr>
  <dimension ref="B2:M31"/>
  <sheetViews>
    <sheetView workbookViewId="0">
      <selection activeCell="D15" sqref="D15"/>
    </sheetView>
  </sheetViews>
  <sheetFormatPr defaultColWidth="12.5703125" defaultRowHeight="15.75" customHeight="1"/>
  <cols>
    <col min="2" max="2" width="26.28515625" bestFit="1" customWidth="1"/>
    <col min="3" max="3" width="12.42578125" customWidth="1"/>
  </cols>
  <sheetData>
    <row r="2" spans="2:13">
      <c r="B2" s="91" t="s">
        <v>2</v>
      </c>
      <c r="C2" s="92" t="s">
        <v>3</v>
      </c>
      <c r="D2" s="92" t="s">
        <v>4</v>
      </c>
      <c r="E2" s="92" t="s">
        <v>5</v>
      </c>
      <c r="F2" s="92" t="s">
        <v>6</v>
      </c>
      <c r="G2" s="93" t="s">
        <v>7</v>
      </c>
    </row>
    <row r="3" spans="2:13">
      <c r="B3" s="145" t="s">
        <v>202</v>
      </c>
      <c r="C3" s="133">
        <v>2932</v>
      </c>
      <c r="D3" s="133">
        <v>3294</v>
      </c>
      <c r="E3" s="133">
        <v>2104</v>
      </c>
      <c r="F3" s="133">
        <v>2689</v>
      </c>
      <c r="G3" s="136">
        <v>3228</v>
      </c>
    </row>
    <row r="4" spans="2:13">
      <c r="B4" s="98" t="s">
        <v>203</v>
      </c>
      <c r="C4" s="129">
        <v>2970</v>
      </c>
      <c r="D4" s="129">
        <v>3448</v>
      </c>
      <c r="E4" s="129">
        <v>3115</v>
      </c>
      <c r="F4" s="129">
        <v>3517</v>
      </c>
      <c r="G4" s="130">
        <v>5385</v>
      </c>
      <c r="I4" s="94"/>
      <c r="J4" s="94"/>
      <c r="K4" s="94"/>
      <c r="L4" s="94"/>
      <c r="M4" s="94"/>
    </row>
    <row r="5" spans="2:13">
      <c r="B5" s="98" t="s">
        <v>204</v>
      </c>
      <c r="C5" s="131">
        <v>564</v>
      </c>
      <c r="D5" s="131">
        <v>431</v>
      </c>
      <c r="E5" s="131">
        <v>-182</v>
      </c>
      <c r="F5" s="131">
        <v>-848</v>
      </c>
      <c r="G5" s="135">
        <v>-747</v>
      </c>
    </row>
    <row r="6" spans="2:13">
      <c r="B6" s="98" t="s">
        <v>205</v>
      </c>
      <c r="C6" s="131">
        <v>-2</v>
      </c>
      <c r="D6" s="131">
        <v>-480</v>
      </c>
      <c r="E6" s="131">
        <v>-526</v>
      </c>
      <c r="F6" s="131">
        <v>441</v>
      </c>
      <c r="G6" s="135">
        <v>-2</v>
      </c>
    </row>
    <row r="7" spans="2:13">
      <c r="B7" s="98" t="s">
        <v>206</v>
      </c>
      <c r="C7" s="131">
        <v>-116</v>
      </c>
      <c r="D7" s="131">
        <v>171</v>
      </c>
      <c r="E7" s="131">
        <v>-120</v>
      </c>
      <c r="F7" s="131">
        <v>-171</v>
      </c>
      <c r="G7" s="135">
        <v>-45</v>
      </c>
    </row>
    <row r="8" spans="2:13">
      <c r="B8" s="98" t="s">
        <v>207</v>
      </c>
      <c r="C8" s="131">
        <v>0</v>
      </c>
      <c r="D8" s="131">
        <v>0</v>
      </c>
      <c r="E8" s="131">
        <v>0</v>
      </c>
      <c r="F8" s="131">
        <v>0</v>
      </c>
      <c r="G8" s="135">
        <v>0</v>
      </c>
    </row>
    <row r="9" spans="2:13">
      <c r="B9" s="98" t="s">
        <v>208</v>
      </c>
      <c r="C9" s="131">
        <v>-182</v>
      </c>
      <c r="D9" s="131">
        <v>69</v>
      </c>
      <c r="E9" s="131">
        <v>492</v>
      </c>
      <c r="F9" s="131">
        <v>343</v>
      </c>
      <c r="G9" s="135">
        <v>-77</v>
      </c>
    </row>
    <row r="10" spans="2:13">
      <c r="B10" s="98" t="s">
        <v>209</v>
      </c>
      <c r="C10" s="131">
        <v>264</v>
      </c>
      <c r="D10" s="131">
        <v>191</v>
      </c>
      <c r="E10" s="131">
        <v>-336</v>
      </c>
      <c r="F10" s="131">
        <v>-236</v>
      </c>
      <c r="G10" s="135">
        <v>-871</v>
      </c>
    </row>
    <row r="11" spans="2:13">
      <c r="B11" s="98" t="s">
        <v>210</v>
      </c>
      <c r="C11" s="131">
        <v>-302</v>
      </c>
      <c r="D11" s="131">
        <v>-345</v>
      </c>
      <c r="E11" s="131">
        <v>-675</v>
      </c>
      <c r="F11" s="131">
        <v>-592</v>
      </c>
      <c r="G11" s="130">
        <v>-1286</v>
      </c>
    </row>
    <row r="12" spans="2:13">
      <c r="B12" s="98" t="s">
        <v>211</v>
      </c>
      <c r="C12" s="131">
        <v>0</v>
      </c>
      <c r="D12" s="131">
        <v>0</v>
      </c>
      <c r="E12" s="131">
        <v>0</v>
      </c>
      <c r="F12" s="131">
        <v>0</v>
      </c>
      <c r="G12" s="135">
        <v>0</v>
      </c>
    </row>
    <row r="13" spans="2:13">
      <c r="B13" s="98" t="s">
        <v>212</v>
      </c>
      <c r="C13" s="131">
        <v>0</v>
      </c>
      <c r="D13" s="131">
        <v>0</v>
      </c>
      <c r="E13" s="131">
        <v>0</v>
      </c>
      <c r="F13" s="131">
        <v>0</v>
      </c>
      <c r="G13" s="135">
        <v>0</v>
      </c>
    </row>
    <row r="14" spans="2:13">
      <c r="B14" s="145" t="s">
        <v>213</v>
      </c>
      <c r="C14" s="133">
        <v>-1004</v>
      </c>
      <c r="D14" s="146">
        <v>-837</v>
      </c>
      <c r="E14" s="133">
        <v>-1018</v>
      </c>
      <c r="F14" s="133">
        <v>1542</v>
      </c>
      <c r="G14" s="136">
        <v>-1492</v>
      </c>
    </row>
    <row r="15" spans="2:13">
      <c r="B15" s="98" t="s">
        <v>214</v>
      </c>
      <c r="C15" s="131">
        <v>-904</v>
      </c>
      <c r="D15" s="131">
        <v>-854</v>
      </c>
      <c r="E15" s="129">
        <v>-1203</v>
      </c>
      <c r="F15" s="129">
        <v>-1031</v>
      </c>
      <c r="G15" s="135">
        <v>-907</v>
      </c>
    </row>
    <row r="16" spans="2:13">
      <c r="B16" s="98" t="s">
        <v>215</v>
      </c>
      <c r="C16" s="131">
        <v>15</v>
      </c>
      <c r="D16" s="131">
        <v>7</v>
      </c>
      <c r="E16" s="131">
        <v>148</v>
      </c>
      <c r="F16" s="131">
        <v>39</v>
      </c>
      <c r="G16" s="135">
        <v>24</v>
      </c>
    </row>
    <row r="17" spans="2:7">
      <c r="B17" s="98" t="s">
        <v>216</v>
      </c>
      <c r="C17" s="131">
        <v>-185</v>
      </c>
      <c r="D17" s="131">
        <v>-40</v>
      </c>
      <c r="E17" s="129">
        <v>-2350</v>
      </c>
      <c r="F17" s="131">
        <v>-10</v>
      </c>
      <c r="G17" s="135">
        <v>-107</v>
      </c>
    </row>
    <row r="18" spans="2:7">
      <c r="B18" s="98" t="s">
        <v>217</v>
      </c>
      <c r="C18" s="131">
        <v>28</v>
      </c>
      <c r="D18" s="131">
        <v>10</v>
      </c>
      <c r="E18" s="131">
        <v>0</v>
      </c>
      <c r="F18" s="129">
        <v>1795</v>
      </c>
      <c r="G18" s="135">
        <v>408</v>
      </c>
    </row>
    <row r="19" spans="2:7">
      <c r="B19" s="98" t="s">
        <v>218</v>
      </c>
      <c r="C19" s="131">
        <v>32</v>
      </c>
      <c r="D19" s="131">
        <v>48</v>
      </c>
      <c r="E19" s="131">
        <v>58</v>
      </c>
      <c r="F19" s="131">
        <v>76</v>
      </c>
      <c r="G19" s="135">
        <v>127</v>
      </c>
    </row>
    <row r="20" spans="2:7">
      <c r="B20" s="98" t="s">
        <v>219</v>
      </c>
      <c r="C20" s="131">
        <v>0</v>
      </c>
      <c r="D20" s="131">
        <v>0</v>
      </c>
      <c r="E20" s="131">
        <v>1</v>
      </c>
      <c r="F20" s="131">
        <v>1</v>
      </c>
      <c r="G20" s="135">
        <v>1</v>
      </c>
    </row>
    <row r="21" spans="2:7">
      <c r="B21" s="98" t="s">
        <v>220</v>
      </c>
      <c r="C21" s="131">
        <v>0</v>
      </c>
      <c r="D21" s="131">
        <v>104</v>
      </c>
      <c r="E21" s="131">
        <v>0</v>
      </c>
      <c r="F21" s="131">
        <v>40</v>
      </c>
      <c r="G21" s="135">
        <v>55</v>
      </c>
    </row>
    <row r="22" spans="2:7">
      <c r="B22" s="98" t="s">
        <v>221</v>
      </c>
      <c r="C22" s="131">
        <v>8</v>
      </c>
      <c r="D22" s="131">
        <v>-112</v>
      </c>
      <c r="E22" s="129">
        <v>2327</v>
      </c>
      <c r="F22" s="131">
        <v>631</v>
      </c>
      <c r="G22" s="130">
        <v>-1094</v>
      </c>
    </row>
    <row r="23" spans="2:7">
      <c r="B23" s="145" t="s">
        <v>222</v>
      </c>
      <c r="C23" s="133">
        <v>-1528</v>
      </c>
      <c r="D23" s="133">
        <v>-2548</v>
      </c>
      <c r="E23" s="146">
        <v>-868</v>
      </c>
      <c r="F23" s="133">
        <v>-4400</v>
      </c>
      <c r="G23" s="136">
        <v>-1810</v>
      </c>
    </row>
    <row r="24" spans="2:7">
      <c r="B24" s="98" t="s">
        <v>223</v>
      </c>
      <c r="C24" s="131">
        <v>0</v>
      </c>
      <c r="D24" s="131">
        <v>987</v>
      </c>
      <c r="E24" s="131">
        <v>0</v>
      </c>
      <c r="F24" s="131">
        <v>0</v>
      </c>
      <c r="G24" s="135">
        <v>0</v>
      </c>
    </row>
    <row r="25" spans="2:7">
      <c r="B25" s="98" t="s">
        <v>224</v>
      </c>
      <c r="C25" s="131">
        <v>437</v>
      </c>
      <c r="D25" s="131">
        <v>0</v>
      </c>
      <c r="E25" s="129">
        <v>1037</v>
      </c>
      <c r="F25" s="131">
        <v>158</v>
      </c>
      <c r="G25" s="135">
        <v>1</v>
      </c>
    </row>
    <row r="26" spans="2:7">
      <c r="B26" s="98" t="s">
        <v>225</v>
      </c>
      <c r="C26" s="131">
        <v>-786</v>
      </c>
      <c r="D26" s="129">
        <v>-3211</v>
      </c>
      <c r="E26" s="129">
        <v>-1421</v>
      </c>
      <c r="F26" s="129">
        <v>-3302</v>
      </c>
      <c r="G26" s="135">
        <v>-393</v>
      </c>
    </row>
    <row r="27" spans="2:7">
      <c r="B27" s="98" t="s">
        <v>226</v>
      </c>
      <c r="C27" s="131">
        <v>-324</v>
      </c>
      <c r="D27" s="131">
        <v>-184</v>
      </c>
      <c r="E27" s="131">
        <v>-111</v>
      </c>
      <c r="F27" s="131">
        <v>-126</v>
      </c>
      <c r="G27" s="135">
        <v>-73</v>
      </c>
    </row>
    <row r="28" spans="2:7">
      <c r="B28" s="98" t="s">
        <v>227</v>
      </c>
      <c r="C28" s="131">
        <v>-715</v>
      </c>
      <c r="D28" s="131">
        <v>-2</v>
      </c>
      <c r="E28" s="131">
        <v>-372</v>
      </c>
      <c r="F28" s="131">
        <v>-267</v>
      </c>
      <c r="G28" s="135">
        <v>-621</v>
      </c>
    </row>
    <row r="29" spans="2:7">
      <c r="B29" s="98" t="s">
        <v>228</v>
      </c>
      <c r="C29" s="131">
        <v>0</v>
      </c>
      <c r="D29" s="131">
        <v>-6</v>
      </c>
      <c r="E29" s="131">
        <v>-1</v>
      </c>
      <c r="F29" s="131">
        <v>0</v>
      </c>
      <c r="G29" s="135">
        <v>0</v>
      </c>
    </row>
    <row r="30" spans="2:7">
      <c r="B30" s="98" t="s">
        <v>229</v>
      </c>
      <c r="C30" s="131">
        <v>-140</v>
      </c>
      <c r="D30" s="131">
        <v>-132</v>
      </c>
      <c r="E30" s="131">
        <v>0</v>
      </c>
      <c r="F30" s="131">
        <v>-863</v>
      </c>
      <c r="G30" s="135">
        <v>-725</v>
      </c>
    </row>
    <row r="31" spans="2:7">
      <c r="B31" s="147" t="s">
        <v>230</v>
      </c>
      <c r="C31" s="148">
        <v>399</v>
      </c>
      <c r="D31" s="148">
        <v>-90</v>
      </c>
      <c r="E31" s="148">
        <v>219</v>
      </c>
      <c r="F31" s="148">
        <v>-170</v>
      </c>
      <c r="G31" s="149">
        <v>-75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  <outlinePr summaryBelow="0" summaryRight="0"/>
  </sheetPr>
  <dimension ref="B2:G15"/>
  <sheetViews>
    <sheetView workbookViewId="0"/>
  </sheetViews>
  <sheetFormatPr defaultColWidth="12.5703125" defaultRowHeight="15.75" customHeight="1"/>
  <cols>
    <col min="2" max="2" width="19.28515625" bestFit="1" customWidth="1"/>
  </cols>
  <sheetData>
    <row r="2" spans="2:7" ht="15.75" customHeight="1">
      <c r="B2" s="150" t="s">
        <v>231</v>
      </c>
      <c r="C2" s="151">
        <v>45261</v>
      </c>
      <c r="D2" s="151">
        <v>45352</v>
      </c>
      <c r="E2" s="151">
        <v>45444</v>
      </c>
      <c r="F2" s="152">
        <v>45536</v>
      </c>
    </row>
    <row r="3" spans="2:7">
      <c r="B3" s="153" t="s">
        <v>107</v>
      </c>
      <c r="C3" s="129">
        <v>4505</v>
      </c>
      <c r="D3" s="129">
        <v>5534</v>
      </c>
      <c r="E3" s="129">
        <v>6208</v>
      </c>
      <c r="F3" s="130">
        <v>5237</v>
      </c>
      <c r="G3" s="142"/>
    </row>
    <row r="4" spans="2:7">
      <c r="B4" s="98" t="s">
        <v>232</v>
      </c>
      <c r="C4" s="99">
        <v>5.8299999999999998E-2</v>
      </c>
      <c r="D4" s="99">
        <v>0.10440000000000001</v>
      </c>
      <c r="E4" s="99">
        <v>0.20780000000000001</v>
      </c>
      <c r="F4" s="100">
        <v>0.19869999999999999</v>
      </c>
      <c r="G4" s="129"/>
    </row>
    <row r="5" spans="2:7">
      <c r="B5" s="153" t="s">
        <v>233</v>
      </c>
      <c r="C5" s="129">
        <v>3403</v>
      </c>
      <c r="D5" s="129">
        <v>3903</v>
      </c>
      <c r="E5" s="129">
        <v>4124</v>
      </c>
      <c r="F5" s="130">
        <v>3776</v>
      </c>
      <c r="G5" s="99"/>
    </row>
    <row r="6" spans="2:7">
      <c r="B6" s="98" t="s">
        <v>149</v>
      </c>
      <c r="C6" s="129">
        <v>1102</v>
      </c>
      <c r="D6" s="129">
        <v>1630</v>
      </c>
      <c r="E6" s="129">
        <v>2084</v>
      </c>
      <c r="F6" s="130">
        <v>1461</v>
      </c>
      <c r="G6" s="129"/>
    </row>
    <row r="7" spans="2:7">
      <c r="B7" s="98" t="s">
        <v>150</v>
      </c>
      <c r="C7" s="154">
        <v>0.24</v>
      </c>
      <c r="D7" s="154">
        <v>0.28999999999999998</v>
      </c>
      <c r="E7" s="154">
        <v>0.34</v>
      </c>
      <c r="F7" s="155">
        <v>0.28000000000000003</v>
      </c>
      <c r="G7" s="129"/>
    </row>
    <row r="8" spans="2:7">
      <c r="B8" s="153" t="s">
        <v>234</v>
      </c>
      <c r="C8" s="131">
        <v>60</v>
      </c>
      <c r="D8" s="131">
        <v>160</v>
      </c>
      <c r="E8" s="131">
        <v>63</v>
      </c>
      <c r="F8" s="135">
        <v>68</v>
      </c>
      <c r="G8" s="154"/>
    </row>
    <row r="9" spans="2:7">
      <c r="B9" s="98" t="s">
        <v>154</v>
      </c>
      <c r="C9" s="131">
        <v>20</v>
      </c>
      <c r="D9" s="131">
        <v>35</v>
      </c>
      <c r="E9" s="131">
        <v>32</v>
      </c>
      <c r="F9" s="135">
        <v>25</v>
      </c>
      <c r="G9" s="131"/>
    </row>
    <row r="10" spans="2:7">
      <c r="B10" s="98" t="s">
        <v>155</v>
      </c>
      <c r="C10" s="131">
        <v>195</v>
      </c>
      <c r="D10" s="131">
        <v>205</v>
      </c>
      <c r="E10" s="131">
        <v>215</v>
      </c>
      <c r="F10" s="135">
        <v>234</v>
      </c>
      <c r="G10" s="131"/>
    </row>
    <row r="11" spans="2:7">
      <c r="B11" s="98" t="s">
        <v>156</v>
      </c>
      <c r="C11" s="131">
        <v>947</v>
      </c>
      <c r="D11" s="129">
        <v>1550</v>
      </c>
      <c r="E11" s="129">
        <v>1900</v>
      </c>
      <c r="F11" s="130">
        <v>1271</v>
      </c>
      <c r="G11" s="131"/>
    </row>
    <row r="12" spans="2:7">
      <c r="B12" s="98" t="s">
        <v>158</v>
      </c>
      <c r="C12" s="154">
        <v>0.23</v>
      </c>
      <c r="D12" s="154">
        <v>0.21</v>
      </c>
      <c r="E12" s="154">
        <v>0.23</v>
      </c>
      <c r="F12" s="155">
        <v>0.28999999999999998</v>
      </c>
      <c r="G12" s="129"/>
    </row>
    <row r="13" spans="2:7">
      <c r="B13" s="153" t="s">
        <v>109</v>
      </c>
      <c r="C13" s="131">
        <v>790</v>
      </c>
      <c r="D13" s="129">
        <v>1246</v>
      </c>
      <c r="E13" s="129">
        <v>1482</v>
      </c>
      <c r="F13" s="135">
        <v>920</v>
      </c>
      <c r="G13" s="154"/>
    </row>
    <row r="14" spans="2:7">
      <c r="B14" s="156" t="s">
        <v>167</v>
      </c>
      <c r="C14" s="157">
        <v>7.8</v>
      </c>
      <c r="D14" s="157">
        <v>11.75</v>
      </c>
      <c r="E14" s="157">
        <v>14.11</v>
      </c>
      <c r="F14" s="158">
        <v>9.06</v>
      </c>
      <c r="G14" s="129"/>
    </row>
    <row r="15" spans="2:7">
      <c r="G15" s="13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  <outlinePr summaryBelow="0" summaryRight="0"/>
  </sheetPr>
  <dimension ref="B2:M10"/>
  <sheetViews>
    <sheetView workbookViewId="0"/>
  </sheetViews>
  <sheetFormatPr defaultColWidth="12.5703125" defaultRowHeight="15.75" customHeight="1"/>
  <cols>
    <col min="3" max="3" width="17" bestFit="1" customWidth="1"/>
    <col min="6" max="6" width="17.85546875" customWidth="1"/>
    <col min="9" max="9" width="12.42578125" customWidth="1"/>
    <col min="10" max="10" width="13" customWidth="1"/>
  </cols>
  <sheetData>
    <row r="2" spans="2:13">
      <c r="B2" s="159" t="s">
        <v>235</v>
      </c>
      <c r="C2" s="160" t="s">
        <v>236</v>
      </c>
      <c r="D2" s="161" t="s">
        <v>237</v>
      </c>
      <c r="E2" s="161" t="s">
        <v>112</v>
      </c>
      <c r="F2" s="161" t="s">
        <v>238</v>
      </c>
      <c r="G2" s="161" t="s">
        <v>239</v>
      </c>
      <c r="H2" s="161" t="s">
        <v>240</v>
      </c>
      <c r="I2" s="161" t="s">
        <v>241</v>
      </c>
      <c r="J2" s="161" t="s">
        <v>242</v>
      </c>
      <c r="K2" s="161" t="s">
        <v>243</v>
      </c>
      <c r="L2" s="162" t="s">
        <v>244</v>
      </c>
    </row>
    <row r="3" spans="2:13">
      <c r="B3" s="163">
        <v>1</v>
      </c>
      <c r="C3" s="69" t="s">
        <v>115</v>
      </c>
      <c r="D3" s="76">
        <v>1705</v>
      </c>
      <c r="E3" s="76">
        <v>34.68</v>
      </c>
      <c r="F3" s="76">
        <v>408989.43</v>
      </c>
      <c r="G3" s="76">
        <v>0.79</v>
      </c>
      <c r="H3" s="76">
        <v>2912.98</v>
      </c>
      <c r="I3" s="76">
        <v>22.66</v>
      </c>
      <c r="J3" s="76">
        <v>13675.46</v>
      </c>
      <c r="K3" s="76">
        <v>10.46</v>
      </c>
      <c r="L3" s="164">
        <v>17.32</v>
      </c>
      <c r="M3" s="131"/>
    </row>
    <row r="4" spans="2:13">
      <c r="B4" s="163">
        <v>2</v>
      </c>
      <c r="C4" s="77" t="s">
        <v>117</v>
      </c>
      <c r="D4" s="76">
        <v>1493.05</v>
      </c>
      <c r="E4" s="76">
        <v>24.22</v>
      </c>
      <c r="F4" s="76">
        <v>120605.7</v>
      </c>
      <c r="G4" s="76">
        <v>0.87</v>
      </c>
      <c r="H4" s="76">
        <v>1574.59</v>
      </c>
      <c r="I4" s="76">
        <v>31.37</v>
      </c>
      <c r="J4" s="76">
        <v>7072.97</v>
      </c>
      <c r="K4" s="76">
        <v>7.1</v>
      </c>
      <c r="L4" s="164">
        <v>22.8</v>
      </c>
      <c r="M4" s="131"/>
    </row>
    <row r="5" spans="2:13">
      <c r="B5" s="163">
        <v>3</v>
      </c>
      <c r="C5" s="77" t="s">
        <v>245</v>
      </c>
      <c r="D5" s="76">
        <v>1149.7</v>
      </c>
      <c r="E5" s="76">
        <v>17.89</v>
      </c>
      <c r="F5" s="76">
        <v>95944.71</v>
      </c>
      <c r="G5" s="76">
        <v>0.7</v>
      </c>
      <c r="H5" s="76">
        <v>1404.2</v>
      </c>
      <c r="I5" s="76">
        <v>1.69</v>
      </c>
      <c r="J5" s="76">
        <v>8381.2000000000007</v>
      </c>
      <c r="K5" s="76">
        <v>15.81</v>
      </c>
      <c r="L5" s="164">
        <v>26.53</v>
      </c>
      <c r="M5" s="131"/>
    </row>
    <row r="6" spans="2:13">
      <c r="B6" s="163">
        <v>4</v>
      </c>
      <c r="C6" s="165" t="s">
        <v>121</v>
      </c>
      <c r="D6" s="76">
        <v>1987.1</v>
      </c>
      <c r="E6" s="76">
        <v>31.61</v>
      </c>
      <c r="F6" s="76">
        <v>90691.61</v>
      </c>
      <c r="G6" s="76">
        <v>0.4</v>
      </c>
      <c r="H6" s="76">
        <v>858.86</v>
      </c>
      <c r="I6" s="76">
        <v>39.479999999999997</v>
      </c>
      <c r="J6" s="76">
        <v>5767.71</v>
      </c>
      <c r="K6" s="76">
        <v>10.97</v>
      </c>
      <c r="L6" s="164">
        <v>15.72</v>
      </c>
      <c r="M6" s="131"/>
    </row>
    <row r="7" spans="2:13">
      <c r="B7" s="163">
        <v>5</v>
      </c>
      <c r="C7" s="166" t="s">
        <v>246</v>
      </c>
      <c r="D7" s="76">
        <v>893.3</v>
      </c>
      <c r="E7" s="76">
        <v>19.829999999999998</v>
      </c>
      <c r="F7" s="76">
        <v>89942.89</v>
      </c>
      <c r="G7" s="76">
        <v>0.34</v>
      </c>
      <c r="H7" s="76">
        <v>1026.2</v>
      </c>
      <c r="I7" s="76">
        <v>33.340000000000003</v>
      </c>
      <c r="J7" s="76">
        <v>5269.1</v>
      </c>
      <c r="K7" s="76">
        <v>16.96</v>
      </c>
      <c r="L7" s="164">
        <v>22.34</v>
      </c>
      <c r="M7" s="131"/>
    </row>
    <row r="8" spans="2:13">
      <c r="B8" s="163">
        <v>6</v>
      </c>
      <c r="C8" s="77" t="s">
        <v>123</v>
      </c>
      <c r="D8" s="76">
        <v>2169</v>
      </c>
      <c r="E8" s="76">
        <v>46.28</v>
      </c>
      <c r="F8" s="76">
        <v>89490.32</v>
      </c>
      <c r="G8" s="76">
        <v>0</v>
      </c>
      <c r="H8" s="76">
        <v>416.38</v>
      </c>
      <c r="I8" s="76">
        <v>-10.01</v>
      </c>
      <c r="J8" s="76">
        <v>2396.5700000000002</v>
      </c>
      <c r="K8" s="76">
        <v>8.48</v>
      </c>
      <c r="L8" s="164">
        <v>24.57</v>
      </c>
      <c r="M8" s="131"/>
    </row>
    <row r="9" spans="2:13">
      <c r="B9" s="163">
        <v>7</v>
      </c>
      <c r="C9" s="77" t="s">
        <v>125</v>
      </c>
      <c r="D9" s="76">
        <v>1117.3499999999999</v>
      </c>
      <c r="E9" s="76">
        <v>18.420000000000002</v>
      </c>
      <c r="F9" s="76">
        <v>65475.839999999997</v>
      </c>
      <c r="G9" s="76">
        <v>0.4</v>
      </c>
      <c r="H9" s="76">
        <v>845.57</v>
      </c>
      <c r="I9" s="76">
        <v>-9.69</v>
      </c>
      <c r="J9" s="76">
        <v>7978.52</v>
      </c>
      <c r="K9" s="76">
        <v>8.5299999999999994</v>
      </c>
      <c r="L9" s="164">
        <v>14.1</v>
      </c>
      <c r="M9" s="131"/>
    </row>
    <row r="10" spans="2:13">
      <c r="B10" s="167"/>
      <c r="C10" s="168" t="s">
        <v>247</v>
      </c>
      <c r="D10" s="169"/>
      <c r="E10" s="170">
        <v>45.24</v>
      </c>
      <c r="F10" s="169"/>
      <c r="G10" s="169"/>
      <c r="H10" s="169"/>
      <c r="I10" s="169"/>
      <c r="J10" s="169"/>
      <c r="K10" s="169"/>
      <c r="L10" s="171"/>
      <c r="M10" s="13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  <outlinePr summaryBelow="0" summaryRight="0"/>
  </sheetPr>
  <dimension ref="B2:N10"/>
  <sheetViews>
    <sheetView tabSelected="1" workbookViewId="0">
      <selection activeCell="F4" sqref="F4:G11"/>
    </sheetView>
  </sheetViews>
  <sheetFormatPr defaultColWidth="12.5703125" defaultRowHeight="15.75" customHeight="1"/>
  <cols>
    <col min="2" max="2" width="17.5703125" bestFit="1" customWidth="1"/>
  </cols>
  <sheetData>
    <row r="2" spans="2:14">
      <c r="B2" s="159" t="s">
        <v>248</v>
      </c>
      <c r="C2" s="172">
        <v>44896</v>
      </c>
      <c r="D2" s="172">
        <v>45261</v>
      </c>
      <c r="E2" s="173">
        <v>45627</v>
      </c>
    </row>
    <row r="3" spans="2:14">
      <c r="B3" s="174" t="s">
        <v>249</v>
      </c>
      <c r="C3" s="15">
        <v>0.74980000000000002</v>
      </c>
      <c r="D3" s="15">
        <v>0.74980000000000002</v>
      </c>
      <c r="E3" s="175">
        <v>0.74980000000000002</v>
      </c>
    </row>
    <row r="4" spans="2:14">
      <c r="B4" s="174" t="s">
        <v>250</v>
      </c>
      <c r="C4" s="15">
        <v>2.52E-2</v>
      </c>
      <c r="D4" s="15">
        <v>4.99E-2</v>
      </c>
      <c r="E4" s="175">
        <v>7.5300000000000006E-2</v>
      </c>
      <c r="F4" s="142"/>
      <c r="G4" s="142"/>
      <c r="I4" s="142"/>
      <c r="J4" s="142"/>
      <c r="K4" s="142"/>
      <c r="L4" s="142"/>
      <c r="M4" s="142"/>
      <c r="N4" s="142"/>
    </row>
    <row r="5" spans="2:14">
      <c r="B5" s="174" t="s">
        <v>251</v>
      </c>
      <c r="C5" s="15">
        <v>0.1361</v>
      </c>
      <c r="D5" s="15">
        <v>0.12959999999999999</v>
      </c>
      <c r="E5" s="175">
        <v>0.1061</v>
      </c>
      <c r="F5" s="99"/>
      <c r="G5" s="99"/>
      <c r="I5" s="99"/>
      <c r="J5" s="99"/>
      <c r="K5" s="99"/>
      <c r="L5" s="99"/>
      <c r="M5" s="99"/>
      <c r="N5" s="99"/>
    </row>
    <row r="6" spans="2:14">
      <c r="B6" s="174" t="s">
        <v>252</v>
      </c>
      <c r="C6" s="15">
        <v>6.9999999999999999E-4</v>
      </c>
      <c r="D6" s="15">
        <v>6.9999999999999999E-4</v>
      </c>
      <c r="E6" s="175">
        <v>5.0000000000000001E-4</v>
      </c>
      <c r="F6" s="99"/>
      <c r="G6" s="99"/>
      <c r="I6" s="99"/>
      <c r="J6" s="99"/>
      <c r="K6" s="99"/>
      <c r="L6" s="99"/>
      <c r="M6" s="99"/>
      <c r="N6" s="99"/>
    </row>
    <row r="7" spans="2:14">
      <c r="B7" s="174" t="s">
        <v>253</v>
      </c>
      <c r="C7" s="15">
        <v>8.8099999999999998E-2</v>
      </c>
      <c r="D7" s="15">
        <v>6.9900000000000004E-2</v>
      </c>
      <c r="E7" s="175">
        <v>6.8500000000000005E-2</v>
      </c>
      <c r="F7" s="99"/>
      <c r="G7" s="99"/>
      <c r="I7" s="99"/>
      <c r="J7" s="99"/>
      <c r="K7" s="99"/>
      <c r="L7" s="99"/>
      <c r="M7" s="99"/>
      <c r="N7" s="99"/>
    </row>
    <row r="8" spans="2:14">
      <c r="B8" s="176" t="s">
        <v>254</v>
      </c>
      <c r="C8" s="170" t="s">
        <v>255</v>
      </c>
      <c r="D8" s="170" t="s">
        <v>256</v>
      </c>
      <c r="E8" s="177" t="s">
        <v>257</v>
      </c>
      <c r="F8" s="99"/>
      <c r="G8" s="99"/>
      <c r="I8" s="99"/>
      <c r="J8" s="99"/>
      <c r="K8" s="99"/>
      <c r="L8" s="99"/>
      <c r="M8" s="99"/>
      <c r="N8" s="99"/>
    </row>
    <row r="9" spans="2:14">
      <c r="F9" s="99"/>
      <c r="G9" s="99"/>
      <c r="I9" s="99"/>
      <c r="J9" s="99"/>
      <c r="K9" s="99"/>
      <c r="L9" s="99"/>
      <c r="M9" s="99"/>
      <c r="N9" s="99"/>
    </row>
    <row r="10" spans="2:14">
      <c r="F10" s="131"/>
      <c r="G10" s="131"/>
      <c r="I10" s="131"/>
      <c r="J10" s="131"/>
      <c r="K10" s="131"/>
      <c r="L10" s="131"/>
      <c r="M10" s="131"/>
      <c r="N10" s="1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99"/>
  <sheetViews>
    <sheetView topLeftCell="A8" workbookViewId="0">
      <selection activeCell="D32" sqref="D32"/>
    </sheetView>
  </sheetViews>
  <sheetFormatPr defaultColWidth="12.5703125" defaultRowHeight="15.75" customHeight="1"/>
  <cols>
    <col min="2" max="2" width="44.140625" bestFit="1" customWidth="1"/>
  </cols>
  <sheetData>
    <row r="1" spans="1:2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30">
      <c r="A2" s="2"/>
      <c r="B2" s="178" t="s">
        <v>1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2"/>
      <c r="B4" s="5" t="s">
        <v>13</v>
      </c>
      <c r="C4" s="6">
        <f>'Income Statement'!C3</f>
        <v>14253</v>
      </c>
      <c r="D4" s="6">
        <f>'Income Statement'!D3</f>
        <v>14404</v>
      </c>
      <c r="E4" s="6">
        <f>'Income Statement'!E3</f>
        <v>15110</v>
      </c>
      <c r="F4" s="6">
        <f>'Income Statement'!F3</f>
        <v>17237</v>
      </c>
      <c r="G4" s="6">
        <f>'Income Statement'!G3</f>
        <v>19547</v>
      </c>
      <c r="H4" s="6">
        <f t="shared" ref="H4:L4" si="0">G4*(1+H25)</f>
        <v>21306.230000000003</v>
      </c>
      <c r="I4" s="6">
        <f t="shared" si="0"/>
        <v>23223.790700000005</v>
      </c>
      <c r="J4" s="6">
        <f t="shared" si="0"/>
        <v>25313.931863000009</v>
      </c>
      <c r="K4" s="6">
        <f t="shared" si="0"/>
        <v>27845.325049300012</v>
      </c>
      <c r="L4" s="6">
        <f t="shared" si="0"/>
        <v>30629.857554230017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s="2"/>
      <c r="B5" s="7" t="s">
        <v>14</v>
      </c>
      <c r="C5" s="6">
        <f>'Income Statement'!C12</f>
        <v>5715.4530000000004</v>
      </c>
      <c r="D5" s="6">
        <f>'Income Statement'!D12</f>
        <v>5549.8612000000003</v>
      </c>
      <c r="E5" s="6">
        <f>'Income Statement'!E12</f>
        <v>6356.777</v>
      </c>
      <c r="F5" s="6">
        <f>'Income Statement'!F12</f>
        <v>7144.7365</v>
      </c>
      <c r="G5" s="6">
        <f>'Income Statement'!G12</f>
        <v>7140.5190999999995</v>
      </c>
      <c r="H5" s="6">
        <f t="shared" ref="H5:L5" si="1">H4*H27</f>
        <v>8466.2435528000024</v>
      </c>
      <c r="I5" s="6">
        <f t="shared" si="1"/>
        <v>9228.2054725520029</v>
      </c>
      <c r="J5" s="6">
        <f t="shared" si="1"/>
        <v>10058.743965081685</v>
      </c>
      <c r="K5" s="6">
        <f t="shared" si="1"/>
        <v>11064.618361589854</v>
      </c>
      <c r="L5" s="6">
        <f t="shared" si="1"/>
        <v>12171.080197748841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>
      <c r="A6" s="2"/>
      <c r="B6" s="8" t="s">
        <v>15</v>
      </c>
      <c r="C6" s="9">
        <f t="shared" ref="C6:L6" si="2">C4-C5</f>
        <v>8537.5469999999987</v>
      </c>
      <c r="D6" s="9">
        <f t="shared" si="2"/>
        <v>8854.1388000000006</v>
      </c>
      <c r="E6" s="9">
        <f t="shared" si="2"/>
        <v>8753.223</v>
      </c>
      <c r="F6" s="9">
        <f t="shared" si="2"/>
        <v>10092.263500000001</v>
      </c>
      <c r="G6" s="9">
        <f t="shared" si="2"/>
        <v>12406.4809</v>
      </c>
      <c r="H6" s="9">
        <f t="shared" si="2"/>
        <v>12839.986447200001</v>
      </c>
      <c r="I6" s="9">
        <f t="shared" si="2"/>
        <v>13995.585227448002</v>
      </c>
      <c r="J6" s="9">
        <f t="shared" si="2"/>
        <v>15255.187897918324</v>
      </c>
      <c r="K6" s="9">
        <f t="shared" si="2"/>
        <v>16780.706687710161</v>
      </c>
      <c r="L6" s="9">
        <f t="shared" si="2"/>
        <v>18458.777356481176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>
      <c r="A7" s="2"/>
      <c r="B7" s="5" t="s">
        <v>16</v>
      </c>
      <c r="C7" s="6">
        <f>'Income Statement'!C13</f>
        <v>3340.9031999999997</v>
      </c>
      <c r="D7" s="6">
        <f>'Income Statement'!D13</f>
        <v>3164.5588000000002</v>
      </c>
      <c r="E7" s="6">
        <f>'Income Statement'!E13</f>
        <v>2972.1370000000002</v>
      </c>
      <c r="F7" s="6">
        <f>'Income Statement'!F13</f>
        <v>3464.6370000000002</v>
      </c>
      <c r="G7" s="6">
        <f>'Income Statement'!G13</f>
        <v>3880.0795000000003</v>
      </c>
      <c r="H7" s="6">
        <f t="shared" ref="H7:L7" si="3">0.2*H4</f>
        <v>4261.246000000001</v>
      </c>
      <c r="I7" s="6">
        <f t="shared" si="3"/>
        <v>4644.7581400000008</v>
      </c>
      <c r="J7" s="6">
        <f t="shared" si="3"/>
        <v>5062.7863726000023</v>
      </c>
      <c r="K7" s="6">
        <f t="shared" si="3"/>
        <v>5569.0650098600026</v>
      </c>
      <c r="L7" s="6">
        <f t="shared" si="3"/>
        <v>6125.9715108460041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>
      <c r="A8" s="2"/>
      <c r="B8" s="5" t="s">
        <v>17</v>
      </c>
      <c r="C8" s="6">
        <f>'Income Statement'!C14</f>
        <v>2398.7799</v>
      </c>
      <c r="D8" s="6">
        <f>'Income Statement'!D14</f>
        <v>2298.8784000000001</v>
      </c>
      <c r="E8" s="6">
        <f>'Income Statement'!E14</f>
        <v>2437.2429999999999</v>
      </c>
      <c r="F8" s="6">
        <f>'Income Statement'!F14</f>
        <v>2769.9859000000001</v>
      </c>
      <c r="G8" s="6">
        <f>'Income Statement'!G14</f>
        <v>3141.2029000000002</v>
      </c>
      <c r="H8" s="6">
        <f t="shared" ref="H8:L8" si="4">H4*H28</f>
        <v>3454.1660076000003</v>
      </c>
      <c r="I8" s="6">
        <f t="shared" si="4"/>
        <v>3765.0409482840005</v>
      </c>
      <c r="J8" s="6">
        <f t="shared" si="4"/>
        <v>4103.8946336295612</v>
      </c>
      <c r="K8" s="6">
        <f t="shared" si="4"/>
        <v>4514.2840969925173</v>
      </c>
      <c r="L8" s="6">
        <f t="shared" si="4"/>
        <v>4965.7125066917697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>
      <c r="A9" s="2"/>
      <c r="B9" s="7" t="s">
        <v>18</v>
      </c>
      <c r="C9" s="6">
        <f t="shared" ref="C9:G9" si="5">C8+C7</f>
        <v>5739.6831000000002</v>
      </c>
      <c r="D9" s="6">
        <f t="shared" si="5"/>
        <v>5463.4372000000003</v>
      </c>
      <c r="E9" s="6">
        <f t="shared" si="5"/>
        <v>5409.38</v>
      </c>
      <c r="F9" s="6">
        <f t="shared" si="5"/>
        <v>6234.6229000000003</v>
      </c>
      <c r="G9" s="6">
        <f t="shared" si="5"/>
        <v>7021.2824000000001</v>
      </c>
      <c r="H9" s="6">
        <f t="shared" ref="H9:L9" si="6">H7+H8</f>
        <v>7715.4120076000017</v>
      </c>
      <c r="I9" s="6">
        <f t="shared" si="6"/>
        <v>8409.7990882840022</v>
      </c>
      <c r="J9" s="6">
        <f t="shared" si="6"/>
        <v>9166.6810062295626</v>
      </c>
      <c r="K9" s="6">
        <f t="shared" si="6"/>
        <v>10083.34910685252</v>
      </c>
      <c r="L9" s="6">
        <f t="shared" si="6"/>
        <v>11091.684017537773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>
      <c r="A10" s="2"/>
      <c r="B10" s="8" t="s">
        <v>19</v>
      </c>
      <c r="C10" s="9">
        <f t="shared" ref="C10:L10" si="7">C6-C9</f>
        <v>2797.8638999999985</v>
      </c>
      <c r="D10" s="9">
        <f t="shared" si="7"/>
        <v>3390.7016000000003</v>
      </c>
      <c r="E10" s="9">
        <f t="shared" si="7"/>
        <v>3343.8429999999998</v>
      </c>
      <c r="F10" s="9">
        <f t="shared" si="7"/>
        <v>3857.6406000000006</v>
      </c>
      <c r="G10" s="9">
        <f t="shared" si="7"/>
        <v>5385.1985000000004</v>
      </c>
      <c r="H10" s="9">
        <f t="shared" si="7"/>
        <v>5124.5744395999991</v>
      </c>
      <c r="I10" s="9">
        <f t="shared" si="7"/>
        <v>5585.7861391639999</v>
      </c>
      <c r="J10" s="9">
        <f t="shared" si="7"/>
        <v>6088.5068916887612</v>
      </c>
      <c r="K10" s="9">
        <f t="shared" si="7"/>
        <v>6697.3575808576406</v>
      </c>
      <c r="L10" s="9">
        <f t="shared" si="7"/>
        <v>7367.0933389434031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>
      <c r="A11" s="2"/>
      <c r="B11" s="7" t="s">
        <v>20</v>
      </c>
      <c r="C11" s="6">
        <f>'Fixed Assets'!C5</f>
        <v>696</v>
      </c>
      <c r="D11" s="6">
        <f>'Fixed Assets'!D5</f>
        <v>670</v>
      </c>
      <c r="E11" s="6">
        <f>'Fixed Assets'!E5</f>
        <v>713</v>
      </c>
      <c r="F11" s="6">
        <f>'Fixed Assets'!F5</f>
        <v>723</v>
      </c>
      <c r="G11" s="6">
        <f>'Fixed Assets'!G5</f>
        <v>764</v>
      </c>
      <c r="H11" s="6">
        <f>'Fixed Assets'!H5</f>
        <v>733.17756825096058</v>
      </c>
      <c r="I11" s="6">
        <f>'Fixed Assets'!I5</f>
        <v>736.23045889774596</v>
      </c>
      <c r="J11" s="6">
        <f>'Fixed Assets'!J5</f>
        <v>733.16485626725455</v>
      </c>
      <c r="K11" s="6">
        <f>'Fixed Assets'!K5</f>
        <v>730.11201855211584</v>
      </c>
      <c r="L11" s="6">
        <f>'Fixed Assets'!L5</f>
        <v>727.07189260028031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>
      <c r="A12" s="2"/>
      <c r="B12" s="8" t="s">
        <v>21</v>
      </c>
      <c r="C12" s="9">
        <f t="shared" ref="C12:G12" si="8">(C10-C11)</f>
        <v>2101.8638999999985</v>
      </c>
      <c r="D12" s="9">
        <f t="shared" si="8"/>
        <v>2720.7016000000003</v>
      </c>
      <c r="E12" s="9">
        <f t="shared" si="8"/>
        <v>2630.8429999999998</v>
      </c>
      <c r="F12" s="9">
        <f t="shared" si="8"/>
        <v>3134.6406000000006</v>
      </c>
      <c r="G12" s="9">
        <f t="shared" si="8"/>
        <v>4621.1985000000004</v>
      </c>
      <c r="H12" s="9">
        <f t="shared" ref="H12:L12" si="9">H10-H11</f>
        <v>4391.3968713490385</v>
      </c>
      <c r="I12" s="9">
        <f t="shared" si="9"/>
        <v>4849.5556802662541</v>
      </c>
      <c r="J12" s="9">
        <f t="shared" si="9"/>
        <v>5355.3420354215068</v>
      </c>
      <c r="K12" s="9">
        <f t="shared" si="9"/>
        <v>5967.2455623055248</v>
      </c>
      <c r="L12" s="9">
        <f t="shared" si="9"/>
        <v>6640.021446343123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>
      <c r="A13" s="2"/>
      <c r="B13" s="7" t="s">
        <v>22</v>
      </c>
      <c r="C13" s="6">
        <f t="shared" ref="C13:L13" si="10">(C10-C11)*(C29)</f>
        <v>441.39141899999964</v>
      </c>
      <c r="D13" s="6">
        <f t="shared" si="10"/>
        <v>217.65612800000002</v>
      </c>
      <c r="E13" s="6">
        <f t="shared" si="10"/>
        <v>263.08429999999998</v>
      </c>
      <c r="F13" s="6">
        <f t="shared" si="10"/>
        <v>720.96733800000015</v>
      </c>
      <c r="G13" s="6">
        <f t="shared" si="10"/>
        <v>1155.2996250000001</v>
      </c>
      <c r="H13" s="6">
        <f t="shared" si="10"/>
        <v>1097.8492178372596</v>
      </c>
      <c r="I13" s="6">
        <f t="shared" si="10"/>
        <v>1212.3889200665635</v>
      </c>
      <c r="J13" s="6">
        <f t="shared" si="10"/>
        <v>1338.8355088553767</v>
      </c>
      <c r="K13" s="6">
        <f t="shared" si="10"/>
        <v>1491.8113905763812</v>
      </c>
      <c r="L13" s="6">
        <f t="shared" si="10"/>
        <v>1660.0053615857807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>
      <c r="A14" s="2"/>
      <c r="B14" s="8" t="s">
        <v>23</v>
      </c>
      <c r="C14" s="9">
        <f t="shared" ref="C14:L14" si="11">C12-C13</f>
        <v>1660.4724809999989</v>
      </c>
      <c r="D14" s="9">
        <f t="shared" si="11"/>
        <v>2503.0454720000002</v>
      </c>
      <c r="E14" s="9">
        <f t="shared" si="11"/>
        <v>2367.7586999999999</v>
      </c>
      <c r="F14" s="9">
        <f t="shared" si="11"/>
        <v>2413.6732620000002</v>
      </c>
      <c r="G14" s="9">
        <f t="shared" si="11"/>
        <v>3465.8988750000003</v>
      </c>
      <c r="H14" s="9">
        <f t="shared" si="11"/>
        <v>3293.5476535117787</v>
      </c>
      <c r="I14" s="9">
        <f t="shared" si="11"/>
        <v>3637.1667601996905</v>
      </c>
      <c r="J14" s="9">
        <f t="shared" si="11"/>
        <v>4016.5065265661301</v>
      </c>
      <c r="K14" s="9">
        <f t="shared" si="11"/>
        <v>4475.4341717291436</v>
      </c>
      <c r="L14" s="9">
        <f t="shared" si="11"/>
        <v>4980.0160847573425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>
      <c r="A15" s="2"/>
      <c r="B15" s="5" t="s">
        <v>24</v>
      </c>
      <c r="C15" s="6">
        <f t="shared" ref="C15:L15" si="12">C11</f>
        <v>696</v>
      </c>
      <c r="D15" s="6">
        <f t="shared" si="12"/>
        <v>670</v>
      </c>
      <c r="E15" s="6">
        <f t="shared" si="12"/>
        <v>713</v>
      </c>
      <c r="F15" s="6">
        <f t="shared" si="12"/>
        <v>723</v>
      </c>
      <c r="G15" s="6">
        <f t="shared" si="12"/>
        <v>764</v>
      </c>
      <c r="H15" s="6">
        <f t="shared" si="12"/>
        <v>733.17756825096058</v>
      </c>
      <c r="I15" s="6">
        <f t="shared" si="12"/>
        <v>736.23045889774596</v>
      </c>
      <c r="J15" s="6">
        <f t="shared" si="12"/>
        <v>733.16485626725455</v>
      </c>
      <c r="K15" s="6">
        <f t="shared" si="12"/>
        <v>730.11201855211584</v>
      </c>
      <c r="L15" s="6">
        <f t="shared" si="12"/>
        <v>727.07189260028031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>
      <c r="A16" s="2"/>
      <c r="B16" s="5" t="s">
        <v>25</v>
      </c>
      <c r="C16" s="6">
        <f>'Fixed Assets'!C6</f>
        <v>762</v>
      </c>
      <c r="D16" s="6">
        <f>'Fixed Assets'!D6</f>
        <v>573</v>
      </c>
      <c r="E16" s="6">
        <f>'Fixed Assets'!E6</f>
        <v>768</v>
      </c>
      <c r="F16" s="6">
        <f>'Fixed Assets'!F6</f>
        <v>56</v>
      </c>
      <c r="G16" s="6">
        <f>'Fixed Assets'!G6</f>
        <v>1611</v>
      </c>
      <c r="H16" s="6">
        <f>'Fixed Assets'!H6</f>
        <v>784.67689550058833</v>
      </c>
      <c r="I16" s="6">
        <f>'Fixed Assets'!I6</f>
        <v>787.94422507906552</v>
      </c>
      <c r="J16" s="6">
        <f>'Fixed Assets'!J6</f>
        <v>784.66329061093802</v>
      </c>
      <c r="K16" s="6">
        <f>'Fixed Assets'!K6</f>
        <v>781.396017682094</v>
      </c>
      <c r="L16" s="6">
        <f>'Fixed Assets'!L6</f>
        <v>778.14234940701579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>
      <c r="A17" s="2"/>
      <c r="B17" s="5" t="s">
        <v>26</v>
      </c>
      <c r="C17" s="6">
        <f>C18-('Net Working Capital'!C7-'Net Working Capital'!C12)</f>
        <v>-1546</v>
      </c>
      <c r="D17" s="6">
        <f t="shared" ref="D17:L17" si="13">D18-C18</f>
        <v>603</v>
      </c>
      <c r="E17" s="6">
        <f t="shared" si="13"/>
        <v>1420</v>
      </c>
      <c r="F17" s="6">
        <f t="shared" si="13"/>
        <v>2207</v>
      </c>
      <c r="G17" s="6">
        <f t="shared" si="13"/>
        <v>669</v>
      </c>
      <c r="H17" s="6">
        <f t="shared" si="13"/>
        <v>736.36530467505145</v>
      </c>
      <c r="I17" s="6">
        <f t="shared" si="13"/>
        <v>614.19287742075721</v>
      </c>
      <c r="J17" s="6">
        <f t="shared" si="13"/>
        <v>669.47023638862083</v>
      </c>
      <c r="K17" s="6">
        <f t="shared" si="13"/>
        <v>810.80284184844459</v>
      </c>
      <c r="L17" s="6">
        <f t="shared" si="13"/>
        <v>891.88312603328814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>
      <c r="A18" s="2"/>
      <c r="B18" s="10" t="s">
        <v>27</v>
      </c>
      <c r="C18" s="6">
        <f t="shared" ref="C18:L18" si="14">C19-C20</f>
        <v>1189</v>
      </c>
      <c r="D18" s="6">
        <f t="shared" si="14"/>
        <v>1792</v>
      </c>
      <c r="E18" s="6">
        <f t="shared" si="14"/>
        <v>3212</v>
      </c>
      <c r="F18" s="6">
        <f t="shared" si="14"/>
        <v>5419</v>
      </c>
      <c r="G18" s="6">
        <f t="shared" si="14"/>
        <v>6088</v>
      </c>
      <c r="H18" s="6">
        <f t="shared" si="14"/>
        <v>6824.3653046750514</v>
      </c>
      <c r="I18" s="6">
        <f t="shared" si="14"/>
        <v>7438.5581820958087</v>
      </c>
      <c r="J18" s="6">
        <f t="shared" si="14"/>
        <v>8108.0284184844295</v>
      </c>
      <c r="K18" s="6">
        <f t="shared" si="14"/>
        <v>8918.8312603328741</v>
      </c>
      <c r="L18" s="6">
        <f t="shared" si="14"/>
        <v>9810.7143863661622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2"/>
      <c r="B19" s="10" t="s">
        <v>28</v>
      </c>
      <c r="C19" s="6">
        <f>'Net Working Capital'!D7</f>
        <v>9740</v>
      </c>
      <c r="D19" s="6">
        <f>'Net Working Capital'!E7</f>
        <v>10018</v>
      </c>
      <c r="E19" s="6">
        <f>'Net Working Capital'!F7</f>
        <v>11438</v>
      </c>
      <c r="F19" s="6">
        <f>'Net Working Capital'!G7</f>
        <v>11293</v>
      </c>
      <c r="G19" s="6">
        <f>'Net Working Capital'!H7</f>
        <v>12822</v>
      </c>
      <c r="H19" s="6">
        <f>'Net Working Capital'!I7</f>
        <v>14643.047264460771</v>
      </c>
      <c r="I19" s="6">
        <f>'Net Working Capital'!J7</f>
        <v>15960.921518262243</v>
      </c>
      <c r="J19" s="6">
        <f>'Net Working Capital'!K7</f>
        <v>17397.404454905845</v>
      </c>
      <c r="K19" s="6">
        <f>'Net Working Capital'!L7</f>
        <v>19137.14490039643</v>
      </c>
      <c r="L19" s="6">
        <f>'Net Working Capital'!M7</f>
        <v>21050.859390436075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>
      <c r="A20" s="2"/>
      <c r="B20" s="10" t="s">
        <v>29</v>
      </c>
      <c r="C20" s="6">
        <f>'Net Working Capital'!D12</f>
        <v>8551</v>
      </c>
      <c r="D20" s="6">
        <f>'Net Working Capital'!E12</f>
        <v>8226</v>
      </c>
      <c r="E20" s="6">
        <f>'Net Working Capital'!F12</f>
        <v>8226</v>
      </c>
      <c r="F20" s="6">
        <f>'Net Working Capital'!G12</f>
        <v>5874</v>
      </c>
      <c r="G20" s="6">
        <f>'Net Working Capital'!H12</f>
        <v>6734</v>
      </c>
      <c r="H20" s="6">
        <f>'Net Working Capital'!I12</f>
        <v>7818.6819597857193</v>
      </c>
      <c r="I20" s="6">
        <f>'Net Working Capital'!J12</f>
        <v>8522.3633361664342</v>
      </c>
      <c r="J20" s="6">
        <f>'Net Working Capital'!K12</f>
        <v>9289.3760364214158</v>
      </c>
      <c r="K20" s="6">
        <f>'Net Working Capital'!L12</f>
        <v>10218.313640063556</v>
      </c>
      <c r="L20" s="6">
        <f>'Net Working Capital'!M12</f>
        <v>11240.145004069913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2"/>
      <c r="B21" s="11" t="s">
        <v>30</v>
      </c>
      <c r="C21" s="12">
        <f t="shared" ref="C21:L21" si="15">C14+C15-C16-C17</f>
        <v>3140.4724809999989</v>
      </c>
      <c r="D21" s="12">
        <f t="shared" si="15"/>
        <v>1997.0454720000002</v>
      </c>
      <c r="E21" s="12">
        <f t="shared" si="15"/>
        <v>892.75869999999986</v>
      </c>
      <c r="F21" s="12">
        <f t="shared" si="15"/>
        <v>873.67326200000025</v>
      </c>
      <c r="G21" s="12">
        <f t="shared" si="15"/>
        <v>1949.8988750000008</v>
      </c>
      <c r="H21" s="12">
        <f t="shared" si="15"/>
        <v>2505.6830215870996</v>
      </c>
      <c r="I21" s="12">
        <f t="shared" si="15"/>
        <v>2971.2601165976139</v>
      </c>
      <c r="J21" s="12">
        <f t="shared" si="15"/>
        <v>3295.5378558338261</v>
      </c>
      <c r="K21" s="12">
        <f t="shared" si="15"/>
        <v>3613.3473307507211</v>
      </c>
      <c r="L21" s="12">
        <f t="shared" si="15"/>
        <v>4037.0625019173185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4.25">
      <c r="A22" s="2"/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26.25">
      <c r="A23" s="2"/>
      <c r="B23" s="180" t="s">
        <v>31</v>
      </c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4.25">
      <c r="A24" s="2"/>
      <c r="B24" s="3" t="s">
        <v>2</v>
      </c>
      <c r="C24" s="4" t="s">
        <v>3</v>
      </c>
      <c r="D24" s="4" t="s">
        <v>4</v>
      </c>
      <c r="E24" s="4" t="s">
        <v>5</v>
      </c>
      <c r="F24" s="4" t="s">
        <v>6</v>
      </c>
      <c r="G24" s="4" t="s">
        <v>7</v>
      </c>
      <c r="H24" s="4" t="s">
        <v>8</v>
      </c>
      <c r="I24" s="4" t="s">
        <v>9</v>
      </c>
      <c r="J24" s="4" t="s">
        <v>10</v>
      </c>
      <c r="K24" s="4" t="s">
        <v>11</v>
      </c>
      <c r="L24" s="4" t="s">
        <v>12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4.25">
      <c r="A25" s="2"/>
      <c r="B25" s="13" t="s">
        <v>32</v>
      </c>
      <c r="C25" s="14"/>
      <c r="D25" s="14">
        <f t="shared" ref="D25:G25" si="16">D4/C4-1</f>
        <v>1.0594260857363258E-2</v>
      </c>
      <c r="E25" s="14">
        <f t="shared" si="16"/>
        <v>4.9014162732574196E-2</v>
      </c>
      <c r="F25" s="14">
        <f t="shared" si="16"/>
        <v>0.14076770350761092</v>
      </c>
      <c r="G25" s="14">
        <f t="shared" si="16"/>
        <v>0.13401403956604985</v>
      </c>
      <c r="H25" s="14">
        <v>0.09</v>
      </c>
      <c r="I25" s="14">
        <v>0.09</v>
      </c>
      <c r="J25" s="14">
        <v>0.09</v>
      </c>
      <c r="K25" s="14">
        <v>0.1</v>
      </c>
      <c r="L25" s="14">
        <v>0.1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4.25">
      <c r="A26" s="2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4.25">
      <c r="A27" s="2"/>
      <c r="B27" s="13" t="s">
        <v>33</v>
      </c>
      <c r="C27" s="14">
        <f t="shared" ref="C27:G27" si="17">C5/C4</f>
        <v>0.40100000000000002</v>
      </c>
      <c r="D27" s="14">
        <f t="shared" si="17"/>
        <v>0.38530000000000003</v>
      </c>
      <c r="E27" s="14">
        <f t="shared" si="17"/>
        <v>0.42070000000000002</v>
      </c>
      <c r="F27" s="14">
        <f t="shared" si="17"/>
        <v>0.41449999999999998</v>
      </c>
      <c r="G27" s="14">
        <f t="shared" si="17"/>
        <v>0.36529999999999996</v>
      </c>
      <c r="H27" s="14">
        <f t="shared" ref="H27:H28" si="18">AVERAGE(C27:G27)</f>
        <v>0.39736000000000005</v>
      </c>
      <c r="I27" s="14">
        <f t="shared" ref="I27:L27" si="19">H27</f>
        <v>0.39736000000000005</v>
      </c>
      <c r="J27" s="14">
        <f t="shared" si="19"/>
        <v>0.39736000000000005</v>
      </c>
      <c r="K27" s="14">
        <f t="shared" si="19"/>
        <v>0.39736000000000005</v>
      </c>
      <c r="L27" s="14">
        <f t="shared" si="19"/>
        <v>0.39736000000000005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4.25">
      <c r="A28" s="2"/>
      <c r="B28" s="13" t="s">
        <v>34</v>
      </c>
      <c r="C28" s="14">
        <f t="shared" ref="C28:G28" si="20">C8/C4</f>
        <v>0.16830000000000001</v>
      </c>
      <c r="D28" s="14">
        <f t="shared" si="20"/>
        <v>0.15959999999999999</v>
      </c>
      <c r="E28" s="14">
        <f t="shared" si="20"/>
        <v>0.1613</v>
      </c>
      <c r="F28" s="14">
        <f t="shared" si="20"/>
        <v>0.16070000000000001</v>
      </c>
      <c r="G28" s="14">
        <f t="shared" si="20"/>
        <v>0.16070000000000001</v>
      </c>
      <c r="H28" s="14">
        <f t="shared" si="18"/>
        <v>0.16211999999999999</v>
      </c>
      <c r="I28" s="14">
        <f t="shared" ref="I28:L28" si="21">H28</f>
        <v>0.16211999999999999</v>
      </c>
      <c r="J28" s="14">
        <f t="shared" si="21"/>
        <v>0.16211999999999999</v>
      </c>
      <c r="K28" s="14">
        <f t="shared" si="21"/>
        <v>0.16211999999999999</v>
      </c>
      <c r="L28" s="14">
        <f t="shared" si="21"/>
        <v>0.16211999999999999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4.25">
      <c r="A29" s="2"/>
      <c r="B29" s="13" t="s">
        <v>35</v>
      </c>
      <c r="C29" s="14">
        <v>0.21</v>
      </c>
      <c r="D29" s="15">
        <v>0.08</v>
      </c>
      <c r="E29" s="15">
        <v>0.1</v>
      </c>
      <c r="F29" s="15">
        <v>0.23</v>
      </c>
      <c r="G29" s="15">
        <v>0.25</v>
      </c>
      <c r="H29" s="15">
        <v>0.25</v>
      </c>
      <c r="I29" s="15">
        <v>0.25</v>
      </c>
      <c r="J29" s="15">
        <v>0.25</v>
      </c>
      <c r="K29" s="15">
        <v>0.25</v>
      </c>
      <c r="L29" s="15">
        <v>0.25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</sheetData>
  <mergeCells count="2">
    <mergeCell ref="B2:L2"/>
    <mergeCell ref="B23:L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/>
  </sheetViews>
  <sheetFormatPr defaultColWidth="12.5703125" defaultRowHeight="15.75" customHeight="1"/>
  <cols>
    <col min="2" max="2" width="33.28515625" bestFit="1" customWidth="1"/>
  </cols>
  <sheetData>
    <row r="1" spans="1: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30">
      <c r="A2" s="2"/>
      <c r="B2" s="178" t="s">
        <v>36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s="2"/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>
      <c r="A4" s="2"/>
      <c r="B4" s="5" t="s">
        <v>37</v>
      </c>
      <c r="C4" s="16">
        <v>12164</v>
      </c>
      <c r="D4" s="16">
        <f>'Balance Sheet'!D16</f>
        <v>12230</v>
      </c>
      <c r="E4" s="16">
        <f>'Balance Sheet'!E16</f>
        <v>12133</v>
      </c>
      <c r="F4" s="16">
        <f>'Balance Sheet'!F16</f>
        <v>12188</v>
      </c>
      <c r="G4" s="16">
        <f>'Balance Sheet'!G16</f>
        <v>11521</v>
      </c>
      <c r="H4" s="16">
        <f t="shared" ref="H4:L4" si="0">G7</f>
        <v>12368</v>
      </c>
      <c r="I4" s="17">
        <f t="shared" si="0"/>
        <v>12419.499327249627</v>
      </c>
      <c r="J4" s="17">
        <f t="shared" si="0"/>
        <v>12367.785561068307</v>
      </c>
      <c r="K4" s="17">
        <f t="shared" si="0"/>
        <v>12316.287126724623</v>
      </c>
      <c r="L4" s="17">
        <f t="shared" si="0"/>
        <v>12265.003127594644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>
      <c r="A5" s="2"/>
      <c r="B5" s="5" t="s">
        <v>38</v>
      </c>
      <c r="C5" s="16">
        <v>696</v>
      </c>
      <c r="D5" s="16">
        <v>670</v>
      </c>
      <c r="E5" s="16">
        <v>713</v>
      </c>
      <c r="F5" s="16">
        <v>723</v>
      </c>
      <c r="G5" s="16">
        <v>764</v>
      </c>
      <c r="H5" s="16">
        <f t="shared" ref="H5:L5" si="1">H11*H4</f>
        <v>733.17756825096058</v>
      </c>
      <c r="I5" s="16">
        <f t="shared" si="1"/>
        <v>736.23045889774596</v>
      </c>
      <c r="J5" s="16">
        <f t="shared" si="1"/>
        <v>733.16485626725455</v>
      </c>
      <c r="K5" s="16">
        <f t="shared" si="1"/>
        <v>730.11201855211584</v>
      </c>
      <c r="L5" s="16">
        <f t="shared" si="1"/>
        <v>727.07189260028031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>
      <c r="A6" s="2"/>
      <c r="B6" s="5" t="s">
        <v>39</v>
      </c>
      <c r="C6" s="16">
        <f t="shared" ref="C6:G6" si="2">C7-C4+C5</f>
        <v>762</v>
      </c>
      <c r="D6" s="16">
        <f t="shared" si="2"/>
        <v>573</v>
      </c>
      <c r="E6" s="16">
        <f t="shared" si="2"/>
        <v>768</v>
      </c>
      <c r="F6" s="16">
        <f t="shared" si="2"/>
        <v>56</v>
      </c>
      <c r="G6" s="16">
        <f t="shared" si="2"/>
        <v>1611</v>
      </c>
      <c r="H6" s="16">
        <f t="shared" ref="H6:L6" si="3">H12*H4</f>
        <v>784.67689550058833</v>
      </c>
      <c r="I6" s="16">
        <f t="shared" si="3"/>
        <v>787.94422507906552</v>
      </c>
      <c r="J6" s="16">
        <f t="shared" si="3"/>
        <v>784.66329061093802</v>
      </c>
      <c r="K6" s="16">
        <f t="shared" si="3"/>
        <v>781.396017682094</v>
      </c>
      <c r="L6" s="16">
        <f t="shared" si="3"/>
        <v>778.14234940701579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>
      <c r="A7" s="2"/>
      <c r="B7" s="18" t="s">
        <v>40</v>
      </c>
      <c r="C7" s="19">
        <f t="shared" ref="C7:F7" si="4">D4</f>
        <v>12230</v>
      </c>
      <c r="D7" s="19">
        <f t="shared" si="4"/>
        <v>12133</v>
      </c>
      <c r="E7" s="19">
        <f t="shared" si="4"/>
        <v>12188</v>
      </c>
      <c r="F7" s="19">
        <f t="shared" si="4"/>
        <v>11521</v>
      </c>
      <c r="G7" s="19">
        <f>'Balance Sheet'!H16</f>
        <v>12368</v>
      </c>
      <c r="H7" s="20">
        <f>H4-H5+H6</f>
        <v>12419.499327249627</v>
      </c>
      <c r="I7" s="20">
        <f t="shared" ref="I7:L7" si="5">I4+I5-I6</f>
        <v>12367.785561068307</v>
      </c>
      <c r="J7" s="20">
        <f t="shared" si="5"/>
        <v>12316.287126724623</v>
      </c>
      <c r="K7" s="20">
        <f t="shared" si="5"/>
        <v>12265.003127594644</v>
      </c>
      <c r="L7" s="20">
        <f t="shared" si="5"/>
        <v>12213.93267078791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6.25">
      <c r="A9" s="2"/>
      <c r="B9" s="180" t="s">
        <v>31</v>
      </c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>
      <c r="A10" s="2"/>
      <c r="B10" s="3" t="s">
        <v>2</v>
      </c>
      <c r="C10" s="4" t="s">
        <v>3</v>
      </c>
      <c r="D10" s="4" t="s">
        <v>4</v>
      </c>
      <c r="E10" s="4" t="s">
        <v>5</v>
      </c>
      <c r="F10" s="4" t="s">
        <v>6</v>
      </c>
      <c r="G10" s="4" t="s">
        <v>7</v>
      </c>
      <c r="H10" s="4" t="s">
        <v>8</v>
      </c>
      <c r="I10" s="4" t="s">
        <v>9</v>
      </c>
      <c r="J10" s="4" t="s">
        <v>10</v>
      </c>
      <c r="K10" s="4" t="s">
        <v>11</v>
      </c>
      <c r="L10" s="4" t="s">
        <v>12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2"/>
      <c r="B11" s="21" t="s">
        <v>41</v>
      </c>
      <c r="C11" s="22">
        <f t="shared" ref="C11:G11" si="6">C5/C4</f>
        <v>5.7218020388030255E-2</v>
      </c>
      <c r="D11" s="22">
        <f t="shared" si="6"/>
        <v>5.4783319705641861E-2</v>
      </c>
      <c r="E11" s="22">
        <f t="shared" si="6"/>
        <v>5.8765350696447706E-2</v>
      </c>
      <c r="F11" s="22">
        <f t="shared" si="6"/>
        <v>5.9320643255661304E-2</v>
      </c>
      <c r="G11" s="22">
        <f t="shared" si="6"/>
        <v>6.6313688047912503E-2</v>
      </c>
      <c r="H11" s="22">
        <f t="shared" ref="H11:H12" si="7">AVERAGE(C11:G11)</f>
        <v>5.9280204418738727E-2</v>
      </c>
      <c r="I11" s="22">
        <f t="shared" ref="I11:L11" si="8">H11</f>
        <v>5.9280204418738727E-2</v>
      </c>
      <c r="J11" s="22">
        <f t="shared" si="8"/>
        <v>5.9280204418738727E-2</v>
      </c>
      <c r="K11" s="22">
        <f t="shared" si="8"/>
        <v>5.9280204418738727E-2</v>
      </c>
      <c r="L11" s="22">
        <f t="shared" si="8"/>
        <v>5.9280204418738727E-2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>
      <c r="A12" s="2"/>
      <c r="B12" s="21" t="s">
        <v>42</v>
      </c>
      <c r="C12" s="22">
        <f t="shared" ref="C12:G12" si="9">C6/C4</f>
        <v>6.2643867148964152E-2</v>
      </c>
      <c r="D12" s="22">
        <f t="shared" si="9"/>
        <v>4.6852003270645953E-2</v>
      </c>
      <c r="E12" s="22">
        <f t="shared" si="9"/>
        <v>6.3298442264897392E-2</v>
      </c>
      <c r="F12" s="22">
        <f t="shared" si="9"/>
        <v>4.5946832950443063E-3</v>
      </c>
      <c r="G12" s="22">
        <f t="shared" si="9"/>
        <v>0.13983161183925005</v>
      </c>
      <c r="H12" s="22">
        <f t="shared" si="7"/>
        <v>6.3444121563760378E-2</v>
      </c>
      <c r="I12" s="22">
        <f t="shared" ref="I12:L12" si="10">H12</f>
        <v>6.3444121563760378E-2</v>
      </c>
      <c r="J12" s="22">
        <f t="shared" si="10"/>
        <v>6.3444121563760378E-2</v>
      </c>
      <c r="K12" s="22">
        <f t="shared" si="10"/>
        <v>6.3444121563760378E-2</v>
      </c>
      <c r="L12" s="22">
        <f t="shared" si="10"/>
        <v>6.3444121563760378E-2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2">
    <mergeCell ref="B2:L2"/>
    <mergeCell ref="B9:L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96"/>
  <sheetViews>
    <sheetView workbookViewId="0"/>
  </sheetViews>
  <sheetFormatPr defaultColWidth="12.5703125" defaultRowHeight="15.75" customHeight="1"/>
  <cols>
    <col min="2" max="2" width="44.140625" bestFit="1" customWidth="1"/>
  </cols>
  <sheetData>
    <row r="1" spans="1:27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30">
      <c r="A2" s="2"/>
      <c r="B2" s="178" t="s">
        <v>43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3" t="s">
        <v>2</v>
      </c>
      <c r="C3" s="4" t="s">
        <v>44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>
      <c r="A4" s="2"/>
      <c r="B4" s="5" t="s">
        <v>45</v>
      </c>
      <c r="C4" s="16">
        <f>'Balance Sheet'!C31</f>
        <v>3206</v>
      </c>
      <c r="D4" s="16">
        <f>'Balance Sheet'!D31</f>
        <v>3663</v>
      </c>
      <c r="E4" s="16">
        <f>'Balance Sheet'!E31</f>
        <v>3127</v>
      </c>
      <c r="F4" s="16">
        <f>'Balance Sheet'!F31</f>
        <v>3340</v>
      </c>
      <c r="G4" s="16">
        <f>'Balance Sheet'!G31</f>
        <v>4417</v>
      </c>
      <c r="H4" s="16">
        <f>'Balance Sheet'!H31</f>
        <v>5220</v>
      </c>
      <c r="I4" s="23">
        <f t="shared" ref="I4:M4" si="0">I19*I16/360</f>
        <v>5191.4135252160058</v>
      </c>
      <c r="J4" s="23">
        <f t="shared" si="0"/>
        <v>5658.6407424854469</v>
      </c>
      <c r="K4" s="23">
        <f t="shared" si="0"/>
        <v>6167.918409309138</v>
      </c>
      <c r="L4" s="23">
        <f t="shared" si="0"/>
        <v>6784.7102502400521</v>
      </c>
      <c r="M4" s="23">
        <f t="shared" si="0"/>
        <v>7463.181275264059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s="2"/>
      <c r="B5" s="5" t="s">
        <v>46</v>
      </c>
      <c r="C5" s="16">
        <f>'Balance Sheet'!C30</f>
        <v>2385</v>
      </c>
      <c r="D5" s="16">
        <f>'Balance Sheet'!D30</f>
        <v>2789</v>
      </c>
      <c r="E5" s="16">
        <f>'Balance Sheet'!E30</f>
        <v>3236</v>
      </c>
      <c r="F5" s="16">
        <f>'Balance Sheet'!F30</f>
        <v>3719</v>
      </c>
      <c r="G5" s="16">
        <f>'Balance Sheet'!G30</f>
        <v>3413</v>
      </c>
      <c r="H5" s="16">
        <f>'Balance Sheet'!H30</f>
        <v>3442</v>
      </c>
      <c r="I5" s="23">
        <f t="shared" ref="I5:M5" si="1">I20*I17/360</f>
        <v>4306.3710935191111</v>
      </c>
      <c r="J5" s="23">
        <f t="shared" si="1"/>
        <v>4693.944491935832</v>
      </c>
      <c r="K5" s="23">
        <f t="shared" si="1"/>
        <v>5116.3994962100569</v>
      </c>
      <c r="L5" s="23">
        <f t="shared" si="1"/>
        <v>5628.0394458310629</v>
      </c>
      <c r="M5" s="23">
        <f t="shared" si="1"/>
        <v>6190.8433904141702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2"/>
      <c r="B6" s="5" t="s">
        <v>47</v>
      </c>
      <c r="C6" s="16">
        <f>'Balance Sheet'!C32+'Balance Sheet'!C33+'Balance Sheet'!C34</f>
        <v>3436</v>
      </c>
      <c r="D6" s="16">
        <f>'Balance Sheet'!D32+'Balance Sheet'!D33+'Balance Sheet'!D34</f>
        <v>3288</v>
      </c>
      <c r="E6" s="16">
        <f>'Balance Sheet'!E32+'Balance Sheet'!E33+'Balance Sheet'!E34</f>
        <v>3655</v>
      </c>
      <c r="F6" s="16">
        <f>'Balance Sheet'!F32+'Balance Sheet'!F33+'Balance Sheet'!F34</f>
        <v>4379</v>
      </c>
      <c r="G6" s="16">
        <f>'Balance Sheet'!G32+'Balance Sheet'!G33+'Balance Sheet'!G34</f>
        <v>3463</v>
      </c>
      <c r="H6" s="16">
        <f>'Balance Sheet'!H32+'Balance Sheet'!H33+'Balance Sheet'!H34</f>
        <v>4160</v>
      </c>
      <c r="I6" s="23">
        <f t="shared" ref="I6:M6" si="2">I16*I23</f>
        <v>5145.2626457256538</v>
      </c>
      <c r="J6" s="23">
        <f t="shared" si="2"/>
        <v>5608.336283840963</v>
      </c>
      <c r="K6" s="23">
        <f t="shared" si="2"/>
        <v>6113.0865493866504</v>
      </c>
      <c r="L6" s="23">
        <f t="shared" si="2"/>
        <v>6724.3952043253157</v>
      </c>
      <c r="M6" s="23">
        <f t="shared" si="2"/>
        <v>7396.8347247578477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>
      <c r="A7" s="2"/>
      <c r="B7" s="18" t="s">
        <v>28</v>
      </c>
      <c r="C7" s="19">
        <f t="shared" ref="C7:M7" si="3">SUM(C4:C6)</f>
        <v>9027</v>
      </c>
      <c r="D7" s="19">
        <f t="shared" si="3"/>
        <v>9740</v>
      </c>
      <c r="E7" s="19">
        <f t="shared" si="3"/>
        <v>10018</v>
      </c>
      <c r="F7" s="19">
        <f t="shared" si="3"/>
        <v>11438</v>
      </c>
      <c r="G7" s="19">
        <f t="shared" si="3"/>
        <v>11293</v>
      </c>
      <c r="H7" s="19">
        <f t="shared" si="3"/>
        <v>12822</v>
      </c>
      <c r="I7" s="24">
        <f t="shared" si="3"/>
        <v>14643.047264460771</v>
      </c>
      <c r="J7" s="24">
        <f t="shared" si="3"/>
        <v>15960.921518262243</v>
      </c>
      <c r="K7" s="24">
        <f t="shared" si="3"/>
        <v>17397.404454905845</v>
      </c>
      <c r="L7" s="24">
        <f t="shared" si="3"/>
        <v>19137.14490039643</v>
      </c>
      <c r="M7" s="24">
        <f t="shared" si="3"/>
        <v>21050.859390436075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2"/>
      <c r="B9" s="5" t="s">
        <v>48</v>
      </c>
      <c r="C9" s="16">
        <f>'Balance Sheet'!C12+'Balance Sheet'!C7+'Balance Sheet'!C9</f>
        <v>4740</v>
      </c>
      <c r="D9" s="16">
        <f>'Balance Sheet'!D12+'Balance Sheet'!D7+'Balance Sheet'!D9</f>
        <v>6815</v>
      </c>
      <c r="E9" s="16">
        <f>'Balance Sheet'!E12+'Balance Sheet'!E7+'Balance Sheet'!E9</f>
        <v>6180</v>
      </c>
      <c r="F9" s="16">
        <f>'Balance Sheet'!F12+'Balance Sheet'!F7+'Balance Sheet'!F9</f>
        <v>5972</v>
      </c>
      <c r="G9" s="16">
        <f>'Balance Sheet'!G12+'Balance Sheet'!G7+'Balance Sheet'!G9</f>
        <v>3288</v>
      </c>
      <c r="H9" s="16">
        <f>'Balance Sheet'!H12+'Balance Sheet'!H7+'Balance Sheet'!H9</f>
        <v>2896</v>
      </c>
      <c r="I9" s="23">
        <f t="shared" ref="I9:M9" si="4">I21*I17/360</f>
        <v>4703.4686404444456</v>
      </c>
      <c r="J9" s="23">
        <f t="shared" si="4"/>
        <v>5126.7808180844459</v>
      </c>
      <c r="K9" s="23">
        <f t="shared" si="4"/>
        <v>5588.1910917120476</v>
      </c>
      <c r="L9" s="23">
        <f t="shared" si="4"/>
        <v>6147.0102008832519</v>
      </c>
      <c r="M9" s="23">
        <f t="shared" si="4"/>
        <v>6761.7112209715779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2"/>
      <c r="B10" s="5" t="s">
        <v>49</v>
      </c>
      <c r="C10" s="16">
        <f>'Balance Sheet'!C13</f>
        <v>40</v>
      </c>
      <c r="D10" s="16">
        <f>'Balance Sheet'!D13</f>
        <v>49</v>
      </c>
      <c r="E10" s="16">
        <f>'Balance Sheet'!E13</f>
        <v>43</v>
      </c>
      <c r="F10" s="16">
        <f>'Balance Sheet'!F13</f>
        <v>49</v>
      </c>
      <c r="G10" s="16">
        <f>'Balance Sheet'!G13</f>
        <v>72</v>
      </c>
      <c r="H10" s="16">
        <f>'Balance Sheet'!H13</f>
        <v>73</v>
      </c>
      <c r="I10" s="23">
        <f t="shared" ref="I10:M10" si="5">I16*I24</f>
        <v>73.207560044995574</v>
      </c>
      <c r="J10" s="23">
        <f t="shared" si="5"/>
        <v>79.796240449045186</v>
      </c>
      <c r="K10" s="23">
        <f t="shared" si="5"/>
        <v>86.977902089459263</v>
      </c>
      <c r="L10" s="23">
        <f t="shared" si="5"/>
        <v>95.675692298405195</v>
      </c>
      <c r="M10" s="23">
        <f t="shared" si="5"/>
        <v>105.24326152824572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/>
      <c r="B11" s="5" t="s">
        <v>50</v>
      </c>
      <c r="C11" s="16">
        <f>'Balance Sheet'!C14+'Balance Sheet'!C8</f>
        <v>1512</v>
      </c>
      <c r="D11" s="16">
        <f>'Balance Sheet'!D14+'Balance Sheet'!D8</f>
        <v>1687</v>
      </c>
      <c r="E11" s="16">
        <f>'Balance Sheet'!E14+'Balance Sheet'!E8</f>
        <v>2003</v>
      </c>
      <c r="F11" s="16">
        <f>'Balance Sheet'!F14+'Balance Sheet'!F8</f>
        <v>2205</v>
      </c>
      <c r="G11" s="16">
        <f>'Balance Sheet'!G14+'Balance Sheet'!G8</f>
        <v>2514</v>
      </c>
      <c r="H11" s="16">
        <f>'Balance Sheet'!H14+'Balance Sheet'!H8</f>
        <v>3765</v>
      </c>
      <c r="I11" s="23">
        <f t="shared" ref="I11:M11" si="6">I16*I25</f>
        <v>3042.005759296278</v>
      </c>
      <c r="J11" s="23">
        <f t="shared" si="6"/>
        <v>3315.786277632943</v>
      </c>
      <c r="K11" s="23">
        <f t="shared" si="6"/>
        <v>3614.2070426199084</v>
      </c>
      <c r="L11" s="23">
        <f t="shared" si="6"/>
        <v>3975.6277468818998</v>
      </c>
      <c r="M11" s="23">
        <f t="shared" si="6"/>
        <v>4373.1905215700899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>
      <c r="A12" s="2"/>
      <c r="B12" s="18" t="s">
        <v>51</v>
      </c>
      <c r="C12" s="19">
        <f t="shared" ref="C12:M12" si="7">SUM(C9:C11)</f>
        <v>6292</v>
      </c>
      <c r="D12" s="19">
        <f t="shared" si="7"/>
        <v>8551</v>
      </c>
      <c r="E12" s="19">
        <f t="shared" si="7"/>
        <v>8226</v>
      </c>
      <c r="F12" s="19">
        <f t="shared" si="7"/>
        <v>8226</v>
      </c>
      <c r="G12" s="19">
        <f t="shared" si="7"/>
        <v>5874</v>
      </c>
      <c r="H12" s="19">
        <f t="shared" si="7"/>
        <v>6734</v>
      </c>
      <c r="I12" s="19">
        <f t="shared" si="7"/>
        <v>7818.6819597857193</v>
      </c>
      <c r="J12" s="19">
        <f t="shared" si="7"/>
        <v>8522.3633361664342</v>
      </c>
      <c r="K12" s="19">
        <f t="shared" si="7"/>
        <v>9289.3760364214158</v>
      </c>
      <c r="L12" s="19">
        <f t="shared" si="7"/>
        <v>10218.313640063556</v>
      </c>
      <c r="M12" s="19">
        <f t="shared" si="7"/>
        <v>11240.145004069913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26.25">
      <c r="A14" s="2"/>
      <c r="B14" s="180" t="s">
        <v>31</v>
      </c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/>
      <c r="B15" s="3" t="s">
        <v>2</v>
      </c>
      <c r="C15" s="4" t="s">
        <v>44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4" t="s">
        <v>12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/>
      <c r="B16" s="5" t="s">
        <v>13</v>
      </c>
      <c r="C16" s="25">
        <v>13166</v>
      </c>
      <c r="D16" s="26">
        <f>'Free Cash Flows'!C4</f>
        <v>14253</v>
      </c>
      <c r="E16" s="26">
        <f>'Free Cash Flows'!D4</f>
        <v>14404</v>
      </c>
      <c r="F16" s="26">
        <f>'Free Cash Flows'!E4</f>
        <v>15110</v>
      </c>
      <c r="G16" s="26">
        <f>'Free Cash Flows'!F4</f>
        <v>17237</v>
      </c>
      <c r="H16" s="26">
        <f>'Free Cash Flows'!G4</f>
        <v>19547</v>
      </c>
      <c r="I16" s="26">
        <f>'Free Cash Flows'!H4</f>
        <v>21306.230000000003</v>
      </c>
      <c r="J16" s="26">
        <f>'Free Cash Flows'!I4</f>
        <v>23223.790700000005</v>
      </c>
      <c r="K16" s="26">
        <f>'Free Cash Flows'!J4</f>
        <v>25313.931863000009</v>
      </c>
      <c r="L16" s="26">
        <f>'Free Cash Flows'!K4</f>
        <v>27845.325049300012</v>
      </c>
      <c r="M16" s="26">
        <f>'Free Cash Flows'!L4</f>
        <v>30629.857554230017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/>
      <c r="B17" s="5" t="s">
        <v>14</v>
      </c>
      <c r="C17" s="25">
        <v>5469.16</v>
      </c>
      <c r="D17" s="26">
        <f>'Free Cash Flows'!C5</f>
        <v>5715.4530000000004</v>
      </c>
      <c r="E17" s="26">
        <f>'Free Cash Flows'!D5</f>
        <v>5549.8612000000003</v>
      </c>
      <c r="F17" s="26">
        <f>'Free Cash Flows'!E5</f>
        <v>6356.777</v>
      </c>
      <c r="G17" s="26">
        <f>'Free Cash Flows'!F5</f>
        <v>7144.7365</v>
      </c>
      <c r="H17" s="26">
        <f>'Free Cash Flows'!G5</f>
        <v>7140.5190999999995</v>
      </c>
      <c r="I17" s="26">
        <f>'Free Cash Flows'!H5</f>
        <v>8466.2435528000024</v>
      </c>
      <c r="J17" s="26">
        <f>'Free Cash Flows'!I5</f>
        <v>9228.2054725520029</v>
      </c>
      <c r="K17" s="26">
        <f>'Free Cash Flows'!J5</f>
        <v>10058.743965081685</v>
      </c>
      <c r="L17" s="26">
        <f>'Free Cash Flows'!K5</f>
        <v>11064.618361589854</v>
      </c>
      <c r="M17" s="26">
        <f>'Free Cash Flows'!L5</f>
        <v>12171.080197748841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/>
      <c r="B19" s="5" t="s">
        <v>52</v>
      </c>
      <c r="C19" s="27">
        <f t="shared" ref="C19:H19" si="8">C4/C16*360</f>
        <v>87.662160109372635</v>
      </c>
      <c r="D19" s="27">
        <f t="shared" si="8"/>
        <v>92.519469585350464</v>
      </c>
      <c r="E19" s="27">
        <f t="shared" si="8"/>
        <v>78.153290752568722</v>
      </c>
      <c r="F19" s="27">
        <f t="shared" si="8"/>
        <v>79.576439444076769</v>
      </c>
      <c r="G19" s="27">
        <f t="shared" si="8"/>
        <v>92.250391599466269</v>
      </c>
      <c r="H19" s="27">
        <f t="shared" si="8"/>
        <v>96.137514708139349</v>
      </c>
      <c r="I19" s="27">
        <f t="shared" ref="I19:I20" si="9">AVERAGE(C19:H19)</f>
        <v>87.716544366495711</v>
      </c>
      <c r="J19" s="27">
        <f t="shared" ref="J19:M19" si="10">I19</f>
        <v>87.716544366495711</v>
      </c>
      <c r="K19" s="27">
        <f t="shared" si="10"/>
        <v>87.716544366495711</v>
      </c>
      <c r="L19" s="27">
        <f t="shared" si="10"/>
        <v>87.716544366495711</v>
      </c>
      <c r="M19" s="27">
        <f t="shared" si="10"/>
        <v>87.716544366495711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/>
      <c r="B20" s="5" t="s">
        <v>53</v>
      </c>
      <c r="C20" s="27">
        <f t="shared" ref="C20:H20" si="11">C5/C17*360</f>
        <v>156.98937313956804</v>
      </c>
      <c r="D20" s="27">
        <f t="shared" si="11"/>
        <v>175.67111478302769</v>
      </c>
      <c r="E20" s="27">
        <f t="shared" si="11"/>
        <v>209.90795229257265</v>
      </c>
      <c r="F20" s="27">
        <f t="shared" si="11"/>
        <v>210.61616602249853</v>
      </c>
      <c r="G20" s="27">
        <f t="shared" si="11"/>
        <v>171.96995298566995</v>
      </c>
      <c r="H20" s="27">
        <f t="shared" si="11"/>
        <v>173.53360205982784</v>
      </c>
      <c r="I20" s="27">
        <f t="shared" si="9"/>
        <v>183.11469354719409</v>
      </c>
      <c r="J20" s="27">
        <f t="shared" ref="J20:M20" si="12">I20</f>
        <v>183.11469354719409</v>
      </c>
      <c r="K20" s="27">
        <f t="shared" si="12"/>
        <v>183.11469354719409</v>
      </c>
      <c r="L20" s="27">
        <f t="shared" si="12"/>
        <v>183.11469354719409</v>
      </c>
      <c r="M20" s="27">
        <f t="shared" si="12"/>
        <v>183.11469354719409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/>
      <c r="B21" s="5" t="s">
        <v>54</v>
      </c>
      <c r="C21" s="27">
        <f t="shared" ref="C21:H21" si="13">C9/C17*360</f>
        <v>312.00403718304091</v>
      </c>
      <c r="D21" s="27">
        <f t="shared" si="13"/>
        <v>429.25731346229242</v>
      </c>
      <c r="E21" s="27">
        <f t="shared" si="13"/>
        <v>400.87489034860909</v>
      </c>
      <c r="F21" s="27">
        <f t="shared" si="13"/>
        <v>338.20912704661498</v>
      </c>
      <c r="G21" s="27">
        <f t="shared" si="13"/>
        <v>165.67161014265537</v>
      </c>
      <c r="H21" s="27">
        <f t="shared" si="13"/>
        <v>146.0061916226791</v>
      </c>
      <c r="I21" s="27">
        <v>200</v>
      </c>
      <c r="J21" s="27">
        <f t="shared" ref="J21:M21" si="14">I21</f>
        <v>200</v>
      </c>
      <c r="K21" s="27">
        <f t="shared" si="14"/>
        <v>200</v>
      </c>
      <c r="L21" s="27">
        <f t="shared" si="14"/>
        <v>200</v>
      </c>
      <c r="M21" s="27">
        <f t="shared" si="14"/>
        <v>200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4.25">
      <c r="A23" s="2"/>
      <c r="B23" s="5" t="s">
        <v>55</v>
      </c>
      <c r="C23" s="28">
        <f t="shared" ref="C23:H23" si="15">C6/C16</f>
        <v>0.26097523925262039</v>
      </c>
      <c r="D23" s="28">
        <f t="shared" si="15"/>
        <v>0.23068827615238896</v>
      </c>
      <c r="E23" s="28">
        <f t="shared" si="15"/>
        <v>0.25374895862260483</v>
      </c>
      <c r="F23" s="28">
        <f t="shared" si="15"/>
        <v>0.28980807412309728</v>
      </c>
      <c r="G23" s="28">
        <f t="shared" si="15"/>
        <v>0.2009050298775889</v>
      </c>
      <c r="H23" s="28">
        <f t="shared" si="15"/>
        <v>0.21282038164424208</v>
      </c>
      <c r="I23" s="28">
        <f t="shared" ref="I23:I25" si="16">AVERAGE(C23:H23)</f>
        <v>0.24149099327875709</v>
      </c>
      <c r="J23" s="28">
        <f t="shared" ref="J23:M23" si="17">I23</f>
        <v>0.24149099327875709</v>
      </c>
      <c r="K23" s="28">
        <f t="shared" si="17"/>
        <v>0.24149099327875709</v>
      </c>
      <c r="L23" s="28">
        <f t="shared" si="17"/>
        <v>0.24149099327875709</v>
      </c>
      <c r="M23" s="28">
        <f t="shared" si="17"/>
        <v>0.24149099327875709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4.25">
      <c r="A24" s="2"/>
      <c r="B24" s="5" t="s">
        <v>56</v>
      </c>
      <c r="C24" s="28">
        <f t="shared" ref="C24:H24" si="18">C10/C16</f>
        <v>3.0381285128360928E-3</v>
      </c>
      <c r="D24" s="28">
        <f t="shared" si="18"/>
        <v>3.4378727285483759E-3</v>
      </c>
      <c r="E24" s="28">
        <f t="shared" si="18"/>
        <v>2.9852818661482922E-3</v>
      </c>
      <c r="F24" s="28">
        <f t="shared" si="18"/>
        <v>3.242885506287227E-3</v>
      </c>
      <c r="G24" s="28">
        <f t="shared" si="18"/>
        <v>4.1770609734872654E-3</v>
      </c>
      <c r="H24" s="28">
        <f t="shared" si="18"/>
        <v>3.7345884278917481E-3</v>
      </c>
      <c r="I24" s="28">
        <f t="shared" si="16"/>
        <v>3.4359696691998332E-3</v>
      </c>
      <c r="J24" s="28">
        <f t="shared" ref="J24:M24" si="19">I24</f>
        <v>3.4359696691998332E-3</v>
      </c>
      <c r="K24" s="28">
        <f t="shared" si="19"/>
        <v>3.4359696691998332E-3</v>
      </c>
      <c r="L24" s="28">
        <f t="shared" si="19"/>
        <v>3.4359696691998332E-3</v>
      </c>
      <c r="M24" s="28">
        <f t="shared" si="19"/>
        <v>3.4359696691998332E-3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4.25">
      <c r="A25" s="2"/>
      <c r="B25" s="5" t="s">
        <v>57</v>
      </c>
      <c r="C25" s="28">
        <f t="shared" ref="C25:H25" si="20">C11/C16</f>
        <v>0.11484125778520432</v>
      </c>
      <c r="D25" s="28">
        <f t="shared" si="20"/>
        <v>0.11836104679716551</v>
      </c>
      <c r="E25" s="28">
        <f t="shared" si="20"/>
        <v>0.13905859483476812</v>
      </c>
      <c r="F25" s="28">
        <f t="shared" si="20"/>
        <v>0.14592984778292523</v>
      </c>
      <c r="G25" s="28">
        <f t="shared" si="20"/>
        <v>0.14584904565759704</v>
      </c>
      <c r="H25" s="28">
        <f t="shared" si="20"/>
        <v>0.1926126771371566</v>
      </c>
      <c r="I25" s="28">
        <f t="shared" si="16"/>
        <v>0.14277541166580279</v>
      </c>
      <c r="J25" s="28">
        <f t="shared" ref="J25:M25" si="21">I25</f>
        <v>0.14277541166580279</v>
      </c>
      <c r="K25" s="28">
        <f t="shared" si="21"/>
        <v>0.14277541166580279</v>
      </c>
      <c r="L25" s="28">
        <f t="shared" si="21"/>
        <v>0.14277541166580279</v>
      </c>
      <c r="M25" s="28">
        <f t="shared" si="21"/>
        <v>0.14277541166580279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</sheetData>
  <mergeCells count="2">
    <mergeCell ref="B2:M2"/>
    <mergeCell ref="B14:M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H23" sqref="H23"/>
    </sheetView>
  </sheetViews>
  <sheetFormatPr defaultColWidth="12.5703125" defaultRowHeight="15.75" customHeight="1"/>
  <cols>
    <col min="2" max="2" width="38.42578125" customWidth="1"/>
  </cols>
  <sheetData>
    <row r="1" spans="1:2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6.25">
      <c r="A2" s="2"/>
      <c r="B2" s="180" t="s">
        <v>58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/>
      <c r="B3" s="3" t="s">
        <v>2</v>
      </c>
      <c r="C3" s="4" t="s">
        <v>44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5" t="s">
        <v>30</v>
      </c>
      <c r="C4" s="5"/>
      <c r="D4" s="29">
        <f>'Free Cash Flows'!C21</f>
        <v>3140.4724809999989</v>
      </c>
      <c r="E4" s="29">
        <f>'Free Cash Flows'!D21</f>
        <v>1997.0454720000002</v>
      </c>
      <c r="F4" s="29">
        <f>'Free Cash Flows'!E21</f>
        <v>892.75869999999986</v>
      </c>
      <c r="G4" s="29">
        <f>'Free Cash Flows'!F21</f>
        <v>873.67326200000025</v>
      </c>
      <c r="H4" s="29">
        <f>'Free Cash Flows'!G21</f>
        <v>1949.8988750000008</v>
      </c>
      <c r="I4" s="29">
        <f>'Free Cash Flows'!H21</f>
        <v>2505.6830215870996</v>
      </c>
      <c r="J4" s="29">
        <f>'Free Cash Flows'!I21</f>
        <v>2971.2601165976139</v>
      </c>
      <c r="K4" s="29">
        <f>'Free Cash Flows'!J21</f>
        <v>3295.5378558338261</v>
      </c>
      <c r="L4" s="29">
        <f>'Free Cash Flows'!K21</f>
        <v>3613.3473307507211</v>
      </c>
      <c r="M4" s="29">
        <f>'Free Cash Flows'!L21</f>
        <v>4037.0625019173185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5" t="s">
        <v>59</v>
      </c>
      <c r="C6" s="5"/>
      <c r="D6" s="5"/>
      <c r="E6" s="5"/>
      <c r="F6" s="5"/>
      <c r="G6" s="30"/>
      <c r="H6" s="30"/>
      <c r="I6" s="30">
        <v>1</v>
      </c>
      <c r="J6" s="30">
        <v>2</v>
      </c>
      <c r="K6" s="30">
        <v>3</v>
      </c>
      <c r="L6" s="30">
        <v>4</v>
      </c>
      <c r="M6" s="30">
        <v>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/>
      <c r="B7" s="181" t="s">
        <v>60</v>
      </c>
      <c r="C7" s="182"/>
      <c r="D7" s="18"/>
      <c r="E7" s="18"/>
      <c r="F7" s="18"/>
      <c r="G7" s="18"/>
      <c r="H7" s="18"/>
      <c r="I7" s="31">
        <f t="shared" ref="I7:M7" si="0">I4/(1+$C$12)^I6</f>
        <v>2329.8754231218677</v>
      </c>
      <c r="J7" s="31">
        <f t="shared" si="0"/>
        <v>2568.9391266812813</v>
      </c>
      <c r="K7" s="31">
        <f t="shared" si="0"/>
        <v>2649.3907438046667</v>
      </c>
      <c r="L7" s="31">
        <f t="shared" si="0"/>
        <v>2701.0709355129893</v>
      </c>
      <c r="M7" s="31">
        <f t="shared" si="0"/>
        <v>2806.0688525865912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5"/>
      <c r="C8" s="5"/>
      <c r="D8" s="5"/>
      <c r="E8" s="5"/>
      <c r="F8" s="5"/>
      <c r="G8" s="5"/>
      <c r="H8" s="5"/>
      <c r="I8" s="5"/>
      <c r="J8" s="5"/>
      <c r="K8" s="5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.75">
      <c r="A9" s="2"/>
      <c r="B9" s="183" t="s">
        <v>61</v>
      </c>
      <c r="C9" s="179"/>
      <c r="D9" s="5"/>
      <c r="E9" s="184" t="s">
        <v>62</v>
      </c>
      <c r="F9" s="185"/>
      <c r="G9" s="185"/>
      <c r="H9" s="185"/>
      <c r="I9" s="185"/>
      <c r="J9" s="185"/>
      <c r="K9" s="186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5" t="s">
        <v>63</v>
      </c>
      <c r="C10" s="29">
        <f>SUM(I7:M7)</f>
        <v>13055.345081707397</v>
      </c>
      <c r="D10" s="5"/>
      <c r="E10" s="32"/>
      <c r="F10" s="33"/>
      <c r="G10" s="187" t="s">
        <v>64</v>
      </c>
      <c r="H10" s="188"/>
      <c r="I10" s="188"/>
      <c r="J10" s="188"/>
      <c r="K10" s="189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5" t="s">
        <v>64</v>
      </c>
      <c r="C11" s="34">
        <v>4.7E-2</v>
      </c>
      <c r="D11" s="5"/>
      <c r="E11" s="32"/>
      <c r="F11" s="33"/>
      <c r="G11" s="35">
        <f t="shared" ref="G11:H11" si="1">H11-0.5%</f>
        <v>3.7000000000000005E-2</v>
      </c>
      <c r="H11" s="35">
        <f t="shared" si="1"/>
        <v>4.2000000000000003E-2</v>
      </c>
      <c r="I11" s="35">
        <f>C11</f>
        <v>4.7E-2</v>
      </c>
      <c r="J11" s="35">
        <f t="shared" ref="J11:K11" si="2">I11+0.5%</f>
        <v>5.1999999999999998E-2</v>
      </c>
      <c r="K11" s="36">
        <f t="shared" si="2"/>
        <v>5.6999999999999995E-2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5" t="s">
        <v>65</v>
      </c>
      <c r="C12" s="37">
        <f>WACC!C18</f>
        <v>7.5457939390451423E-2</v>
      </c>
      <c r="D12" s="5"/>
      <c r="E12" s="190" t="s">
        <v>65</v>
      </c>
      <c r="F12" s="38">
        <f t="shared" ref="F12:F13" si="3">F13-0.5%</f>
        <v>6.5457939390451414E-2</v>
      </c>
      <c r="G12" s="29">
        <v>1119.632584</v>
      </c>
      <c r="H12" s="29">
        <v>1352.779693</v>
      </c>
      <c r="I12" s="29">
        <v>1712.2394429999999</v>
      </c>
      <c r="J12" s="29">
        <v>2338.7978480000002</v>
      </c>
      <c r="K12" s="39">
        <v>3706.1494600000001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5" t="s">
        <v>66</v>
      </c>
      <c r="C13" s="29">
        <f>M4*(1+C11)/(C12-C11)</f>
        <v>148528.1271252431</v>
      </c>
      <c r="D13" s="5"/>
      <c r="E13" s="191"/>
      <c r="F13" s="40">
        <f t="shared" si="3"/>
        <v>7.0457939390451418E-2</v>
      </c>
      <c r="G13" s="29">
        <v>937.66187730000001</v>
      </c>
      <c r="H13" s="41">
        <v>1098.09259</v>
      </c>
      <c r="I13" s="41">
        <v>1326.914098</v>
      </c>
      <c r="J13" s="41">
        <v>1679.704757</v>
      </c>
      <c r="K13" s="39">
        <v>2294.6385639999999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5" t="s">
        <v>67</v>
      </c>
      <c r="C14" s="29">
        <f>C13/(1+C12)^M6</f>
        <v>103238.46882757581</v>
      </c>
      <c r="D14" s="5"/>
      <c r="E14" s="191"/>
      <c r="F14" s="40">
        <f>C12</f>
        <v>7.5457939390451423E-2</v>
      </c>
      <c r="G14" s="29">
        <v>803.05394200000001</v>
      </c>
      <c r="H14" s="41">
        <v>919.57640679999997</v>
      </c>
      <c r="I14" s="42">
        <v>1077.0443749999999</v>
      </c>
      <c r="J14" s="41">
        <v>1301.6401350000001</v>
      </c>
      <c r="K14" s="39">
        <v>1647.915653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5" t="s">
        <v>68</v>
      </c>
      <c r="C15" s="29">
        <f>C14+C10</f>
        <v>116293.8139092832</v>
      </c>
      <c r="D15" s="5"/>
      <c r="E15" s="191"/>
      <c r="F15" s="40">
        <f t="shared" ref="F15:F16" si="4">F14+0.5%</f>
        <v>8.0457939390451427E-2</v>
      </c>
      <c r="G15" s="29">
        <v>699.46000149999998</v>
      </c>
      <c r="H15" s="41">
        <v>787.52067090000003</v>
      </c>
      <c r="I15" s="41">
        <v>901.90115290000006</v>
      </c>
      <c r="J15" s="41">
        <v>1056.4744539999999</v>
      </c>
      <c r="K15" s="39">
        <v>1276.941566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10" t="s">
        <v>69</v>
      </c>
      <c r="C16" s="29">
        <f>'Balance Sheet'!H32</f>
        <v>1105</v>
      </c>
      <c r="D16" s="5"/>
      <c r="E16" s="192"/>
      <c r="F16" s="43">
        <f t="shared" si="4"/>
        <v>8.5457939390451432E-2</v>
      </c>
      <c r="G16" s="44">
        <v>617.27892050000003</v>
      </c>
      <c r="H16" s="44">
        <v>685.88814539999998</v>
      </c>
      <c r="I16" s="44">
        <v>772.33743819999995</v>
      </c>
      <c r="J16" s="44">
        <v>884.62493089999998</v>
      </c>
      <c r="K16" s="45">
        <v>1036.369776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10" t="s">
        <v>70</v>
      </c>
      <c r="C17" s="29">
        <f>WACC!C4</f>
        <v>6734</v>
      </c>
      <c r="D17" s="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10" t="s">
        <v>71</v>
      </c>
      <c r="C18" s="29">
        <f>'Balance Sheet'!H11</f>
        <v>2272</v>
      </c>
      <c r="D18" s="5"/>
      <c r="E18" s="5"/>
      <c r="F18" s="5"/>
      <c r="G18" s="5"/>
      <c r="H18" s="5"/>
      <c r="I18" s="5"/>
      <c r="J18" s="5"/>
      <c r="K18" s="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6" t="s">
        <v>72</v>
      </c>
      <c r="C19" s="47">
        <f>C15+C16-C17-C18</f>
        <v>108392.8139092832</v>
      </c>
      <c r="D19" s="5"/>
      <c r="E19" s="5"/>
      <c r="F19" s="5"/>
      <c r="G19" s="5"/>
      <c r="H19" s="5"/>
      <c r="I19" s="5"/>
      <c r="J19" s="5"/>
      <c r="K19" s="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5" t="s">
        <v>73</v>
      </c>
      <c r="C20" s="48">
        <v>100.6391347</v>
      </c>
      <c r="D20" s="5"/>
      <c r="E20" s="5"/>
      <c r="F20" s="5"/>
      <c r="G20" s="5"/>
      <c r="H20" s="5"/>
      <c r="I20" s="5"/>
      <c r="J20" s="5"/>
      <c r="K20" s="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11" t="s">
        <v>74</v>
      </c>
      <c r="C21" s="49">
        <f>C19/C20</f>
        <v>1077.044374759347</v>
      </c>
      <c r="D21" s="5"/>
      <c r="E21" s="5"/>
      <c r="F21" s="5"/>
      <c r="G21" s="5"/>
      <c r="H21" s="5"/>
      <c r="I21" s="5"/>
      <c r="J21" s="5"/>
      <c r="K21" s="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>
      <c r="A24" s="2"/>
      <c r="B24" s="2"/>
      <c r="C24" s="1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E12:E16"/>
    <mergeCell ref="B2:M2"/>
    <mergeCell ref="B7:C7"/>
    <mergeCell ref="B9:C9"/>
    <mergeCell ref="E9:K9"/>
    <mergeCell ref="G10:K10"/>
  </mergeCells>
  <conditionalFormatting sqref="G12:K17">
    <cfRule type="colorScale" priority="1">
      <colorScale>
        <cfvo type="min"/>
        <cfvo type="formula" val="922.2"/>
        <cfvo type="max"/>
        <color rgb="FFCC4125"/>
        <color rgb="FFFFFFFF"/>
        <color rgb="FF00FF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2" max="2" width="35.28515625" customWidth="1"/>
    <col min="3" max="3" width="22" customWidth="1"/>
    <col min="5" max="5" width="25.5703125" customWidth="1"/>
    <col min="6" max="6" width="12.5703125" customWidth="1"/>
    <col min="7" max="7" width="20.85546875" customWidth="1"/>
  </cols>
  <sheetData>
    <row r="1" spans="1:2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>
      <c r="A2" s="2"/>
      <c r="B2" s="193" t="s">
        <v>75</v>
      </c>
      <c r="C2" s="17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/>
      <c r="B3" s="5" t="s">
        <v>76</v>
      </c>
      <c r="C3" s="16">
        <v>91571.54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5" t="s">
        <v>77</v>
      </c>
      <c r="C4" s="16">
        <f>'Balance Sheet'!H6+'Balance Sheet'!H14+'Balance Sheet'!H8+'Balance Sheet'!H7+'Balance Sheet'!H9+'Balance Sheet'!H12+'Balance Sheet'!H13</f>
        <v>6734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5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5" t="s">
        <v>78</v>
      </c>
      <c r="C6" s="37">
        <f>167.8/C4</f>
        <v>2.4918324918324922E-2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5" t="s">
        <v>79</v>
      </c>
      <c r="C7" s="50">
        <v>0.25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5" t="s">
        <v>80</v>
      </c>
      <c r="C8" s="28">
        <f>C4/(C4+C3)</f>
        <v>6.8500717253574928E-2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18" t="s">
        <v>81</v>
      </c>
      <c r="C9" s="51">
        <f>C6*(1-C7)</f>
        <v>1.8688743688743691E-2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8"/>
      <c r="C10" s="8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5" t="s">
        <v>82</v>
      </c>
      <c r="C11" s="37">
        <v>7.3649999999999993E-2</v>
      </c>
      <c r="D11" s="2"/>
      <c r="E11" s="13" t="s">
        <v>83</v>
      </c>
      <c r="F11" s="52" t="s">
        <v>84</v>
      </c>
      <c r="G11" s="52" t="s">
        <v>85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5" t="s">
        <v>86</v>
      </c>
      <c r="C12" s="28">
        <f>G16</f>
        <v>8.0857999999999985E-2</v>
      </c>
      <c r="D12" s="2"/>
      <c r="E12" s="53" t="s">
        <v>87</v>
      </c>
      <c r="F12" s="54">
        <v>0.29199999999999998</v>
      </c>
      <c r="G12" s="54">
        <v>6.4000000000000001E-2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5" t="s">
        <v>88</v>
      </c>
      <c r="C13" s="28">
        <f>C12-C11</f>
        <v>7.2079999999999922E-3</v>
      </c>
      <c r="D13" s="2"/>
      <c r="E13" s="53" t="s">
        <v>89</v>
      </c>
      <c r="F13" s="54">
        <v>0.47</v>
      </c>
      <c r="G13" s="54">
        <v>0.09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5" t="s">
        <v>90</v>
      </c>
      <c r="C14" s="5">
        <v>0.83</v>
      </c>
      <c r="D14" s="2"/>
      <c r="E14" s="53" t="s">
        <v>91</v>
      </c>
      <c r="F14" s="54">
        <v>0.155</v>
      </c>
      <c r="G14" s="54">
        <v>0.08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5" t="s">
        <v>92</v>
      </c>
      <c r="C15" s="28">
        <f>1-C8</f>
        <v>0.93149928274642502</v>
      </c>
      <c r="D15" s="2"/>
      <c r="E15" s="53" t="s">
        <v>93</v>
      </c>
      <c r="F15" s="54">
        <f>1-SUM(F12:F14)</f>
        <v>8.2999999999999963E-2</v>
      </c>
      <c r="G15" s="54">
        <v>0.09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18" t="s">
        <v>94</v>
      </c>
      <c r="C16" s="51">
        <f>C11+C14*(C13)</f>
        <v>7.9632639999999991E-2</v>
      </c>
      <c r="D16" s="2"/>
      <c r="E16" s="194" t="s">
        <v>95</v>
      </c>
      <c r="F16" s="179"/>
      <c r="G16" s="55">
        <f>G12*F12+G13*F13+G14*F14+G15*F15</f>
        <v>8.0857999999999985E-2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11" t="s">
        <v>65</v>
      </c>
      <c r="C18" s="56">
        <f>C8*C9+C15*C16</f>
        <v>7.5457939390451423E-2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B2:C2"/>
    <mergeCell ref="E16:F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selection activeCell="D11" sqref="D11"/>
    </sheetView>
  </sheetViews>
  <sheetFormatPr defaultColWidth="12.5703125" defaultRowHeight="15.75" customHeight="1"/>
  <cols>
    <col min="2" max="2" width="23.28515625" customWidth="1"/>
    <col min="3" max="3" width="17.7109375" bestFit="1" customWidth="1"/>
    <col min="4" max="4" width="16.28515625" bestFit="1" customWidth="1"/>
    <col min="5" max="5" width="23.42578125" bestFit="1" customWidth="1"/>
    <col min="6" max="6" width="24.42578125" bestFit="1" customWidth="1"/>
    <col min="15" max="15" width="13.7109375" bestFit="1" customWidth="1"/>
    <col min="16" max="16" width="13.42578125" bestFit="1" customWidth="1"/>
  </cols>
  <sheetData>
    <row r="1" spans="1:2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0">
      <c r="A2" s="2"/>
      <c r="B2" s="195" t="s">
        <v>96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/>
      <c r="B3" s="57"/>
      <c r="C3" s="57"/>
      <c r="D3" s="197" t="s">
        <v>97</v>
      </c>
      <c r="E3" s="198"/>
      <c r="F3" s="198"/>
      <c r="G3" s="198"/>
      <c r="H3" s="198"/>
      <c r="I3" s="57"/>
      <c r="J3" s="197" t="s">
        <v>98</v>
      </c>
      <c r="K3" s="198"/>
      <c r="L3" s="198"/>
      <c r="M3" s="57"/>
      <c r="N3" s="197" t="s">
        <v>99</v>
      </c>
      <c r="O3" s="198"/>
      <c r="P3" s="198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58" t="s">
        <v>100</v>
      </c>
      <c r="C4" s="58" t="s">
        <v>101</v>
      </c>
      <c r="D4" s="58" t="s">
        <v>102</v>
      </c>
      <c r="E4" s="58" t="s">
        <v>103</v>
      </c>
      <c r="F4" s="59" t="s">
        <v>104</v>
      </c>
      <c r="G4" s="58" t="s">
        <v>105</v>
      </c>
      <c r="H4" s="58" t="s">
        <v>106</v>
      </c>
      <c r="I4" s="58"/>
      <c r="J4" s="58" t="s">
        <v>107</v>
      </c>
      <c r="K4" s="58" t="s">
        <v>108</v>
      </c>
      <c r="L4" s="58" t="s">
        <v>109</v>
      </c>
      <c r="M4" s="58"/>
      <c r="N4" s="58" t="s">
        <v>110</v>
      </c>
      <c r="O4" s="58" t="s">
        <v>111</v>
      </c>
      <c r="P4" s="58" t="s">
        <v>112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61" t="s">
        <v>113</v>
      </c>
      <c r="C6" s="62" t="s">
        <v>114</v>
      </c>
      <c r="D6" s="63">
        <v>917.25</v>
      </c>
      <c r="E6" s="64">
        <v>1006391347</v>
      </c>
      <c r="F6" s="63">
        <v>92327.25</v>
      </c>
      <c r="G6" s="63">
        <v>190.5</v>
      </c>
      <c r="H6" s="63">
        <v>90924.15</v>
      </c>
      <c r="I6" s="65"/>
      <c r="J6" s="63">
        <v>22247.4</v>
      </c>
      <c r="K6" s="63">
        <v>6025.6</v>
      </c>
      <c r="L6" s="63">
        <v>4675</v>
      </c>
      <c r="M6" s="66"/>
      <c r="N6" s="67">
        <f t="shared" ref="N6:N12" si="0">H6/J6</f>
        <v>4.0869562285930039</v>
      </c>
      <c r="O6" s="68">
        <v>13.16</v>
      </c>
      <c r="P6" s="68">
        <v>20.36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69" t="s">
        <v>115</v>
      </c>
      <c r="C7" s="70" t="s">
        <v>116</v>
      </c>
      <c r="D7" s="71">
        <v>1750.25</v>
      </c>
      <c r="E7" s="72">
        <v>2399487603</v>
      </c>
      <c r="F7" s="71">
        <v>419677.11</v>
      </c>
      <c r="G7" s="71">
        <v>2571.9499999999998</v>
      </c>
      <c r="H7" s="71">
        <v>413234.06</v>
      </c>
      <c r="I7" s="73"/>
      <c r="J7" s="71">
        <v>51602.5</v>
      </c>
      <c r="K7" s="71">
        <v>13986.9</v>
      </c>
      <c r="L7" s="71">
        <v>11469.56</v>
      </c>
      <c r="M7" s="74"/>
      <c r="N7" s="75">
        <f t="shared" si="0"/>
        <v>8.008024029843515</v>
      </c>
      <c r="O7" s="76">
        <v>24.97</v>
      </c>
      <c r="P7" s="76">
        <v>35.590000000000003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77" t="s">
        <v>117</v>
      </c>
      <c r="C8" s="70" t="s">
        <v>118</v>
      </c>
      <c r="D8" s="71">
        <v>1512.05</v>
      </c>
      <c r="E8" s="72">
        <v>807460154</v>
      </c>
      <c r="F8" s="71">
        <v>122168.38</v>
      </c>
      <c r="G8" s="71">
        <v>461.38</v>
      </c>
      <c r="H8" s="71">
        <v>121708.32</v>
      </c>
      <c r="I8" s="73"/>
      <c r="J8" s="71">
        <v>26981.17</v>
      </c>
      <c r="K8" s="71">
        <v>6641.35</v>
      </c>
      <c r="L8" s="71">
        <v>4986.93</v>
      </c>
      <c r="M8" s="74"/>
      <c r="N8" s="75">
        <f t="shared" si="0"/>
        <v>4.5108614637541669</v>
      </c>
      <c r="O8" s="76">
        <v>15.75</v>
      </c>
      <c r="P8" s="76">
        <v>24.53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77" t="s">
        <v>119</v>
      </c>
      <c r="C9" s="70" t="s">
        <v>120</v>
      </c>
      <c r="D9" s="71">
        <v>1187.2</v>
      </c>
      <c r="E9" s="72">
        <v>833313679</v>
      </c>
      <c r="F9" s="71">
        <v>99083.44</v>
      </c>
      <c r="G9" s="71">
        <v>4854.1000000000004</v>
      </c>
      <c r="H9" s="71">
        <v>101909.14</v>
      </c>
      <c r="I9" s="73"/>
      <c r="J9" s="71">
        <v>31229.3</v>
      </c>
      <c r="K9" s="71">
        <v>7556</v>
      </c>
      <c r="L9" s="71">
        <v>5448.3</v>
      </c>
      <c r="M9" s="74"/>
      <c r="N9" s="75">
        <f t="shared" si="0"/>
        <v>3.2632540594890056</v>
      </c>
      <c r="O9" s="76">
        <v>11.11</v>
      </c>
      <c r="P9" s="76">
        <v>18.48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77" t="s">
        <v>121</v>
      </c>
      <c r="C10" s="70" t="s">
        <v>122</v>
      </c>
      <c r="D10" s="71">
        <v>2085.6999999999998</v>
      </c>
      <c r="E10" s="72">
        <v>456085333</v>
      </c>
      <c r="F10" s="71">
        <v>95232.3</v>
      </c>
      <c r="G10" s="71">
        <v>3442.5</v>
      </c>
      <c r="H10" s="71">
        <v>97260.92</v>
      </c>
      <c r="I10" s="73"/>
      <c r="J10" s="71">
        <v>22001.56</v>
      </c>
      <c r="K10" s="71">
        <v>3893.93</v>
      </c>
      <c r="L10" s="71">
        <v>2892.1</v>
      </c>
      <c r="M10" s="74"/>
      <c r="N10" s="75">
        <f t="shared" si="0"/>
        <v>4.4206374457083948</v>
      </c>
      <c r="O10" s="76">
        <v>18.97</v>
      </c>
      <c r="P10" s="76">
        <v>33.200000000000003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77" t="s">
        <v>123</v>
      </c>
      <c r="C11" s="70" t="s">
        <v>124</v>
      </c>
      <c r="D11" s="71">
        <v>2250</v>
      </c>
      <c r="E11" s="72">
        <v>402359788</v>
      </c>
      <c r="F11" s="71">
        <v>92838.76</v>
      </c>
      <c r="G11" s="71">
        <v>207.46</v>
      </c>
      <c r="H11" s="71">
        <v>92415.67</v>
      </c>
      <c r="I11" s="73"/>
      <c r="J11" s="71">
        <v>9326.1200000000008</v>
      </c>
      <c r="K11" s="71">
        <v>2596.4899999999998</v>
      </c>
      <c r="L11" s="71">
        <v>2018.47</v>
      </c>
      <c r="M11" s="74"/>
      <c r="N11" s="75">
        <f t="shared" si="0"/>
        <v>9.9093374307857918</v>
      </c>
      <c r="O11" s="76">
        <v>31.49</v>
      </c>
      <c r="P11" s="76">
        <v>48.01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77" t="s">
        <v>125</v>
      </c>
      <c r="C12" s="74" t="s">
        <v>126</v>
      </c>
      <c r="D12" s="71">
        <v>1174.1500000000001</v>
      </c>
      <c r="E12" s="72">
        <v>580913462</v>
      </c>
      <c r="F12" s="71">
        <v>68809.81</v>
      </c>
      <c r="G12" s="71">
        <v>8427.25</v>
      </c>
      <c r="H12" s="71">
        <v>70397.350000000006</v>
      </c>
      <c r="I12" s="78"/>
      <c r="J12" s="71">
        <v>30921.759999999998</v>
      </c>
      <c r="K12" s="71">
        <v>5514.86</v>
      </c>
      <c r="L12" s="71">
        <v>3488.09</v>
      </c>
      <c r="M12" s="74"/>
      <c r="N12" s="75">
        <f t="shared" si="0"/>
        <v>2.2766281738167558</v>
      </c>
      <c r="O12" s="76">
        <v>9.9499999999999993</v>
      </c>
      <c r="P12" s="76">
        <v>19.36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77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79" t="s">
        <v>127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80">
        <f t="shared" ref="N14:P14" si="1">MAX(N7:N12)</f>
        <v>9.9093374307857918</v>
      </c>
      <c r="O14" s="79">
        <f t="shared" si="1"/>
        <v>31.49</v>
      </c>
      <c r="P14" s="79">
        <f t="shared" si="1"/>
        <v>48.01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79" t="s">
        <v>128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0">
        <f t="shared" ref="N15:P15" si="2">QUARTILE(N7:N12, 3)</f>
        <v>7.1337333883211782</v>
      </c>
      <c r="O15" s="80">
        <f t="shared" si="2"/>
        <v>23.47</v>
      </c>
      <c r="P15" s="80">
        <f t="shared" si="2"/>
        <v>34.992500000000007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81" t="s">
        <v>129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2">
        <f t="shared" ref="N16:P16" si="3">AVERAGE(N7:N12)</f>
        <v>5.3981237672329385</v>
      </c>
      <c r="O16" s="82">
        <f t="shared" si="3"/>
        <v>18.706666666666667</v>
      </c>
      <c r="P16" s="82">
        <f t="shared" si="3"/>
        <v>29.861666666666668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81" t="s">
        <v>130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2">
        <f t="shared" ref="N17:P17" si="4">MEDIAN(N7:N12)</f>
        <v>4.4657494547312808</v>
      </c>
      <c r="O17" s="82">
        <f t="shared" si="4"/>
        <v>17.36</v>
      </c>
      <c r="P17" s="82">
        <f t="shared" si="4"/>
        <v>28.865000000000002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79" t="s">
        <v>131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0">
        <f t="shared" ref="N18:P18" si="5">QUARTILE(N7:N12, 1)</f>
        <v>3.5525999060438531</v>
      </c>
      <c r="O18" s="80">
        <f t="shared" si="5"/>
        <v>12.27</v>
      </c>
      <c r="P18" s="80">
        <f t="shared" si="5"/>
        <v>20.6525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79" t="s">
        <v>132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80">
        <f t="shared" ref="N19:P19" si="6">MIN(N7:N12)</f>
        <v>2.2766281738167558</v>
      </c>
      <c r="O19" s="79">
        <f t="shared" si="6"/>
        <v>9.9499999999999993</v>
      </c>
      <c r="P19" s="79">
        <f t="shared" si="6"/>
        <v>18.48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3.25">
      <c r="A21" s="2"/>
      <c r="B21" s="199" t="s">
        <v>133</v>
      </c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83" t="s">
        <v>110</v>
      </c>
      <c r="O21" s="83" t="s">
        <v>111</v>
      </c>
      <c r="P21" s="83" t="s">
        <v>112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>
      <c r="A22" s="2"/>
      <c r="B22" s="74" t="s">
        <v>134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8">
        <f t="shared" ref="N22:P22" si="7">N17*J6</f>
        <v>99351.314419188697</v>
      </c>
      <c r="O22" s="78">
        <f t="shared" si="7"/>
        <v>104604.416</v>
      </c>
      <c r="P22" s="78">
        <f t="shared" si="7"/>
        <v>134943.875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>
      <c r="A23" s="2"/>
      <c r="B23" s="74" t="s">
        <v>105</v>
      </c>
      <c r="C23" s="74"/>
      <c r="D23" s="74"/>
      <c r="E23" s="74"/>
      <c r="F23" s="74"/>
      <c r="G23" s="84"/>
      <c r="H23" s="74"/>
      <c r="I23" s="74"/>
      <c r="J23" s="74"/>
      <c r="K23" s="74"/>
      <c r="L23" s="74"/>
      <c r="M23" s="74"/>
      <c r="N23" s="78">
        <f>G6</f>
        <v>190.5</v>
      </c>
      <c r="O23" s="78">
        <f t="shared" ref="O23:P23" si="8">N23</f>
        <v>190.5</v>
      </c>
      <c r="P23" s="78">
        <f t="shared" si="8"/>
        <v>190.5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>
      <c r="A24" s="2"/>
      <c r="B24" s="74" t="s">
        <v>135</v>
      </c>
      <c r="C24" s="74"/>
      <c r="D24" s="74"/>
      <c r="E24" s="74"/>
      <c r="F24" s="74"/>
      <c r="G24" s="84"/>
      <c r="H24" s="74"/>
      <c r="I24" s="74"/>
      <c r="J24" s="74"/>
      <c r="K24" s="74"/>
      <c r="L24" s="74"/>
      <c r="M24" s="74"/>
      <c r="N24" s="78">
        <f t="shared" ref="N24:P24" si="9">N22-N23</f>
        <v>99160.814419188697</v>
      </c>
      <c r="O24" s="78">
        <f t="shared" si="9"/>
        <v>104413.916</v>
      </c>
      <c r="P24" s="78">
        <f t="shared" si="9"/>
        <v>134753.375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>
      <c r="A25" s="2"/>
      <c r="B25" s="74" t="s">
        <v>136</v>
      </c>
      <c r="C25" s="74"/>
      <c r="D25" s="74"/>
      <c r="E25" s="74"/>
      <c r="F25" s="74"/>
      <c r="G25" s="84"/>
      <c r="H25" s="74"/>
      <c r="I25" s="74"/>
      <c r="J25" s="74"/>
      <c r="K25" s="74"/>
      <c r="L25" s="74"/>
      <c r="M25" s="74"/>
      <c r="N25" s="85">
        <v>100.6391347</v>
      </c>
      <c r="O25" s="85">
        <f t="shared" ref="O25:P25" si="10">N25</f>
        <v>100.6391347</v>
      </c>
      <c r="P25" s="85">
        <f t="shared" si="10"/>
        <v>100.6391347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00" t="s">
        <v>137</v>
      </c>
      <c r="C26" s="182"/>
      <c r="D26" s="86"/>
      <c r="E26" s="86"/>
      <c r="F26" s="86"/>
      <c r="G26" s="87"/>
      <c r="H26" s="86"/>
      <c r="I26" s="86"/>
      <c r="J26" s="86"/>
      <c r="K26" s="86"/>
      <c r="L26" s="86"/>
      <c r="M26" s="86"/>
      <c r="N26" s="88">
        <f t="shared" ref="N26:P26" si="11">N24/N25</f>
        <v>985.31068172219386</v>
      </c>
      <c r="O26" s="88">
        <f t="shared" si="11"/>
        <v>1037.5080858082933</v>
      </c>
      <c r="P26" s="88">
        <f t="shared" si="11"/>
        <v>1338.9758904594398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2"/>
      <c r="B32" s="89"/>
      <c r="C32" s="89"/>
      <c r="D32" s="76"/>
      <c r="E32" s="76"/>
      <c r="F32" s="76"/>
      <c r="G32" s="76"/>
      <c r="H32" s="76"/>
      <c r="I32" s="76"/>
      <c r="J32" s="76"/>
      <c r="K32" s="76"/>
      <c r="L32" s="7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>
      <c r="A33" s="2"/>
      <c r="B33" s="89"/>
      <c r="C33" s="77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2"/>
      <c r="B34" s="89"/>
      <c r="C34" s="77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2"/>
      <c r="B35" s="89"/>
      <c r="C35" s="77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2"/>
      <c r="B36" s="89"/>
      <c r="C36" s="7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>
      <c r="A37" s="2"/>
      <c r="B37" s="89"/>
      <c r="C37" s="77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>
      <c r="A38" s="2"/>
      <c r="B38" s="89"/>
      <c r="C38" s="7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2"/>
      <c r="B39" s="89"/>
      <c r="C39" s="7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B26:C26"/>
    <mergeCell ref="B2:P2"/>
    <mergeCell ref="D3:H3"/>
    <mergeCell ref="J3:L3"/>
    <mergeCell ref="N3:P3"/>
    <mergeCell ref="B21:M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  <outlinePr summaryBelow="0" summaryRight="0"/>
  </sheetPr>
  <dimension ref="A1:R1004"/>
  <sheetViews>
    <sheetView workbookViewId="0">
      <selection activeCell="C6" sqref="C6"/>
    </sheetView>
  </sheetViews>
  <sheetFormatPr defaultColWidth="12.5703125" defaultRowHeight="15.75" customHeight="1"/>
  <cols>
    <col min="2" max="2" width="29.85546875" bestFit="1" customWidth="1"/>
    <col min="3" max="3" width="13.140625" customWidth="1"/>
  </cols>
  <sheetData>
    <row r="1" spans="1:18">
      <c r="D1" s="90"/>
    </row>
    <row r="2" spans="1:18">
      <c r="B2" s="91" t="s">
        <v>2</v>
      </c>
      <c r="C2" s="92" t="s">
        <v>3</v>
      </c>
      <c r="D2" s="92" t="s">
        <v>4</v>
      </c>
      <c r="E2" s="92" t="s">
        <v>5</v>
      </c>
      <c r="F2" s="92" t="s">
        <v>6</v>
      </c>
      <c r="G2" s="93" t="s">
        <v>7</v>
      </c>
      <c r="H2" s="94"/>
    </row>
    <row r="3" spans="1:18">
      <c r="B3" s="95" t="s">
        <v>138</v>
      </c>
      <c r="C3" s="96">
        <v>14253</v>
      </c>
      <c r="D3" s="96">
        <v>14404</v>
      </c>
      <c r="E3" s="96">
        <v>15110</v>
      </c>
      <c r="F3" s="96">
        <v>17237</v>
      </c>
      <c r="G3" s="97">
        <v>19547</v>
      </c>
    </row>
    <row r="4" spans="1:18">
      <c r="B4" s="98" t="s">
        <v>139</v>
      </c>
      <c r="C4" s="99">
        <v>8.2600000000000007E-2</v>
      </c>
      <c r="D4" s="99">
        <v>1.06E-2</v>
      </c>
      <c r="E4" s="99">
        <v>4.9000000000000002E-2</v>
      </c>
      <c r="F4" s="99">
        <v>0.14080000000000001</v>
      </c>
      <c r="G4" s="100">
        <v>0.13400000000000001</v>
      </c>
    </row>
    <row r="5" spans="1:18">
      <c r="B5" s="101" t="s">
        <v>140</v>
      </c>
      <c r="C5" s="96">
        <v>11455</v>
      </c>
      <c r="D5" s="96">
        <v>11013</v>
      </c>
      <c r="E5" s="96">
        <v>11768</v>
      </c>
      <c r="F5" s="96">
        <v>13378</v>
      </c>
      <c r="G5" s="97">
        <v>14163</v>
      </c>
      <c r="J5" s="94"/>
      <c r="K5" s="94"/>
      <c r="L5" s="94"/>
      <c r="M5" s="94"/>
    </row>
    <row r="6" spans="1:18">
      <c r="B6" s="102" t="s">
        <v>141</v>
      </c>
      <c r="C6" s="103">
        <v>0.34520000000000001</v>
      </c>
      <c r="D6" s="103">
        <v>0.33339999999999997</v>
      </c>
      <c r="E6" s="103">
        <v>0.36699999999999999</v>
      </c>
      <c r="F6" s="103">
        <v>0.36609999999999998</v>
      </c>
      <c r="G6" s="104">
        <v>0.31859999999999999</v>
      </c>
      <c r="H6" s="105"/>
    </row>
    <row r="7" spans="1:18">
      <c r="B7" s="98" t="s">
        <v>142</v>
      </c>
      <c r="C7" s="106">
        <v>5014</v>
      </c>
      <c r="D7" s="106">
        <v>4958</v>
      </c>
      <c r="E7" s="106">
        <v>5908</v>
      </c>
      <c r="F7" s="106">
        <v>6072</v>
      </c>
      <c r="G7" s="107">
        <v>6478</v>
      </c>
    </row>
    <row r="8" spans="1:18">
      <c r="B8" s="98" t="s">
        <v>143</v>
      </c>
      <c r="C8" s="106">
        <v>-94</v>
      </c>
      <c r="D8" s="106">
        <v>-156</v>
      </c>
      <c r="E8" s="106">
        <v>-362</v>
      </c>
      <c r="F8" s="106">
        <v>238</v>
      </c>
      <c r="G8" s="107">
        <v>-250</v>
      </c>
    </row>
    <row r="9" spans="1:18">
      <c r="A9" s="105"/>
      <c r="B9" s="108" t="s">
        <v>144</v>
      </c>
      <c r="C9" s="103">
        <v>5.5800000000000002E-2</v>
      </c>
      <c r="D9" s="103">
        <v>5.1900000000000002E-2</v>
      </c>
      <c r="E9" s="103">
        <v>5.3699999999999998E-2</v>
      </c>
      <c r="F9" s="103">
        <v>4.8399999999999999E-2</v>
      </c>
      <c r="G9" s="104">
        <v>4.6699999999999998E-2</v>
      </c>
      <c r="H9" s="105"/>
      <c r="J9" s="105"/>
      <c r="K9" s="105"/>
      <c r="L9" s="105"/>
      <c r="M9" s="105"/>
      <c r="N9" s="105"/>
      <c r="O9" s="105"/>
      <c r="P9" s="105"/>
      <c r="Q9" s="105"/>
      <c r="R9" s="105"/>
    </row>
    <row r="10" spans="1:18">
      <c r="B10" s="108" t="s">
        <v>145</v>
      </c>
      <c r="C10" s="103">
        <v>0.16830000000000001</v>
      </c>
      <c r="D10" s="103">
        <v>0.15959999999999999</v>
      </c>
      <c r="E10" s="103">
        <v>0.1613</v>
      </c>
      <c r="F10" s="103">
        <v>0.16070000000000001</v>
      </c>
      <c r="G10" s="104">
        <v>0.16070000000000001</v>
      </c>
      <c r="H10" s="105"/>
    </row>
    <row r="11" spans="1:18">
      <c r="B11" s="108" t="s">
        <v>146</v>
      </c>
      <c r="C11" s="103">
        <v>0.2344</v>
      </c>
      <c r="D11" s="103">
        <v>0.21970000000000001</v>
      </c>
      <c r="E11" s="103">
        <v>0.19670000000000001</v>
      </c>
      <c r="F11" s="103">
        <v>0.20100000000000001</v>
      </c>
      <c r="G11" s="104">
        <v>0.19850000000000001</v>
      </c>
      <c r="H11" s="105"/>
    </row>
    <row r="12" spans="1:18">
      <c r="A12" s="105"/>
      <c r="B12" s="109" t="s">
        <v>147</v>
      </c>
      <c r="C12" s="103">
        <f t="shared" ref="C12:G12" si="0">C6*C3+C9*C3</f>
        <v>5715.4530000000004</v>
      </c>
      <c r="D12" s="103">
        <f t="shared" si="0"/>
        <v>5549.8612000000003</v>
      </c>
      <c r="E12" s="103">
        <f t="shared" si="0"/>
        <v>6356.777</v>
      </c>
      <c r="F12" s="103">
        <f t="shared" si="0"/>
        <v>7144.7365</v>
      </c>
      <c r="G12" s="104">
        <f t="shared" si="0"/>
        <v>7140.5190999999995</v>
      </c>
      <c r="H12" s="105"/>
      <c r="J12" s="105"/>
      <c r="K12" s="105"/>
      <c r="L12" s="105"/>
      <c r="M12" s="105"/>
      <c r="N12" s="105"/>
      <c r="O12" s="105"/>
      <c r="P12" s="105"/>
      <c r="Q12" s="105"/>
      <c r="R12" s="105"/>
    </row>
    <row r="13" spans="1:18" ht="15.75" customHeight="1">
      <c r="A13" s="105"/>
      <c r="B13" s="110" t="s">
        <v>16</v>
      </c>
      <c r="C13" s="103">
        <f t="shared" ref="C13:G13" si="1">C11*C3</f>
        <v>3340.9031999999997</v>
      </c>
      <c r="D13" s="103">
        <f t="shared" si="1"/>
        <v>3164.5588000000002</v>
      </c>
      <c r="E13" s="103">
        <f t="shared" si="1"/>
        <v>2972.1370000000002</v>
      </c>
      <c r="F13" s="103">
        <f t="shared" si="1"/>
        <v>3464.6370000000002</v>
      </c>
      <c r="G13" s="104">
        <f t="shared" si="1"/>
        <v>3880.0795000000003</v>
      </c>
      <c r="H13" s="105"/>
      <c r="J13" s="105"/>
      <c r="K13" s="105"/>
      <c r="L13" s="105"/>
      <c r="M13" s="105"/>
      <c r="N13" s="105"/>
      <c r="O13" s="105"/>
      <c r="P13" s="105"/>
      <c r="Q13" s="105"/>
      <c r="R13" s="105"/>
    </row>
    <row r="14" spans="1:18" ht="15.75" customHeight="1">
      <c r="A14" s="105"/>
      <c r="B14" s="110" t="s">
        <v>148</v>
      </c>
      <c r="C14" s="103">
        <f t="shared" ref="C14:G14" si="2">C10*C3</f>
        <v>2398.7799</v>
      </c>
      <c r="D14" s="103">
        <f t="shared" si="2"/>
        <v>2298.8784000000001</v>
      </c>
      <c r="E14" s="103">
        <f t="shared" si="2"/>
        <v>2437.2429999999999</v>
      </c>
      <c r="F14" s="103">
        <f t="shared" si="2"/>
        <v>2769.9859000000001</v>
      </c>
      <c r="G14" s="104">
        <f t="shared" si="2"/>
        <v>3141.2029000000002</v>
      </c>
      <c r="H14" s="105"/>
      <c r="J14" s="105"/>
      <c r="K14" s="105"/>
      <c r="L14" s="105"/>
      <c r="M14" s="105"/>
      <c r="N14" s="105"/>
      <c r="O14" s="105"/>
      <c r="P14" s="105"/>
      <c r="Q14" s="105"/>
      <c r="R14" s="105"/>
    </row>
    <row r="15" spans="1:18">
      <c r="A15" s="105"/>
      <c r="B15" s="111" t="s">
        <v>149</v>
      </c>
      <c r="C15" s="112">
        <v>2798</v>
      </c>
      <c r="D15" s="112">
        <v>3391</v>
      </c>
      <c r="E15" s="112">
        <v>3342</v>
      </c>
      <c r="F15" s="112">
        <v>3860</v>
      </c>
      <c r="G15" s="113">
        <v>5384</v>
      </c>
      <c r="J15" s="105"/>
      <c r="K15" s="105"/>
      <c r="L15" s="105"/>
      <c r="M15" s="105"/>
      <c r="N15" s="105"/>
      <c r="O15" s="105"/>
      <c r="P15" s="105"/>
      <c r="Q15" s="105"/>
      <c r="R15" s="105"/>
    </row>
    <row r="16" spans="1:18">
      <c r="A16" s="105"/>
      <c r="B16" s="108" t="s">
        <v>150</v>
      </c>
      <c r="C16" s="103">
        <v>0.2</v>
      </c>
      <c r="D16" s="103">
        <v>0.24</v>
      </c>
      <c r="E16" s="103">
        <v>0.22</v>
      </c>
      <c r="F16" s="103">
        <v>0.22</v>
      </c>
      <c r="G16" s="104">
        <v>0.28000000000000003</v>
      </c>
      <c r="H16" s="105"/>
      <c r="J16" s="105"/>
      <c r="K16" s="105"/>
      <c r="L16" s="105"/>
      <c r="M16" s="105"/>
      <c r="N16" s="105"/>
      <c r="O16" s="105"/>
      <c r="P16" s="105"/>
      <c r="Q16" s="105"/>
      <c r="R16" s="105"/>
    </row>
    <row r="17" spans="1:18">
      <c r="A17" s="105"/>
      <c r="B17" s="101" t="s">
        <v>151</v>
      </c>
      <c r="C17" s="96">
        <v>-264</v>
      </c>
      <c r="D17" s="96">
        <v>-231</v>
      </c>
      <c r="E17" s="96">
        <v>2581</v>
      </c>
      <c r="F17" s="96">
        <v>-422</v>
      </c>
      <c r="G17" s="97">
        <v>293</v>
      </c>
      <c r="J17" s="105"/>
      <c r="K17" s="105"/>
      <c r="L17" s="105"/>
      <c r="M17" s="105"/>
      <c r="N17" s="105"/>
      <c r="O17" s="105"/>
      <c r="P17" s="105"/>
      <c r="Q17" s="105"/>
      <c r="R17" s="105"/>
    </row>
    <row r="18" spans="1:18">
      <c r="B18" s="98" t="s">
        <v>152</v>
      </c>
      <c r="C18" s="106">
        <v>-378</v>
      </c>
      <c r="D18" s="106">
        <v>-277</v>
      </c>
      <c r="E18" s="106">
        <v>2357</v>
      </c>
      <c r="F18" s="106">
        <v>-588</v>
      </c>
      <c r="G18" s="107">
        <v>22</v>
      </c>
    </row>
    <row r="19" spans="1:18">
      <c r="A19" s="105"/>
      <c r="B19" s="98" t="s">
        <v>153</v>
      </c>
      <c r="C19" s="106">
        <v>113</v>
      </c>
      <c r="D19" s="106">
        <v>46</v>
      </c>
      <c r="E19" s="106">
        <v>225</v>
      </c>
      <c r="F19" s="106">
        <v>166</v>
      </c>
      <c r="G19" s="107">
        <v>271</v>
      </c>
      <c r="J19" s="105"/>
      <c r="K19" s="105"/>
      <c r="L19" s="105"/>
      <c r="M19" s="105"/>
      <c r="N19" s="105"/>
      <c r="O19" s="105"/>
      <c r="P19" s="105"/>
      <c r="Q19" s="105"/>
      <c r="R19" s="105"/>
    </row>
    <row r="20" spans="1:18">
      <c r="B20" s="114" t="s">
        <v>154</v>
      </c>
      <c r="C20" s="115">
        <v>342</v>
      </c>
      <c r="D20" s="115">
        <v>159</v>
      </c>
      <c r="E20" s="115">
        <v>127</v>
      </c>
      <c r="F20" s="115">
        <v>130</v>
      </c>
      <c r="G20" s="116">
        <v>81</v>
      </c>
    </row>
    <row r="21" spans="1:18">
      <c r="B21" s="98" t="s">
        <v>155</v>
      </c>
      <c r="C21" s="106">
        <v>696</v>
      </c>
      <c r="D21" s="106">
        <v>670</v>
      </c>
      <c r="E21" s="106">
        <v>713</v>
      </c>
      <c r="F21" s="106">
        <v>723</v>
      </c>
      <c r="G21" s="107">
        <v>764</v>
      </c>
    </row>
    <row r="22" spans="1:18" ht="12.75">
      <c r="B22" s="117" t="s">
        <v>156</v>
      </c>
      <c r="C22" s="118">
        <v>1495</v>
      </c>
      <c r="D22" s="118">
        <v>2331</v>
      </c>
      <c r="E22" s="118">
        <v>5084</v>
      </c>
      <c r="F22" s="118">
        <v>2585</v>
      </c>
      <c r="G22" s="119">
        <v>4832</v>
      </c>
    </row>
    <row r="23" spans="1:18" ht="12.75">
      <c r="B23" s="109" t="s">
        <v>157</v>
      </c>
      <c r="C23" s="103">
        <f t="shared" ref="C23:G23" si="3">C24*C15</f>
        <v>587.57999999999993</v>
      </c>
      <c r="D23" s="103">
        <f t="shared" si="3"/>
        <v>271.28000000000003</v>
      </c>
      <c r="E23" s="103">
        <f t="shared" si="3"/>
        <v>334.20000000000005</v>
      </c>
      <c r="F23" s="103">
        <f t="shared" si="3"/>
        <v>887.80000000000007</v>
      </c>
      <c r="G23" s="104">
        <f t="shared" si="3"/>
        <v>1076.8</v>
      </c>
      <c r="H23" s="105"/>
    </row>
    <row r="24" spans="1:18" ht="12.75">
      <c r="B24" s="108" t="s">
        <v>158</v>
      </c>
      <c r="C24" s="120">
        <v>0.21</v>
      </c>
      <c r="D24" s="103">
        <v>0.08</v>
      </c>
      <c r="E24" s="103">
        <v>0.1</v>
      </c>
      <c r="F24" s="103">
        <v>0.23</v>
      </c>
      <c r="G24" s="104">
        <v>0.2</v>
      </c>
      <c r="H24" s="105"/>
    </row>
    <row r="25" spans="1:18" ht="12.75">
      <c r="B25" s="101" t="s">
        <v>159</v>
      </c>
      <c r="C25" s="121">
        <v>1204</v>
      </c>
      <c r="D25" s="121">
        <v>2185</v>
      </c>
      <c r="E25" s="121">
        <v>4618</v>
      </c>
      <c r="F25" s="121">
        <v>2092</v>
      </c>
      <c r="G25" s="122">
        <v>3973</v>
      </c>
    </row>
    <row r="26" spans="1:18" ht="12.75">
      <c r="A26" s="105"/>
      <c r="B26" s="98" t="s">
        <v>160</v>
      </c>
      <c r="C26" s="106">
        <v>1176</v>
      </c>
      <c r="D26" s="106">
        <v>2138</v>
      </c>
      <c r="E26" s="106">
        <v>4572</v>
      </c>
      <c r="F26" s="106">
        <v>1997</v>
      </c>
      <c r="G26" s="107">
        <v>3854</v>
      </c>
      <c r="J26" s="105"/>
      <c r="K26" s="105"/>
      <c r="L26" s="105"/>
      <c r="M26" s="105"/>
      <c r="N26" s="105"/>
      <c r="O26" s="105"/>
      <c r="P26" s="105"/>
      <c r="Q26" s="105"/>
      <c r="R26" s="105"/>
    </row>
    <row r="27" spans="1:18" ht="12.75">
      <c r="A27" s="105"/>
      <c r="B27" s="98" t="s">
        <v>161</v>
      </c>
      <c r="C27" s="106">
        <v>29</v>
      </c>
      <c r="D27" s="106">
        <v>47</v>
      </c>
      <c r="E27" s="106">
        <v>46</v>
      </c>
      <c r="F27" s="106">
        <v>95</v>
      </c>
      <c r="G27" s="107">
        <v>118</v>
      </c>
      <c r="J27" s="105"/>
      <c r="K27" s="105"/>
      <c r="L27" s="105"/>
      <c r="M27" s="105"/>
      <c r="N27" s="105"/>
      <c r="O27" s="105"/>
      <c r="P27" s="105"/>
      <c r="Q27" s="105"/>
      <c r="R27" s="105"/>
    </row>
    <row r="28" spans="1:18" ht="12.75">
      <c r="B28" s="98" t="s">
        <v>162</v>
      </c>
      <c r="C28" s="106">
        <v>1204</v>
      </c>
      <c r="D28" s="106">
        <v>2185</v>
      </c>
      <c r="E28" s="106">
        <v>4618</v>
      </c>
      <c r="F28" s="106">
        <v>2092</v>
      </c>
      <c r="G28" s="107">
        <v>3973</v>
      </c>
    </row>
    <row r="29" spans="1:18" ht="12.75">
      <c r="B29" s="98" t="s">
        <v>163</v>
      </c>
      <c r="C29" s="106">
        <v>-28</v>
      </c>
      <c r="D29" s="106">
        <v>-51</v>
      </c>
      <c r="E29" s="106">
        <v>-131</v>
      </c>
      <c r="F29" s="106">
        <v>-132</v>
      </c>
      <c r="G29" s="107">
        <v>-113</v>
      </c>
    </row>
    <row r="30" spans="1:18" ht="12.75">
      <c r="B30" s="98" t="s">
        <v>164</v>
      </c>
      <c r="C30" s="106">
        <v>1177</v>
      </c>
      <c r="D30" s="106">
        <v>2134</v>
      </c>
      <c r="E30" s="106">
        <v>4487</v>
      </c>
      <c r="F30" s="106">
        <v>1960</v>
      </c>
      <c r="G30" s="107">
        <v>3860</v>
      </c>
    </row>
    <row r="31" spans="1:18" ht="12.75">
      <c r="B31" s="98" t="s">
        <v>165</v>
      </c>
      <c r="C31" s="106">
        <v>-297</v>
      </c>
      <c r="D31" s="106">
        <v>-236</v>
      </c>
      <c r="E31" s="106">
        <v>100</v>
      </c>
      <c r="F31" s="106">
        <v>-428</v>
      </c>
      <c r="G31" s="107">
        <v>-1</v>
      </c>
    </row>
    <row r="32" spans="1:18" ht="12.75">
      <c r="B32" s="98" t="s">
        <v>166</v>
      </c>
      <c r="C32" s="106">
        <v>1467</v>
      </c>
      <c r="D32" s="106">
        <v>2364</v>
      </c>
      <c r="E32" s="106">
        <v>4390</v>
      </c>
      <c r="F32" s="106">
        <v>2361</v>
      </c>
      <c r="G32" s="107">
        <v>3860</v>
      </c>
    </row>
    <row r="33" spans="1:18" ht="12.75">
      <c r="B33" s="98" t="s">
        <v>167</v>
      </c>
      <c r="C33" s="106">
        <v>11.49</v>
      </c>
      <c r="D33" s="106">
        <v>20.84</v>
      </c>
      <c r="E33" s="106">
        <v>43.83</v>
      </c>
      <c r="F33" s="106">
        <v>19.37</v>
      </c>
      <c r="G33" s="107">
        <v>38.36</v>
      </c>
    </row>
    <row r="34" spans="1:18" ht="12.75">
      <c r="B34" s="123" t="s">
        <v>168</v>
      </c>
      <c r="C34" s="124">
        <v>0.3</v>
      </c>
      <c r="D34" s="124">
        <v>0.17</v>
      </c>
      <c r="E34" s="124">
        <v>0.06</v>
      </c>
      <c r="F34" s="124">
        <v>0.31</v>
      </c>
      <c r="G34" s="125">
        <v>0.08</v>
      </c>
      <c r="H34" s="105"/>
    </row>
    <row r="37" spans="1:18" ht="12.75">
      <c r="A37" s="105"/>
      <c r="B37" s="105"/>
      <c r="J37" s="105"/>
      <c r="K37" s="105"/>
      <c r="L37" s="105"/>
      <c r="M37" s="105"/>
      <c r="N37" s="105"/>
      <c r="O37" s="105"/>
      <c r="P37" s="105"/>
      <c r="Q37" s="105"/>
      <c r="R37" s="105"/>
    </row>
    <row r="38" spans="1:18" ht="12.75">
      <c r="D38" s="90"/>
    </row>
    <row r="39" spans="1:18" ht="12.75">
      <c r="D39" s="90"/>
    </row>
    <row r="40" spans="1:18" ht="12.75">
      <c r="D40" s="90"/>
    </row>
    <row r="41" spans="1:18" ht="12.75">
      <c r="D41" s="90"/>
    </row>
    <row r="42" spans="1:18" ht="12.75">
      <c r="D42" s="90"/>
    </row>
    <row r="43" spans="1:18" ht="12.75">
      <c r="D43" s="90"/>
    </row>
    <row r="44" spans="1:18" ht="12.75">
      <c r="D44" s="90"/>
    </row>
    <row r="45" spans="1:18" ht="12.75">
      <c r="D45" s="90"/>
    </row>
    <row r="46" spans="1:18" ht="12.75">
      <c r="D46" s="90"/>
    </row>
    <row r="47" spans="1:18" ht="12.75">
      <c r="D47" s="90"/>
    </row>
    <row r="48" spans="1:18" ht="12.75">
      <c r="D48" s="90"/>
    </row>
    <row r="49" spans="4:4" ht="12.75">
      <c r="D49" s="90"/>
    </row>
    <row r="50" spans="4:4" ht="12.75">
      <c r="D50" s="90"/>
    </row>
    <row r="51" spans="4:4" ht="12.75">
      <c r="D51" s="90"/>
    </row>
    <row r="52" spans="4:4" ht="12.75">
      <c r="D52" s="90"/>
    </row>
    <row r="53" spans="4:4" ht="12.75">
      <c r="D53" s="90"/>
    </row>
    <row r="54" spans="4:4" ht="12.75">
      <c r="D54" s="90"/>
    </row>
    <row r="55" spans="4:4" ht="12.75">
      <c r="D55" s="90"/>
    </row>
    <row r="56" spans="4:4" ht="12.75">
      <c r="D56" s="90"/>
    </row>
    <row r="57" spans="4:4" ht="12.75">
      <c r="D57" s="90"/>
    </row>
    <row r="58" spans="4:4" ht="12.75">
      <c r="D58" s="90"/>
    </row>
    <row r="59" spans="4:4" ht="12.75">
      <c r="D59" s="90"/>
    </row>
    <row r="60" spans="4:4" ht="12.75">
      <c r="D60" s="90"/>
    </row>
    <row r="61" spans="4:4" ht="12.75">
      <c r="D61" s="90"/>
    </row>
    <row r="62" spans="4:4" ht="12.75">
      <c r="D62" s="90"/>
    </row>
    <row r="63" spans="4:4" ht="12.75">
      <c r="D63" s="90"/>
    </row>
    <row r="64" spans="4:4" ht="12.75">
      <c r="D64" s="90"/>
    </row>
    <row r="65" spans="4:4" ht="12.75">
      <c r="D65" s="90"/>
    </row>
    <row r="66" spans="4:4" ht="12.75">
      <c r="D66" s="90"/>
    </row>
    <row r="67" spans="4:4" ht="12.75">
      <c r="D67" s="90"/>
    </row>
    <row r="68" spans="4:4" ht="12.75">
      <c r="D68" s="90"/>
    </row>
    <row r="69" spans="4:4" ht="12.75">
      <c r="D69" s="90"/>
    </row>
    <row r="70" spans="4:4" ht="12.75">
      <c r="D70" s="90"/>
    </row>
    <row r="71" spans="4:4" ht="12.75">
      <c r="D71" s="90"/>
    </row>
    <row r="72" spans="4:4" ht="12.75">
      <c r="D72" s="90"/>
    </row>
    <row r="73" spans="4:4" ht="12.75">
      <c r="D73" s="90"/>
    </row>
    <row r="74" spans="4:4" ht="12.75">
      <c r="D74" s="90"/>
    </row>
    <row r="75" spans="4:4" ht="12.75">
      <c r="D75" s="90"/>
    </row>
    <row r="76" spans="4:4" ht="12.75">
      <c r="D76" s="90"/>
    </row>
    <row r="77" spans="4:4" ht="12.75">
      <c r="D77" s="90"/>
    </row>
    <row r="78" spans="4:4" ht="12.75">
      <c r="D78" s="90"/>
    </row>
    <row r="79" spans="4:4" ht="12.75">
      <c r="D79" s="90"/>
    </row>
    <row r="80" spans="4:4" ht="12.75">
      <c r="D80" s="90"/>
    </row>
    <row r="81" spans="4:4" ht="12.75">
      <c r="D81" s="90"/>
    </row>
    <row r="82" spans="4:4" ht="12.75">
      <c r="D82" s="90"/>
    </row>
    <row r="83" spans="4:4" ht="12.75">
      <c r="D83" s="90"/>
    </row>
    <row r="84" spans="4:4" ht="12.75">
      <c r="D84" s="90"/>
    </row>
    <row r="85" spans="4:4" ht="12.75">
      <c r="D85" s="90"/>
    </row>
    <row r="86" spans="4:4" ht="12.75">
      <c r="D86" s="90"/>
    </row>
    <row r="87" spans="4:4" ht="12.75">
      <c r="D87" s="90"/>
    </row>
    <row r="88" spans="4:4" ht="12.75">
      <c r="D88" s="90"/>
    </row>
    <row r="89" spans="4:4" ht="12.75">
      <c r="D89" s="90"/>
    </row>
    <row r="90" spans="4:4" ht="12.75">
      <c r="D90" s="90"/>
    </row>
    <row r="91" spans="4:4" ht="12.75">
      <c r="D91" s="90"/>
    </row>
    <row r="92" spans="4:4" ht="12.75">
      <c r="D92" s="90"/>
    </row>
    <row r="93" spans="4:4" ht="12.75">
      <c r="D93" s="90"/>
    </row>
    <row r="94" spans="4:4" ht="12.75">
      <c r="D94" s="90"/>
    </row>
    <row r="95" spans="4:4" ht="12.75">
      <c r="D95" s="90"/>
    </row>
    <row r="96" spans="4:4" ht="12.75">
      <c r="D96" s="90"/>
    </row>
    <row r="97" spans="4:4" ht="12.75">
      <c r="D97" s="90"/>
    </row>
    <row r="98" spans="4:4" ht="12.75">
      <c r="D98" s="90"/>
    </row>
    <row r="99" spans="4:4" ht="12.75">
      <c r="D99" s="90"/>
    </row>
    <row r="100" spans="4:4" ht="12.75">
      <c r="D100" s="90"/>
    </row>
    <row r="101" spans="4:4" ht="12.75">
      <c r="D101" s="90"/>
    </row>
    <row r="102" spans="4:4" ht="12.75">
      <c r="D102" s="90"/>
    </row>
    <row r="103" spans="4:4" ht="12.75">
      <c r="D103" s="90"/>
    </row>
    <row r="104" spans="4:4" ht="12.75">
      <c r="D104" s="90"/>
    </row>
    <row r="105" spans="4:4" ht="12.75">
      <c r="D105" s="90"/>
    </row>
    <row r="106" spans="4:4" ht="12.75">
      <c r="D106" s="90"/>
    </row>
    <row r="107" spans="4:4" ht="12.75">
      <c r="D107" s="90"/>
    </row>
    <row r="108" spans="4:4" ht="12.75">
      <c r="D108" s="90"/>
    </row>
    <row r="109" spans="4:4" ht="12.75">
      <c r="D109" s="90"/>
    </row>
    <row r="110" spans="4:4" ht="12.75">
      <c r="D110" s="90"/>
    </row>
    <row r="111" spans="4:4" ht="12.75">
      <c r="D111" s="90"/>
    </row>
    <row r="112" spans="4:4" ht="12.75">
      <c r="D112" s="90"/>
    </row>
    <row r="113" spans="4:4" ht="12.75">
      <c r="D113" s="90"/>
    </row>
    <row r="114" spans="4:4" ht="12.75">
      <c r="D114" s="90"/>
    </row>
    <row r="115" spans="4:4" ht="12.75">
      <c r="D115" s="90"/>
    </row>
    <row r="116" spans="4:4" ht="12.75">
      <c r="D116" s="90"/>
    </row>
    <row r="117" spans="4:4" ht="12.75">
      <c r="D117" s="90"/>
    </row>
    <row r="118" spans="4:4" ht="12.75">
      <c r="D118" s="90"/>
    </row>
    <row r="119" spans="4:4" ht="12.75">
      <c r="D119" s="90"/>
    </row>
    <row r="120" spans="4:4" ht="12.75">
      <c r="D120" s="90"/>
    </row>
    <row r="121" spans="4:4" ht="12.75">
      <c r="D121" s="90"/>
    </row>
    <row r="122" spans="4:4" ht="12.75">
      <c r="D122" s="90"/>
    </row>
    <row r="123" spans="4:4" ht="12.75">
      <c r="D123" s="90"/>
    </row>
    <row r="124" spans="4:4" ht="12.75">
      <c r="D124" s="90"/>
    </row>
    <row r="125" spans="4:4" ht="12.75">
      <c r="D125" s="90"/>
    </row>
    <row r="126" spans="4:4" ht="12.75">
      <c r="D126" s="90"/>
    </row>
    <row r="127" spans="4:4" ht="12.75">
      <c r="D127" s="90"/>
    </row>
    <row r="128" spans="4:4" ht="12.75">
      <c r="D128" s="90"/>
    </row>
    <row r="129" spans="4:4" ht="12.75">
      <c r="D129" s="90"/>
    </row>
    <row r="130" spans="4:4" ht="12.75">
      <c r="D130" s="90"/>
    </row>
    <row r="131" spans="4:4" ht="12.75">
      <c r="D131" s="90"/>
    </row>
    <row r="132" spans="4:4" ht="12.75">
      <c r="D132" s="90"/>
    </row>
    <row r="133" spans="4:4" ht="12.75">
      <c r="D133" s="90"/>
    </row>
    <row r="134" spans="4:4" ht="12.75">
      <c r="D134" s="90"/>
    </row>
    <row r="135" spans="4:4" ht="12.75">
      <c r="D135" s="90"/>
    </row>
    <row r="136" spans="4:4" ht="12.75">
      <c r="D136" s="90"/>
    </row>
    <row r="137" spans="4:4" ht="12.75">
      <c r="D137" s="90"/>
    </row>
    <row r="138" spans="4:4" ht="12.75">
      <c r="D138" s="90"/>
    </row>
    <row r="139" spans="4:4" ht="12.75">
      <c r="D139" s="90"/>
    </row>
    <row r="140" spans="4:4" ht="12.75">
      <c r="D140" s="90"/>
    </row>
    <row r="141" spans="4:4" ht="12.75">
      <c r="D141" s="90"/>
    </row>
    <row r="142" spans="4:4" ht="12.75">
      <c r="D142" s="90"/>
    </row>
    <row r="143" spans="4:4" ht="12.75">
      <c r="D143" s="90"/>
    </row>
    <row r="144" spans="4:4" ht="12.75">
      <c r="D144" s="90"/>
    </row>
    <row r="145" spans="4:4" ht="12.75">
      <c r="D145" s="90"/>
    </row>
    <row r="146" spans="4:4" ht="12.75">
      <c r="D146" s="90"/>
    </row>
    <row r="147" spans="4:4" ht="12.75">
      <c r="D147" s="90"/>
    </row>
    <row r="148" spans="4:4" ht="12.75">
      <c r="D148" s="90"/>
    </row>
    <row r="149" spans="4:4" ht="12.75">
      <c r="D149" s="90"/>
    </row>
    <row r="150" spans="4:4" ht="12.75">
      <c r="D150" s="90"/>
    </row>
    <row r="151" spans="4:4" ht="12.75">
      <c r="D151" s="90"/>
    </row>
    <row r="152" spans="4:4" ht="12.75">
      <c r="D152" s="90"/>
    </row>
    <row r="153" spans="4:4" ht="12.75">
      <c r="D153" s="90"/>
    </row>
    <row r="154" spans="4:4" ht="12.75">
      <c r="D154" s="90"/>
    </row>
    <row r="155" spans="4:4" ht="12.75">
      <c r="D155" s="90"/>
    </row>
    <row r="156" spans="4:4" ht="12.75">
      <c r="D156" s="90"/>
    </row>
    <row r="157" spans="4:4" ht="12.75">
      <c r="D157" s="90"/>
    </row>
    <row r="158" spans="4:4" ht="12.75">
      <c r="D158" s="90"/>
    </row>
    <row r="159" spans="4:4" ht="12.75">
      <c r="D159" s="90"/>
    </row>
    <row r="160" spans="4:4" ht="12.75">
      <c r="D160" s="90"/>
    </row>
    <row r="161" spans="4:4" ht="12.75">
      <c r="D161" s="90"/>
    </row>
    <row r="162" spans="4:4" ht="12.75">
      <c r="D162" s="90"/>
    </row>
    <row r="163" spans="4:4" ht="12.75">
      <c r="D163" s="90"/>
    </row>
    <row r="164" spans="4:4" ht="12.75">
      <c r="D164" s="90"/>
    </row>
    <row r="165" spans="4:4" ht="12.75">
      <c r="D165" s="90"/>
    </row>
    <row r="166" spans="4:4" ht="12.75">
      <c r="D166" s="90"/>
    </row>
    <row r="167" spans="4:4" ht="12.75">
      <c r="D167" s="90"/>
    </row>
    <row r="168" spans="4:4" ht="12.75">
      <c r="D168" s="90"/>
    </row>
    <row r="169" spans="4:4" ht="12.75">
      <c r="D169" s="90"/>
    </row>
    <row r="170" spans="4:4" ht="12.75">
      <c r="D170" s="90"/>
    </row>
    <row r="171" spans="4:4" ht="12.75">
      <c r="D171" s="90"/>
    </row>
    <row r="172" spans="4:4" ht="12.75">
      <c r="D172" s="90"/>
    </row>
    <row r="173" spans="4:4" ht="12.75">
      <c r="D173" s="90"/>
    </row>
    <row r="174" spans="4:4" ht="12.75">
      <c r="D174" s="90"/>
    </row>
    <row r="175" spans="4:4" ht="12.75">
      <c r="D175" s="90"/>
    </row>
    <row r="176" spans="4:4" ht="12.75">
      <c r="D176" s="90"/>
    </row>
    <row r="177" spans="4:4" ht="12.75">
      <c r="D177" s="90"/>
    </row>
    <row r="178" spans="4:4" ht="12.75">
      <c r="D178" s="90"/>
    </row>
    <row r="179" spans="4:4" ht="12.75">
      <c r="D179" s="90"/>
    </row>
    <row r="180" spans="4:4" ht="12.75">
      <c r="D180" s="90"/>
    </row>
    <row r="181" spans="4:4" ht="12.75">
      <c r="D181" s="90"/>
    </row>
    <row r="182" spans="4:4" ht="12.75">
      <c r="D182" s="90"/>
    </row>
    <row r="183" spans="4:4" ht="12.75">
      <c r="D183" s="90"/>
    </row>
    <row r="184" spans="4:4" ht="12.75">
      <c r="D184" s="90"/>
    </row>
    <row r="185" spans="4:4" ht="12.75">
      <c r="D185" s="90"/>
    </row>
    <row r="186" spans="4:4" ht="12.75">
      <c r="D186" s="90"/>
    </row>
    <row r="187" spans="4:4" ht="12.75">
      <c r="D187" s="90"/>
    </row>
    <row r="188" spans="4:4" ht="12.75">
      <c r="D188" s="90"/>
    </row>
    <row r="189" spans="4:4" ht="12.75">
      <c r="D189" s="90"/>
    </row>
    <row r="190" spans="4:4" ht="12.75">
      <c r="D190" s="90"/>
    </row>
    <row r="191" spans="4:4" ht="12.75">
      <c r="D191" s="90"/>
    </row>
    <row r="192" spans="4:4" ht="12.75">
      <c r="D192" s="90"/>
    </row>
    <row r="193" spans="4:4" ht="12.75">
      <c r="D193" s="90"/>
    </row>
    <row r="194" spans="4:4" ht="12.75">
      <c r="D194" s="90"/>
    </row>
    <row r="195" spans="4:4" ht="12.75">
      <c r="D195" s="90"/>
    </row>
    <row r="196" spans="4:4" ht="12.75">
      <c r="D196" s="90"/>
    </row>
    <row r="197" spans="4:4" ht="12.75">
      <c r="D197" s="90"/>
    </row>
    <row r="198" spans="4:4" ht="12.75">
      <c r="D198" s="90"/>
    </row>
    <row r="199" spans="4:4" ht="12.75">
      <c r="D199" s="90"/>
    </row>
    <row r="200" spans="4:4" ht="12.75">
      <c r="D200" s="90"/>
    </row>
    <row r="201" spans="4:4" ht="12.75">
      <c r="D201" s="90"/>
    </row>
    <row r="202" spans="4:4" ht="12.75">
      <c r="D202" s="90"/>
    </row>
    <row r="203" spans="4:4" ht="12.75">
      <c r="D203" s="90"/>
    </row>
    <row r="204" spans="4:4" ht="12.75">
      <c r="D204" s="90"/>
    </row>
    <row r="205" spans="4:4" ht="12.75">
      <c r="D205" s="90"/>
    </row>
    <row r="206" spans="4:4" ht="12.75">
      <c r="D206" s="90"/>
    </row>
    <row r="207" spans="4:4" ht="12.75">
      <c r="D207" s="90"/>
    </row>
    <row r="208" spans="4:4" ht="12.75">
      <c r="D208" s="90"/>
    </row>
    <row r="209" spans="4:4" ht="12.75">
      <c r="D209" s="90"/>
    </row>
    <row r="210" spans="4:4" ht="12.75">
      <c r="D210" s="90"/>
    </row>
    <row r="211" spans="4:4" ht="12.75">
      <c r="D211" s="90"/>
    </row>
    <row r="212" spans="4:4" ht="12.75">
      <c r="D212" s="90"/>
    </row>
    <row r="213" spans="4:4" ht="12.75">
      <c r="D213" s="90"/>
    </row>
    <row r="214" spans="4:4" ht="12.75">
      <c r="D214" s="90"/>
    </row>
    <row r="215" spans="4:4" ht="12.75">
      <c r="D215" s="90"/>
    </row>
    <row r="216" spans="4:4" ht="12.75">
      <c r="D216" s="90"/>
    </row>
    <row r="217" spans="4:4" ht="12.75">
      <c r="D217" s="90"/>
    </row>
    <row r="218" spans="4:4" ht="12.75">
      <c r="D218" s="90"/>
    </row>
    <row r="219" spans="4:4" ht="12.75">
      <c r="D219" s="90"/>
    </row>
    <row r="220" spans="4:4" ht="12.75">
      <c r="D220" s="90"/>
    </row>
    <row r="221" spans="4:4" ht="12.75">
      <c r="D221" s="90"/>
    </row>
    <row r="222" spans="4:4" ht="12.75">
      <c r="D222" s="90"/>
    </row>
    <row r="223" spans="4:4" ht="12.75">
      <c r="D223" s="90"/>
    </row>
    <row r="224" spans="4:4" ht="12.75">
      <c r="D224" s="90"/>
    </row>
    <row r="225" spans="4:4" ht="12.75">
      <c r="D225" s="90"/>
    </row>
    <row r="226" spans="4:4" ht="12.75">
      <c r="D226" s="90"/>
    </row>
    <row r="227" spans="4:4" ht="12.75">
      <c r="D227" s="90"/>
    </row>
    <row r="228" spans="4:4" ht="12.75">
      <c r="D228" s="90"/>
    </row>
    <row r="229" spans="4:4" ht="12.75">
      <c r="D229" s="90"/>
    </row>
    <row r="230" spans="4:4" ht="12.75">
      <c r="D230" s="90"/>
    </row>
    <row r="231" spans="4:4" ht="12.75">
      <c r="D231" s="90"/>
    </row>
    <row r="232" spans="4:4" ht="12.75">
      <c r="D232" s="90"/>
    </row>
    <row r="233" spans="4:4" ht="12.75">
      <c r="D233" s="90"/>
    </row>
    <row r="234" spans="4:4" ht="12.75">
      <c r="D234" s="90"/>
    </row>
    <row r="235" spans="4:4" ht="12.75">
      <c r="D235" s="90"/>
    </row>
    <row r="236" spans="4:4" ht="12.75">
      <c r="D236" s="90"/>
    </row>
    <row r="237" spans="4:4" ht="12.75">
      <c r="D237" s="90"/>
    </row>
    <row r="238" spans="4:4" ht="12.75">
      <c r="D238" s="90"/>
    </row>
    <row r="239" spans="4:4" ht="12.75">
      <c r="D239" s="90"/>
    </row>
    <row r="240" spans="4:4" ht="12.75">
      <c r="D240" s="90"/>
    </row>
    <row r="241" spans="4:4" ht="12.75">
      <c r="D241" s="90"/>
    </row>
    <row r="242" spans="4:4" ht="12.75">
      <c r="D242" s="90"/>
    </row>
    <row r="243" spans="4:4" ht="12.75">
      <c r="D243" s="90"/>
    </row>
    <row r="244" spans="4:4" ht="12.75">
      <c r="D244" s="90"/>
    </row>
    <row r="245" spans="4:4" ht="12.75">
      <c r="D245" s="90"/>
    </row>
    <row r="246" spans="4:4" ht="12.75">
      <c r="D246" s="90"/>
    </row>
    <row r="247" spans="4:4" ht="12.75">
      <c r="D247" s="90"/>
    </row>
    <row r="248" spans="4:4" ht="12.75">
      <c r="D248" s="90"/>
    </row>
    <row r="249" spans="4:4" ht="12.75">
      <c r="D249" s="90"/>
    </row>
    <row r="250" spans="4:4" ht="12.75">
      <c r="D250" s="90"/>
    </row>
    <row r="251" spans="4:4" ht="12.75">
      <c r="D251" s="90"/>
    </row>
    <row r="252" spans="4:4" ht="12.75">
      <c r="D252" s="90"/>
    </row>
    <row r="253" spans="4:4" ht="12.75">
      <c r="D253" s="90"/>
    </row>
    <row r="254" spans="4:4" ht="12.75">
      <c r="D254" s="90"/>
    </row>
    <row r="255" spans="4:4" ht="12.75">
      <c r="D255" s="90"/>
    </row>
    <row r="256" spans="4:4" ht="12.75">
      <c r="D256" s="90"/>
    </row>
    <row r="257" spans="4:4" ht="12.75">
      <c r="D257" s="90"/>
    </row>
    <row r="258" spans="4:4" ht="12.75">
      <c r="D258" s="90"/>
    </row>
    <row r="259" spans="4:4" ht="12.75">
      <c r="D259" s="90"/>
    </row>
    <row r="260" spans="4:4" ht="12.75">
      <c r="D260" s="90"/>
    </row>
    <row r="261" spans="4:4" ht="12.75">
      <c r="D261" s="90"/>
    </row>
    <row r="262" spans="4:4" ht="12.75">
      <c r="D262" s="90"/>
    </row>
    <row r="263" spans="4:4" ht="12.75">
      <c r="D263" s="90"/>
    </row>
    <row r="264" spans="4:4" ht="12.75">
      <c r="D264" s="90"/>
    </row>
    <row r="265" spans="4:4" ht="12.75">
      <c r="D265" s="90"/>
    </row>
    <row r="266" spans="4:4" ht="12.75">
      <c r="D266" s="90"/>
    </row>
    <row r="267" spans="4:4" ht="12.75">
      <c r="D267" s="90"/>
    </row>
    <row r="268" spans="4:4" ht="12.75">
      <c r="D268" s="90"/>
    </row>
    <row r="269" spans="4:4" ht="12.75">
      <c r="D269" s="90"/>
    </row>
    <row r="270" spans="4:4" ht="12.75">
      <c r="D270" s="90"/>
    </row>
    <row r="271" spans="4:4" ht="12.75">
      <c r="D271" s="90"/>
    </row>
    <row r="272" spans="4:4" ht="12.75">
      <c r="D272" s="90"/>
    </row>
    <row r="273" spans="4:4" ht="12.75">
      <c r="D273" s="90"/>
    </row>
    <row r="274" spans="4:4" ht="12.75">
      <c r="D274" s="90"/>
    </row>
    <row r="275" spans="4:4" ht="12.75">
      <c r="D275" s="90"/>
    </row>
    <row r="276" spans="4:4" ht="12.75">
      <c r="D276" s="90"/>
    </row>
    <row r="277" spans="4:4" ht="12.75">
      <c r="D277" s="90"/>
    </row>
    <row r="278" spans="4:4" ht="12.75">
      <c r="D278" s="90"/>
    </row>
    <row r="279" spans="4:4" ht="12.75">
      <c r="D279" s="90"/>
    </row>
    <row r="280" spans="4:4" ht="12.75">
      <c r="D280" s="90"/>
    </row>
    <row r="281" spans="4:4" ht="12.75">
      <c r="D281" s="90"/>
    </row>
    <row r="282" spans="4:4" ht="12.75">
      <c r="D282" s="90"/>
    </row>
    <row r="283" spans="4:4" ht="12.75">
      <c r="D283" s="90"/>
    </row>
    <row r="284" spans="4:4" ht="12.75">
      <c r="D284" s="90"/>
    </row>
    <row r="285" spans="4:4" ht="12.75">
      <c r="D285" s="90"/>
    </row>
    <row r="286" spans="4:4" ht="12.75">
      <c r="D286" s="90"/>
    </row>
    <row r="287" spans="4:4" ht="12.75">
      <c r="D287" s="90"/>
    </row>
    <row r="288" spans="4:4" ht="12.75">
      <c r="D288" s="90"/>
    </row>
    <row r="289" spans="4:4" ht="12.75">
      <c r="D289" s="90"/>
    </row>
    <row r="290" spans="4:4" ht="12.75">
      <c r="D290" s="90"/>
    </row>
    <row r="291" spans="4:4" ht="12.75">
      <c r="D291" s="90"/>
    </row>
    <row r="292" spans="4:4" ht="12.75">
      <c r="D292" s="90"/>
    </row>
    <row r="293" spans="4:4" ht="12.75">
      <c r="D293" s="90"/>
    </row>
    <row r="294" spans="4:4" ht="12.75">
      <c r="D294" s="90"/>
    </row>
    <row r="295" spans="4:4" ht="12.75">
      <c r="D295" s="90"/>
    </row>
    <row r="296" spans="4:4" ht="12.75">
      <c r="D296" s="90"/>
    </row>
    <row r="297" spans="4:4" ht="12.75">
      <c r="D297" s="90"/>
    </row>
    <row r="298" spans="4:4" ht="12.75">
      <c r="D298" s="90"/>
    </row>
    <row r="299" spans="4:4" ht="12.75">
      <c r="D299" s="90"/>
    </row>
    <row r="300" spans="4:4" ht="12.75">
      <c r="D300" s="90"/>
    </row>
    <row r="301" spans="4:4" ht="12.75">
      <c r="D301" s="90"/>
    </row>
    <row r="302" spans="4:4" ht="12.75">
      <c r="D302" s="90"/>
    </row>
    <row r="303" spans="4:4" ht="12.75">
      <c r="D303" s="90"/>
    </row>
    <row r="304" spans="4:4" ht="12.75">
      <c r="D304" s="90"/>
    </row>
    <row r="305" spans="4:4" ht="12.75">
      <c r="D305" s="90"/>
    </row>
    <row r="306" spans="4:4" ht="12.75">
      <c r="D306" s="90"/>
    </row>
    <row r="307" spans="4:4" ht="12.75">
      <c r="D307" s="90"/>
    </row>
    <row r="308" spans="4:4" ht="12.75">
      <c r="D308" s="90"/>
    </row>
    <row r="309" spans="4:4" ht="12.75">
      <c r="D309" s="90"/>
    </row>
    <row r="310" spans="4:4" ht="12.75">
      <c r="D310" s="90"/>
    </row>
    <row r="311" spans="4:4" ht="12.75">
      <c r="D311" s="90"/>
    </row>
    <row r="312" spans="4:4" ht="12.75">
      <c r="D312" s="90"/>
    </row>
    <row r="313" spans="4:4" ht="12.75">
      <c r="D313" s="90"/>
    </row>
    <row r="314" spans="4:4" ht="12.75">
      <c r="D314" s="90"/>
    </row>
    <row r="315" spans="4:4" ht="12.75">
      <c r="D315" s="90"/>
    </row>
    <row r="316" spans="4:4" ht="12.75">
      <c r="D316" s="90"/>
    </row>
    <row r="317" spans="4:4" ht="12.75">
      <c r="D317" s="90"/>
    </row>
    <row r="318" spans="4:4" ht="12.75">
      <c r="D318" s="90"/>
    </row>
    <row r="319" spans="4:4" ht="12.75">
      <c r="D319" s="90"/>
    </row>
    <row r="320" spans="4:4" ht="12.75">
      <c r="D320" s="90"/>
    </row>
    <row r="321" spans="4:4" ht="12.75">
      <c r="D321" s="90"/>
    </row>
    <row r="322" spans="4:4" ht="12.75">
      <c r="D322" s="90"/>
    </row>
    <row r="323" spans="4:4" ht="12.75">
      <c r="D323" s="90"/>
    </row>
    <row r="324" spans="4:4" ht="12.75">
      <c r="D324" s="90"/>
    </row>
    <row r="325" spans="4:4" ht="12.75">
      <c r="D325" s="90"/>
    </row>
    <row r="326" spans="4:4" ht="12.75">
      <c r="D326" s="90"/>
    </row>
    <row r="327" spans="4:4" ht="12.75">
      <c r="D327" s="90"/>
    </row>
    <row r="328" spans="4:4" ht="12.75">
      <c r="D328" s="90"/>
    </row>
    <row r="329" spans="4:4" ht="12.75">
      <c r="D329" s="90"/>
    </row>
    <row r="330" spans="4:4" ht="12.75">
      <c r="D330" s="90"/>
    </row>
    <row r="331" spans="4:4" ht="12.75">
      <c r="D331" s="90"/>
    </row>
    <row r="332" spans="4:4" ht="12.75">
      <c r="D332" s="90"/>
    </row>
    <row r="333" spans="4:4" ht="12.75">
      <c r="D333" s="90"/>
    </row>
    <row r="334" spans="4:4" ht="12.75">
      <c r="D334" s="90"/>
    </row>
    <row r="335" spans="4:4" ht="12.75">
      <c r="D335" s="90"/>
    </row>
    <row r="336" spans="4:4" ht="12.75">
      <c r="D336" s="90"/>
    </row>
    <row r="337" spans="4:4" ht="12.75">
      <c r="D337" s="90"/>
    </row>
    <row r="338" spans="4:4" ht="12.75">
      <c r="D338" s="90"/>
    </row>
    <row r="339" spans="4:4" ht="12.75">
      <c r="D339" s="90"/>
    </row>
    <row r="340" spans="4:4" ht="12.75">
      <c r="D340" s="90"/>
    </row>
    <row r="341" spans="4:4" ht="12.75">
      <c r="D341" s="90"/>
    </row>
    <row r="342" spans="4:4" ht="12.75">
      <c r="D342" s="90"/>
    </row>
    <row r="343" spans="4:4" ht="12.75">
      <c r="D343" s="90"/>
    </row>
    <row r="344" spans="4:4" ht="12.75">
      <c r="D344" s="90"/>
    </row>
    <row r="345" spans="4:4" ht="12.75">
      <c r="D345" s="90"/>
    </row>
    <row r="346" spans="4:4" ht="12.75">
      <c r="D346" s="90"/>
    </row>
    <row r="347" spans="4:4" ht="12.75">
      <c r="D347" s="90"/>
    </row>
    <row r="348" spans="4:4" ht="12.75">
      <c r="D348" s="90"/>
    </row>
    <row r="349" spans="4:4" ht="12.75">
      <c r="D349" s="90"/>
    </row>
    <row r="350" spans="4:4" ht="12.75">
      <c r="D350" s="90"/>
    </row>
    <row r="351" spans="4:4" ht="12.75">
      <c r="D351" s="90"/>
    </row>
    <row r="352" spans="4:4" ht="12.75">
      <c r="D352" s="90"/>
    </row>
    <row r="353" spans="4:4" ht="12.75">
      <c r="D353" s="90"/>
    </row>
    <row r="354" spans="4:4" ht="12.75">
      <c r="D354" s="90"/>
    </row>
    <row r="355" spans="4:4" ht="12.75">
      <c r="D355" s="90"/>
    </row>
    <row r="356" spans="4:4" ht="12.75">
      <c r="D356" s="90"/>
    </row>
    <row r="357" spans="4:4" ht="12.75">
      <c r="D357" s="90"/>
    </row>
    <row r="358" spans="4:4" ht="12.75">
      <c r="D358" s="90"/>
    </row>
    <row r="359" spans="4:4" ht="12.75">
      <c r="D359" s="90"/>
    </row>
    <row r="360" spans="4:4" ht="12.75">
      <c r="D360" s="90"/>
    </row>
    <row r="361" spans="4:4" ht="12.75">
      <c r="D361" s="90"/>
    </row>
    <row r="362" spans="4:4" ht="12.75">
      <c r="D362" s="90"/>
    </row>
    <row r="363" spans="4:4" ht="12.75">
      <c r="D363" s="90"/>
    </row>
    <row r="364" spans="4:4" ht="12.75">
      <c r="D364" s="90"/>
    </row>
    <row r="365" spans="4:4" ht="12.75">
      <c r="D365" s="90"/>
    </row>
    <row r="366" spans="4:4" ht="12.75">
      <c r="D366" s="90"/>
    </row>
    <row r="367" spans="4:4" ht="12.75">
      <c r="D367" s="90"/>
    </row>
    <row r="368" spans="4:4" ht="12.75">
      <c r="D368" s="90"/>
    </row>
    <row r="369" spans="4:4" ht="12.75">
      <c r="D369" s="90"/>
    </row>
    <row r="370" spans="4:4" ht="12.75">
      <c r="D370" s="90"/>
    </row>
    <row r="371" spans="4:4" ht="12.75">
      <c r="D371" s="90"/>
    </row>
    <row r="372" spans="4:4" ht="12.75">
      <c r="D372" s="90"/>
    </row>
    <row r="373" spans="4:4" ht="12.75">
      <c r="D373" s="90"/>
    </row>
    <row r="374" spans="4:4" ht="12.75">
      <c r="D374" s="90"/>
    </row>
    <row r="375" spans="4:4" ht="12.75">
      <c r="D375" s="90"/>
    </row>
    <row r="376" spans="4:4" ht="12.75">
      <c r="D376" s="90"/>
    </row>
    <row r="377" spans="4:4" ht="12.75">
      <c r="D377" s="90"/>
    </row>
    <row r="378" spans="4:4" ht="12.75">
      <c r="D378" s="90"/>
    </row>
    <row r="379" spans="4:4" ht="12.75">
      <c r="D379" s="90"/>
    </row>
    <row r="380" spans="4:4" ht="12.75">
      <c r="D380" s="90"/>
    </row>
    <row r="381" spans="4:4" ht="12.75">
      <c r="D381" s="90"/>
    </row>
    <row r="382" spans="4:4" ht="12.75">
      <c r="D382" s="90"/>
    </row>
    <row r="383" spans="4:4" ht="12.75">
      <c r="D383" s="90"/>
    </row>
    <row r="384" spans="4:4" ht="12.75">
      <c r="D384" s="90"/>
    </row>
    <row r="385" spans="4:4" ht="12.75">
      <c r="D385" s="90"/>
    </row>
    <row r="386" spans="4:4" ht="12.75">
      <c r="D386" s="90"/>
    </row>
    <row r="387" spans="4:4" ht="12.75">
      <c r="D387" s="90"/>
    </row>
    <row r="388" spans="4:4" ht="12.75">
      <c r="D388" s="90"/>
    </row>
    <row r="389" spans="4:4" ht="12.75">
      <c r="D389" s="90"/>
    </row>
    <row r="390" spans="4:4" ht="12.75">
      <c r="D390" s="90"/>
    </row>
    <row r="391" spans="4:4" ht="12.75">
      <c r="D391" s="90"/>
    </row>
    <row r="392" spans="4:4" ht="12.75">
      <c r="D392" s="90"/>
    </row>
    <row r="393" spans="4:4" ht="12.75">
      <c r="D393" s="90"/>
    </row>
    <row r="394" spans="4:4" ht="12.75">
      <c r="D394" s="90"/>
    </row>
    <row r="395" spans="4:4" ht="12.75">
      <c r="D395" s="90"/>
    </row>
    <row r="396" spans="4:4" ht="12.75">
      <c r="D396" s="90"/>
    </row>
    <row r="397" spans="4:4" ht="12.75">
      <c r="D397" s="90"/>
    </row>
    <row r="398" spans="4:4" ht="12.75">
      <c r="D398" s="90"/>
    </row>
    <row r="399" spans="4:4" ht="12.75">
      <c r="D399" s="90"/>
    </row>
    <row r="400" spans="4:4" ht="12.75">
      <c r="D400" s="90"/>
    </row>
    <row r="401" spans="4:4" ht="12.75">
      <c r="D401" s="90"/>
    </row>
    <row r="402" spans="4:4" ht="12.75">
      <c r="D402" s="90"/>
    </row>
    <row r="403" spans="4:4" ht="12.75">
      <c r="D403" s="90"/>
    </row>
    <row r="404" spans="4:4" ht="12.75">
      <c r="D404" s="90"/>
    </row>
    <row r="405" spans="4:4" ht="12.75">
      <c r="D405" s="90"/>
    </row>
    <row r="406" spans="4:4" ht="12.75">
      <c r="D406" s="90"/>
    </row>
    <row r="407" spans="4:4" ht="12.75">
      <c r="D407" s="90"/>
    </row>
    <row r="408" spans="4:4" ht="12.75">
      <c r="D408" s="90"/>
    </row>
    <row r="409" spans="4:4" ht="12.75">
      <c r="D409" s="90"/>
    </row>
    <row r="410" spans="4:4" ht="12.75">
      <c r="D410" s="90"/>
    </row>
    <row r="411" spans="4:4" ht="12.75">
      <c r="D411" s="90"/>
    </row>
    <row r="412" spans="4:4" ht="12.75">
      <c r="D412" s="90"/>
    </row>
    <row r="413" spans="4:4" ht="12.75">
      <c r="D413" s="90"/>
    </row>
    <row r="414" spans="4:4" ht="12.75">
      <c r="D414" s="90"/>
    </row>
    <row r="415" spans="4:4" ht="12.75">
      <c r="D415" s="90"/>
    </row>
    <row r="416" spans="4:4" ht="12.75">
      <c r="D416" s="90"/>
    </row>
    <row r="417" spans="4:4" ht="12.75">
      <c r="D417" s="90"/>
    </row>
    <row r="418" spans="4:4" ht="12.75">
      <c r="D418" s="90"/>
    </row>
    <row r="419" spans="4:4" ht="12.75">
      <c r="D419" s="90"/>
    </row>
    <row r="420" spans="4:4" ht="12.75">
      <c r="D420" s="90"/>
    </row>
    <row r="421" spans="4:4" ht="12.75">
      <c r="D421" s="90"/>
    </row>
    <row r="422" spans="4:4" ht="12.75">
      <c r="D422" s="90"/>
    </row>
    <row r="423" spans="4:4" ht="12.75">
      <c r="D423" s="90"/>
    </row>
    <row r="424" spans="4:4" ht="12.75">
      <c r="D424" s="90"/>
    </row>
    <row r="425" spans="4:4" ht="12.75">
      <c r="D425" s="90"/>
    </row>
    <row r="426" spans="4:4" ht="12.75">
      <c r="D426" s="90"/>
    </row>
    <row r="427" spans="4:4" ht="12.75">
      <c r="D427" s="90"/>
    </row>
    <row r="428" spans="4:4" ht="12.75">
      <c r="D428" s="90"/>
    </row>
    <row r="429" spans="4:4" ht="12.75">
      <c r="D429" s="90"/>
    </row>
    <row r="430" spans="4:4" ht="12.75">
      <c r="D430" s="90"/>
    </row>
    <row r="431" spans="4:4" ht="12.75">
      <c r="D431" s="90"/>
    </row>
    <row r="432" spans="4:4" ht="12.75">
      <c r="D432" s="90"/>
    </row>
    <row r="433" spans="4:4" ht="12.75">
      <c r="D433" s="90"/>
    </row>
    <row r="434" spans="4:4" ht="12.75">
      <c r="D434" s="90"/>
    </row>
    <row r="435" spans="4:4" ht="12.75">
      <c r="D435" s="90"/>
    </row>
    <row r="436" spans="4:4" ht="12.75">
      <c r="D436" s="90"/>
    </row>
    <row r="437" spans="4:4" ht="12.75">
      <c r="D437" s="90"/>
    </row>
    <row r="438" spans="4:4" ht="12.75">
      <c r="D438" s="90"/>
    </row>
    <row r="439" spans="4:4" ht="12.75">
      <c r="D439" s="90"/>
    </row>
    <row r="440" spans="4:4" ht="12.75">
      <c r="D440" s="90"/>
    </row>
    <row r="441" spans="4:4" ht="12.75">
      <c r="D441" s="90"/>
    </row>
    <row r="442" spans="4:4" ht="12.75">
      <c r="D442" s="90"/>
    </row>
    <row r="443" spans="4:4" ht="12.75">
      <c r="D443" s="90"/>
    </row>
    <row r="444" spans="4:4" ht="12.75">
      <c r="D444" s="90"/>
    </row>
    <row r="445" spans="4:4" ht="12.75">
      <c r="D445" s="90"/>
    </row>
    <row r="446" spans="4:4" ht="12.75">
      <c r="D446" s="90"/>
    </row>
    <row r="447" spans="4:4" ht="12.75">
      <c r="D447" s="90"/>
    </row>
    <row r="448" spans="4:4" ht="12.75">
      <c r="D448" s="90"/>
    </row>
    <row r="449" spans="4:4" ht="12.75">
      <c r="D449" s="90"/>
    </row>
    <row r="450" spans="4:4" ht="12.75">
      <c r="D450" s="90"/>
    </row>
    <row r="451" spans="4:4" ht="12.75">
      <c r="D451" s="90"/>
    </row>
    <row r="452" spans="4:4" ht="12.75">
      <c r="D452" s="90"/>
    </row>
    <row r="453" spans="4:4" ht="12.75">
      <c r="D453" s="90"/>
    </row>
    <row r="454" spans="4:4" ht="12.75">
      <c r="D454" s="90"/>
    </row>
    <row r="455" spans="4:4" ht="12.75">
      <c r="D455" s="90"/>
    </row>
    <row r="456" spans="4:4" ht="12.75">
      <c r="D456" s="90"/>
    </row>
    <row r="457" spans="4:4" ht="12.75">
      <c r="D457" s="90"/>
    </row>
    <row r="458" spans="4:4" ht="12.75">
      <c r="D458" s="90"/>
    </row>
    <row r="459" spans="4:4" ht="12.75">
      <c r="D459" s="90"/>
    </row>
    <row r="460" spans="4:4" ht="12.75">
      <c r="D460" s="90"/>
    </row>
    <row r="461" spans="4:4" ht="12.75">
      <c r="D461" s="90"/>
    </row>
    <row r="462" spans="4:4" ht="12.75">
      <c r="D462" s="90"/>
    </row>
    <row r="463" spans="4:4" ht="12.75">
      <c r="D463" s="90"/>
    </row>
    <row r="464" spans="4:4" ht="12.75">
      <c r="D464" s="90"/>
    </row>
    <row r="465" spans="4:4" ht="12.75">
      <c r="D465" s="90"/>
    </row>
    <row r="466" spans="4:4" ht="12.75">
      <c r="D466" s="90"/>
    </row>
    <row r="467" spans="4:4" ht="12.75">
      <c r="D467" s="90"/>
    </row>
    <row r="468" spans="4:4" ht="12.75">
      <c r="D468" s="90"/>
    </row>
    <row r="469" spans="4:4" ht="12.75">
      <c r="D469" s="90"/>
    </row>
    <row r="470" spans="4:4" ht="12.75">
      <c r="D470" s="90"/>
    </row>
    <row r="471" spans="4:4" ht="12.75">
      <c r="D471" s="90"/>
    </row>
    <row r="472" spans="4:4" ht="12.75">
      <c r="D472" s="90"/>
    </row>
    <row r="473" spans="4:4" ht="12.75">
      <c r="D473" s="90"/>
    </row>
    <row r="474" spans="4:4" ht="12.75">
      <c r="D474" s="90"/>
    </row>
    <row r="475" spans="4:4" ht="12.75">
      <c r="D475" s="90"/>
    </row>
    <row r="476" spans="4:4" ht="12.75">
      <c r="D476" s="90"/>
    </row>
    <row r="477" spans="4:4" ht="12.75">
      <c r="D477" s="90"/>
    </row>
    <row r="478" spans="4:4" ht="12.75">
      <c r="D478" s="90"/>
    </row>
    <row r="479" spans="4:4" ht="12.75">
      <c r="D479" s="90"/>
    </row>
    <row r="480" spans="4:4" ht="12.75">
      <c r="D480" s="90"/>
    </row>
    <row r="481" spans="4:4" ht="12.75">
      <c r="D481" s="90"/>
    </row>
    <row r="482" spans="4:4" ht="12.75">
      <c r="D482" s="90"/>
    </row>
    <row r="483" spans="4:4" ht="12.75">
      <c r="D483" s="90"/>
    </row>
    <row r="484" spans="4:4" ht="12.75">
      <c r="D484" s="90"/>
    </row>
    <row r="485" spans="4:4" ht="12.75">
      <c r="D485" s="90"/>
    </row>
    <row r="486" spans="4:4" ht="12.75">
      <c r="D486" s="90"/>
    </row>
    <row r="487" spans="4:4" ht="12.75">
      <c r="D487" s="90"/>
    </row>
    <row r="488" spans="4:4" ht="12.75">
      <c r="D488" s="90"/>
    </row>
    <row r="489" spans="4:4" ht="12.75">
      <c r="D489" s="90"/>
    </row>
    <row r="490" spans="4:4" ht="12.75">
      <c r="D490" s="90"/>
    </row>
    <row r="491" spans="4:4" ht="12.75">
      <c r="D491" s="90"/>
    </row>
    <row r="492" spans="4:4" ht="12.75">
      <c r="D492" s="90"/>
    </row>
    <row r="493" spans="4:4" ht="12.75">
      <c r="D493" s="90"/>
    </row>
    <row r="494" spans="4:4" ht="12.75">
      <c r="D494" s="90"/>
    </row>
    <row r="495" spans="4:4" ht="12.75">
      <c r="D495" s="90"/>
    </row>
    <row r="496" spans="4:4" ht="12.75">
      <c r="D496" s="90"/>
    </row>
    <row r="497" spans="4:4" ht="12.75">
      <c r="D497" s="90"/>
    </row>
    <row r="498" spans="4:4" ht="12.75">
      <c r="D498" s="90"/>
    </row>
    <row r="499" spans="4:4" ht="12.75">
      <c r="D499" s="90"/>
    </row>
    <row r="500" spans="4:4" ht="12.75">
      <c r="D500" s="90"/>
    </row>
    <row r="501" spans="4:4" ht="12.75">
      <c r="D501" s="90"/>
    </row>
    <row r="502" spans="4:4" ht="12.75">
      <c r="D502" s="90"/>
    </row>
    <row r="503" spans="4:4" ht="12.75">
      <c r="D503" s="90"/>
    </row>
    <row r="504" spans="4:4" ht="12.75">
      <c r="D504" s="90"/>
    </row>
    <row r="505" spans="4:4" ht="12.75">
      <c r="D505" s="90"/>
    </row>
    <row r="506" spans="4:4" ht="12.75">
      <c r="D506" s="90"/>
    </row>
    <row r="507" spans="4:4" ht="12.75">
      <c r="D507" s="90"/>
    </row>
    <row r="508" spans="4:4" ht="12.75">
      <c r="D508" s="90"/>
    </row>
    <row r="509" spans="4:4" ht="12.75">
      <c r="D509" s="90"/>
    </row>
    <row r="510" spans="4:4" ht="12.75">
      <c r="D510" s="90"/>
    </row>
    <row r="511" spans="4:4" ht="12.75">
      <c r="D511" s="90"/>
    </row>
    <row r="512" spans="4:4" ht="12.75">
      <c r="D512" s="90"/>
    </row>
    <row r="513" spans="4:4" ht="12.75">
      <c r="D513" s="90"/>
    </row>
    <row r="514" spans="4:4" ht="12.75">
      <c r="D514" s="90"/>
    </row>
    <row r="515" spans="4:4" ht="12.75">
      <c r="D515" s="90"/>
    </row>
    <row r="516" spans="4:4" ht="12.75">
      <c r="D516" s="90"/>
    </row>
    <row r="517" spans="4:4" ht="12.75">
      <c r="D517" s="90"/>
    </row>
    <row r="518" spans="4:4" ht="12.75">
      <c r="D518" s="90"/>
    </row>
    <row r="519" spans="4:4" ht="12.75">
      <c r="D519" s="90"/>
    </row>
    <row r="520" spans="4:4" ht="12.75">
      <c r="D520" s="90"/>
    </row>
    <row r="521" spans="4:4" ht="12.75">
      <c r="D521" s="90"/>
    </row>
    <row r="522" spans="4:4" ht="12.75">
      <c r="D522" s="90"/>
    </row>
    <row r="523" spans="4:4" ht="12.75">
      <c r="D523" s="90"/>
    </row>
    <row r="524" spans="4:4" ht="12.75">
      <c r="D524" s="90"/>
    </row>
    <row r="525" spans="4:4" ht="12.75">
      <c r="D525" s="90"/>
    </row>
    <row r="526" spans="4:4" ht="12.75">
      <c r="D526" s="90"/>
    </row>
    <row r="527" spans="4:4" ht="12.75">
      <c r="D527" s="90"/>
    </row>
    <row r="528" spans="4:4" ht="12.75">
      <c r="D528" s="90"/>
    </row>
    <row r="529" spans="4:4" ht="12.75">
      <c r="D529" s="90"/>
    </row>
    <row r="530" spans="4:4" ht="12.75">
      <c r="D530" s="90"/>
    </row>
    <row r="531" spans="4:4" ht="12.75">
      <c r="D531" s="90"/>
    </row>
    <row r="532" spans="4:4" ht="12.75">
      <c r="D532" s="90"/>
    </row>
    <row r="533" spans="4:4" ht="12.75">
      <c r="D533" s="90"/>
    </row>
    <row r="534" spans="4:4" ht="12.75">
      <c r="D534" s="90"/>
    </row>
    <row r="535" spans="4:4" ht="12.75">
      <c r="D535" s="90"/>
    </row>
    <row r="536" spans="4:4" ht="12.75">
      <c r="D536" s="90"/>
    </row>
    <row r="537" spans="4:4" ht="12.75">
      <c r="D537" s="90"/>
    </row>
    <row r="538" spans="4:4" ht="12.75">
      <c r="D538" s="90"/>
    </row>
    <row r="539" spans="4:4" ht="12.75">
      <c r="D539" s="90"/>
    </row>
    <row r="540" spans="4:4" ht="12.75">
      <c r="D540" s="90"/>
    </row>
    <row r="541" spans="4:4" ht="12.75">
      <c r="D541" s="90"/>
    </row>
    <row r="542" spans="4:4" ht="12.75">
      <c r="D542" s="90"/>
    </row>
    <row r="543" spans="4:4" ht="12.75">
      <c r="D543" s="90"/>
    </row>
    <row r="544" spans="4:4" ht="12.75">
      <c r="D544" s="90"/>
    </row>
    <row r="545" spans="4:4" ht="12.75">
      <c r="D545" s="90"/>
    </row>
    <row r="546" spans="4:4" ht="12.75">
      <c r="D546" s="90"/>
    </row>
    <row r="547" spans="4:4" ht="12.75">
      <c r="D547" s="90"/>
    </row>
    <row r="548" spans="4:4" ht="12.75">
      <c r="D548" s="90"/>
    </row>
    <row r="549" spans="4:4" ht="12.75">
      <c r="D549" s="90"/>
    </row>
    <row r="550" spans="4:4" ht="12.75">
      <c r="D550" s="90"/>
    </row>
    <row r="551" spans="4:4" ht="12.75">
      <c r="D551" s="90"/>
    </row>
    <row r="552" spans="4:4" ht="12.75">
      <c r="D552" s="90"/>
    </row>
    <row r="553" spans="4:4" ht="12.75">
      <c r="D553" s="90"/>
    </row>
    <row r="554" spans="4:4" ht="12.75">
      <c r="D554" s="90"/>
    </row>
    <row r="555" spans="4:4" ht="12.75">
      <c r="D555" s="90"/>
    </row>
    <row r="556" spans="4:4" ht="12.75">
      <c r="D556" s="90"/>
    </row>
    <row r="557" spans="4:4" ht="12.75">
      <c r="D557" s="90"/>
    </row>
    <row r="558" spans="4:4" ht="12.75">
      <c r="D558" s="90"/>
    </row>
    <row r="559" spans="4:4" ht="12.75">
      <c r="D559" s="90"/>
    </row>
    <row r="560" spans="4:4" ht="12.75">
      <c r="D560" s="90"/>
    </row>
    <row r="561" spans="4:4" ht="12.75">
      <c r="D561" s="90"/>
    </row>
    <row r="562" spans="4:4" ht="12.75">
      <c r="D562" s="90"/>
    </row>
    <row r="563" spans="4:4" ht="12.75">
      <c r="D563" s="90"/>
    </row>
    <row r="564" spans="4:4" ht="12.75">
      <c r="D564" s="90"/>
    </row>
    <row r="565" spans="4:4" ht="12.75">
      <c r="D565" s="90"/>
    </row>
    <row r="566" spans="4:4" ht="12.75">
      <c r="D566" s="90"/>
    </row>
    <row r="567" spans="4:4" ht="12.75">
      <c r="D567" s="90"/>
    </row>
    <row r="568" spans="4:4" ht="12.75">
      <c r="D568" s="90"/>
    </row>
    <row r="569" spans="4:4" ht="12.75">
      <c r="D569" s="90"/>
    </row>
    <row r="570" spans="4:4" ht="12.75">
      <c r="D570" s="90"/>
    </row>
    <row r="571" spans="4:4" ht="12.75">
      <c r="D571" s="90"/>
    </row>
    <row r="572" spans="4:4" ht="12.75">
      <c r="D572" s="90"/>
    </row>
    <row r="573" spans="4:4" ht="12.75">
      <c r="D573" s="90"/>
    </row>
    <row r="574" spans="4:4" ht="12.75">
      <c r="D574" s="90"/>
    </row>
    <row r="575" spans="4:4" ht="12.75">
      <c r="D575" s="90"/>
    </row>
    <row r="576" spans="4:4" ht="12.75">
      <c r="D576" s="90"/>
    </row>
    <row r="577" spans="4:4" ht="12.75">
      <c r="D577" s="90"/>
    </row>
    <row r="578" spans="4:4" ht="12.75">
      <c r="D578" s="90"/>
    </row>
    <row r="579" spans="4:4" ht="12.75">
      <c r="D579" s="90"/>
    </row>
    <row r="580" spans="4:4" ht="12.75">
      <c r="D580" s="90"/>
    </row>
    <row r="581" spans="4:4" ht="12.75">
      <c r="D581" s="90"/>
    </row>
    <row r="582" spans="4:4" ht="12.75">
      <c r="D582" s="90"/>
    </row>
    <row r="583" spans="4:4" ht="12.75">
      <c r="D583" s="90"/>
    </row>
    <row r="584" spans="4:4" ht="12.75">
      <c r="D584" s="90"/>
    </row>
    <row r="585" spans="4:4" ht="12.75">
      <c r="D585" s="90"/>
    </row>
    <row r="586" spans="4:4" ht="12.75">
      <c r="D586" s="90"/>
    </row>
    <row r="587" spans="4:4" ht="12.75">
      <c r="D587" s="90"/>
    </row>
    <row r="588" spans="4:4" ht="12.75">
      <c r="D588" s="90"/>
    </row>
    <row r="589" spans="4:4" ht="12.75">
      <c r="D589" s="90"/>
    </row>
    <row r="590" spans="4:4" ht="12.75">
      <c r="D590" s="90"/>
    </row>
    <row r="591" spans="4:4" ht="12.75">
      <c r="D591" s="90"/>
    </row>
    <row r="592" spans="4:4" ht="12.75">
      <c r="D592" s="90"/>
    </row>
    <row r="593" spans="4:4" ht="12.75">
      <c r="D593" s="90"/>
    </row>
    <row r="594" spans="4:4" ht="12.75">
      <c r="D594" s="90"/>
    </row>
    <row r="595" spans="4:4" ht="12.75">
      <c r="D595" s="90"/>
    </row>
    <row r="596" spans="4:4" ht="12.75">
      <c r="D596" s="90"/>
    </row>
    <row r="597" spans="4:4" ht="12.75">
      <c r="D597" s="90"/>
    </row>
    <row r="598" spans="4:4" ht="12.75">
      <c r="D598" s="90"/>
    </row>
    <row r="599" spans="4:4" ht="12.75">
      <c r="D599" s="90"/>
    </row>
    <row r="600" spans="4:4" ht="12.75">
      <c r="D600" s="90"/>
    </row>
    <row r="601" spans="4:4" ht="12.75">
      <c r="D601" s="90"/>
    </row>
    <row r="602" spans="4:4" ht="12.75">
      <c r="D602" s="90"/>
    </row>
    <row r="603" spans="4:4" ht="12.75">
      <c r="D603" s="90"/>
    </row>
    <row r="604" spans="4:4" ht="12.75">
      <c r="D604" s="90"/>
    </row>
    <row r="605" spans="4:4" ht="12.75">
      <c r="D605" s="90"/>
    </row>
    <row r="606" spans="4:4" ht="12.75">
      <c r="D606" s="90"/>
    </row>
    <row r="607" spans="4:4" ht="12.75">
      <c r="D607" s="90"/>
    </row>
    <row r="608" spans="4:4" ht="12.75">
      <c r="D608" s="90"/>
    </row>
    <row r="609" spans="4:4" ht="12.75">
      <c r="D609" s="90"/>
    </row>
    <row r="610" spans="4:4" ht="12.75">
      <c r="D610" s="90"/>
    </row>
    <row r="611" spans="4:4" ht="12.75">
      <c r="D611" s="90"/>
    </row>
    <row r="612" spans="4:4" ht="12.75">
      <c r="D612" s="90"/>
    </row>
    <row r="613" spans="4:4" ht="12.75">
      <c r="D613" s="90"/>
    </row>
    <row r="614" spans="4:4" ht="12.75">
      <c r="D614" s="90"/>
    </row>
    <row r="615" spans="4:4" ht="12.75">
      <c r="D615" s="90"/>
    </row>
    <row r="616" spans="4:4" ht="12.75">
      <c r="D616" s="90"/>
    </row>
    <row r="617" spans="4:4" ht="12.75">
      <c r="D617" s="90"/>
    </row>
    <row r="618" spans="4:4" ht="12.75">
      <c r="D618" s="90"/>
    </row>
    <row r="619" spans="4:4" ht="12.75">
      <c r="D619" s="90"/>
    </row>
    <row r="620" spans="4:4" ht="12.75">
      <c r="D620" s="90"/>
    </row>
    <row r="621" spans="4:4" ht="12.75">
      <c r="D621" s="90"/>
    </row>
    <row r="622" spans="4:4" ht="12.75">
      <c r="D622" s="90"/>
    </row>
    <row r="623" spans="4:4" ht="12.75">
      <c r="D623" s="90"/>
    </row>
    <row r="624" spans="4:4" ht="12.75">
      <c r="D624" s="90"/>
    </row>
    <row r="625" spans="4:4" ht="12.75">
      <c r="D625" s="90"/>
    </row>
    <row r="626" spans="4:4" ht="12.75">
      <c r="D626" s="90"/>
    </row>
    <row r="627" spans="4:4" ht="12.75">
      <c r="D627" s="90"/>
    </row>
    <row r="628" spans="4:4" ht="12.75">
      <c r="D628" s="90"/>
    </row>
    <row r="629" spans="4:4" ht="12.75">
      <c r="D629" s="90"/>
    </row>
    <row r="630" spans="4:4" ht="12.75">
      <c r="D630" s="90"/>
    </row>
    <row r="631" spans="4:4" ht="12.75">
      <c r="D631" s="90"/>
    </row>
    <row r="632" spans="4:4" ht="12.75">
      <c r="D632" s="90"/>
    </row>
    <row r="633" spans="4:4" ht="12.75">
      <c r="D633" s="90"/>
    </row>
    <row r="634" spans="4:4" ht="12.75">
      <c r="D634" s="90"/>
    </row>
    <row r="635" spans="4:4" ht="12.75">
      <c r="D635" s="90"/>
    </row>
    <row r="636" spans="4:4" ht="12.75">
      <c r="D636" s="90"/>
    </row>
    <row r="637" spans="4:4" ht="12.75">
      <c r="D637" s="90"/>
    </row>
    <row r="638" spans="4:4" ht="12.75">
      <c r="D638" s="90"/>
    </row>
    <row r="639" spans="4:4" ht="12.75">
      <c r="D639" s="90"/>
    </row>
    <row r="640" spans="4:4" ht="12.75">
      <c r="D640" s="90"/>
    </row>
    <row r="641" spans="4:4" ht="12.75">
      <c r="D641" s="90"/>
    </row>
    <row r="642" spans="4:4" ht="12.75">
      <c r="D642" s="90"/>
    </row>
    <row r="643" spans="4:4" ht="12.75">
      <c r="D643" s="90"/>
    </row>
    <row r="644" spans="4:4" ht="12.75">
      <c r="D644" s="90"/>
    </row>
    <row r="645" spans="4:4" ht="12.75">
      <c r="D645" s="90"/>
    </row>
    <row r="646" spans="4:4" ht="12.75">
      <c r="D646" s="90"/>
    </row>
    <row r="647" spans="4:4" ht="12.75">
      <c r="D647" s="90"/>
    </row>
    <row r="648" spans="4:4" ht="12.75">
      <c r="D648" s="90"/>
    </row>
    <row r="649" spans="4:4" ht="12.75">
      <c r="D649" s="90"/>
    </row>
    <row r="650" spans="4:4" ht="12.75">
      <c r="D650" s="90"/>
    </row>
    <row r="651" spans="4:4" ht="12.75">
      <c r="D651" s="90"/>
    </row>
    <row r="652" spans="4:4" ht="12.75">
      <c r="D652" s="90"/>
    </row>
    <row r="653" spans="4:4" ht="12.75">
      <c r="D653" s="90"/>
    </row>
    <row r="654" spans="4:4" ht="12.75">
      <c r="D654" s="90"/>
    </row>
    <row r="655" spans="4:4" ht="12.75">
      <c r="D655" s="90"/>
    </row>
    <row r="656" spans="4:4" ht="12.75">
      <c r="D656" s="90"/>
    </row>
    <row r="657" spans="4:4" ht="12.75">
      <c r="D657" s="90"/>
    </row>
    <row r="658" spans="4:4" ht="12.75">
      <c r="D658" s="90"/>
    </row>
    <row r="659" spans="4:4" ht="12.75">
      <c r="D659" s="90"/>
    </row>
    <row r="660" spans="4:4" ht="12.75">
      <c r="D660" s="90"/>
    </row>
    <row r="661" spans="4:4" ht="12.75">
      <c r="D661" s="90"/>
    </row>
    <row r="662" spans="4:4" ht="12.75">
      <c r="D662" s="90"/>
    </row>
    <row r="663" spans="4:4" ht="12.75">
      <c r="D663" s="90"/>
    </row>
    <row r="664" spans="4:4" ht="12.75">
      <c r="D664" s="90"/>
    </row>
    <row r="665" spans="4:4" ht="12.75">
      <c r="D665" s="90"/>
    </row>
    <row r="666" spans="4:4" ht="12.75">
      <c r="D666" s="90"/>
    </row>
    <row r="667" spans="4:4" ht="12.75">
      <c r="D667" s="90"/>
    </row>
    <row r="668" spans="4:4" ht="12.75">
      <c r="D668" s="90"/>
    </row>
    <row r="669" spans="4:4" ht="12.75">
      <c r="D669" s="90"/>
    </row>
    <row r="670" spans="4:4" ht="12.75">
      <c r="D670" s="90"/>
    </row>
    <row r="671" spans="4:4" ht="12.75">
      <c r="D671" s="90"/>
    </row>
    <row r="672" spans="4:4" ht="12.75">
      <c r="D672" s="90"/>
    </row>
    <row r="673" spans="4:4" ht="12.75">
      <c r="D673" s="90"/>
    </row>
    <row r="674" spans="4:4" ht="12.75">
      <c r="D674" s="90"/>
    </row>
    <row r="675" spans="4:4" ht="12.75">
      <c r="D675" s="90"/>
    </row>
    <row r="676" spans="4:4" ht="12.75">
      <c r="D676" s="90"/>
    </row>
    <row r="677" spans="4:4" ht="12.75">
      <c r="D677" s="90"/>
    </row>
    <row r="678" spans="4:4" ht="12.75">
      <c r="D678" s="90"/>
    </row>
    <row r="679" spans="4:4" ht="12.75">
      <c r="D679" s="90"/>
    </row>
    <row r="680" spans="4:4" ht="12.75">
      <c r="D680" s="90"/>
    </row>
    <row r="681" spans="4:4" ht="12.75">
      <c r="D681" s="90"/>
    </row>
    <row r="682" spans="4:4" ht="12.75">
      <c r="D682" s="90"/>
    </row>
    <row r="683" spans="4:4" ht="12.75">
      <c r="D683" s="90"/>
    </row>
    <row r="684" spans="4:4" ht="12.75">
      <c r="D684" s="90"/>
    </row>
    <row r="685" spans="4:4" ht="12.75">
      <c r="D685" s="90"/>
    </row>
    <row r="686" spans="4:4" ht="12.75">
      <c r="D686" s="90"/>
    </row>
    <row r="687" spans="4:4" ht="12.75">
      <c r="D687" s="90"/>
    </row>
    <row r="688" spans="4:4" ht="12.75">
      <c r="D688" s="90"/>
    </row>
    <row r="689" spans="4:4" ht="12.75">
      <c r="D689" s="90"/>
    </row>
    <row r="690" spans="4:4" ht="12.75">
      <c r="D690" s="90"/>
    </row>
    <row r="691" spans="4:4" ht="12.75">
      <c r="D691" s="90"/>
    </row>
    <row r="692" spans="4:4" ht="12.75">
      <c r="D692" s="90"/>
    </row>
    <row r="693" spans="4:4" ht="12.75">
      <c r="D693" s="90"/>
    </row>
    <row r="694" spans="4:4" ht="12.75">
      <c r="D694" s="90"/>
    </row>
    <row r="695" spans="4:4" ht="12.75">
      <c r="D695" s="90"/>
    </row>
    <row r="696" spans="4:4" ht="12.75">
      <c r="D696" s="90"/>
    </row>
    <row r="697" spans="4:4" ht="12.75">
      <c r="D697" s="90"/>
    </row>
    <row r="698" spans="4:4" ht="12.75">
      <c r="D698" s="90"/>
    </row>
    <row r="699" spans="4:4" ht="12.75">
      <c r="D699" s="90"/>
    </row>
    <row r="700" spans="4:4" ht="12.75">
      <c r="D700" s="90"/>
    </row>
    <row r="701" spans="4:4" ht="12.75">
      <c r="D701" s="90"/>
    </row>
    <row r="702" spans="4:4" ht="12.75">
      <c r="D702" s="90"/>
    </row>
    <row r="703" spans="4:4" ht="12.75">
      <c r="D703" s="90"/>
    </row>
    <row r="704" spans="4:4" ht="12.75">
      <c r="D704" s="90"/>
    </row>
    <row r="705" spans="4:4" ht="12.75">
      <c r="D705" s="90"/>
    </row>
    <row r="706" spans="4:4" ht="12.75">
      <c r="D706" s="90"/>
    </row>
    <row r="707" spans="4:4" ht="12.75">
      <c r="D707" s="90"/>
    </row>
    <row r="708" spans="4:4" ht="12.75">
      <c r="D708" s="90"/>
    </row>
    <row r="709" spans="4:4" ht="12.75">
      <c r="D709" s="90"/>
    </row>
    <row r="710" spans="4:4" ht="12.75">
      <c r="D710" s="90"/>
    </row>
    <row r="711" spans="4:4" ht="12.75">
      <c r="D711" s="90"/>
    </row>
    <row r="712" spans="4:4" ht="12.75">
      <c r="D712" s="90"/>
    </row>
    <row r="713" spans="4:4" ht="12.75">
      <c r="D713" s="90"/>
    </row>
    <row r="714" spans="4:4" ht="12.75">
      <c r="D714" s="90"/>
    </row>
    <row r="715" spans="4:4" ht="12.75">
      <c r="D715" s="90"/>
    </row>
    <row r="716" spans="4:4" ht="12.75">
      <c r="D716" s="90"/>
    </row>
    <row r="717" spans="4:4" ht="12.75">
      <c r="D717" s="90"/>
    </row>
    <row r="718" spans="4:4" ht="12.75">
      <c r="D718" s="90"/>
    </row>
    <row r="719" spans="4:4" ht="12.75">
      <c r="D719" s="90"/>
    </row>
    <row r="720" spans="4:4" ht="12.75">
      <c r="D720" s="90"/>
    </row>
    <row r="721" spans="4:4" ht="12.75">
      <c r="D721" s="90"/>
    </row>
    <row r="722" spans="4:4" ht="12.75">
      <c r="D722" s="90"/>
    </row>
    <row r="723" spans="4:4" ht="12.75">
      <c r="D723" s="90"/>
    </row>
    <row r="724" spans="4:4" ht="12.75">
      <c r="D724" s="90"/>
    </row>
    <row r="725" spans="4:4" ht="12.75">
      <c r="D725" s="90"/>
    </row>
    <row r="726" spans="4:4" ht="12.75">
      <c r="D726" s="90"/>
    </row>
    <row r="727" spans="4:4" ht="12.75">
      <c r="D727" s="90"/>
    </row>
    <row r="728" spans="4:4" ht="12.75">
      <c r="D728" s="90"/>
    </row>
    <row r="729" spans="4:4" ht="12.75">
      <c r="D729" s="90"/>
    </row>
    <row r="730" spans="4:4" ht="12.75">
      <c r="D730" s="90"/>
    </row>
    <row r="731" spans="4:4" ht="12.75">
      <c r="D731" s="90"/>
    </row>
    <row r="732" spans="4:4" ht="12.75">
      <c r="D732" s="90"/>
    </row>
    <row r="733" spans="4:4" ht="12.75">
      <c r="D733" s="90"/>
    </row>
    <row r="734" spans="4:4" ht="12.75">
      <c r="D734" s="90"/>
    </row>
    <row r="735" spans="4:4" ht="12.75">
      <c r="D735" s="90"/>
    </row>
    <row r="736" spans="4:4" ht="12.75">
      <c r="D736" s="90"/>
    </row>
    <row r="737" spans="4:4" ht="12.75">
      <c r="D737" s="90"/>
    </row>
    <row r="738" spans="4:4" ht="12.75">
      <c r="D738" s="90"/>
    </row>
    <row r="739" spans="4:4" ht="12.75">
      <c r="D739" s="90"/>
    </row>
    <row r="740" spans="4:4" ht="12.75">
      <c r="D740" s="90"/>
    </row>
    <row r="741" spans="4:4" ht="12.75">
      <c r="D741" s="90"/>
    </row>
    <row r="742" spans="4:4" ht="12.75">
      <c r="D742" s="90"/>
    </row>
    <row r="743" spans="4:4" ht="12.75">
      <c r="D743" s="90"/>
    </row>
    <row r="744" spans="4:4" ht="12.75">
      <c r="D744" s="90"/>
    </row>
    <row r="745" spans="4:4" ht="12.75">
      <c r="D745" s="90"/>
    </row>
    <row r="746" spans="4:4" ht="12.75">
      <c r="D746" s="90"/>
    </row>
    <row r="747" spans="4:4" ht="12.75">
      <c r="D747" s="90"/>
    </row>
    <row r="748" spans="4:4" ht="12.75">
      <c r="D748" s="90"/>
    </row>
    <row r="749" spans="4:4" ht="12.75">
      <c r="D749" s="90"/>
    </row>
    <row r="750" spans="4:4" ht="12.75">
      <c r="D750" s="90"/>
    </row>
    <row r="751" spans="4:4" ht="12.75">
      <c r="D751" s="90"/>
    </row>
    <row r="752" spans="4:4" ht="12.75">
      <c r="D752" s="90"/>
    </row>
    <row r="753" spans="4:4" ht="12.75">
      <c r="D753" s="90"/>
    </row>
    <row r="754" spans="4:4" ht="12.75">
      <c r="D754" s="90"/>
    </row>
    <row r="755" spans="4:4" ht="12.75">
      <c r="D755" s="90"/>
    </row>
    <row r="756" spans="4:4" ht="12.75">
      <c r="D756" s="90"/>
    </row>
    <row r="757" spans="4:4" ht="12.75">
      <c r="D757" s="90"/>
    </row>
    <row r="758" spans="4:4" ht="12.75">
      <c r="D758" s="90"/>
    </row>
    <row r="759" spans="4:4" ht="12.75">
      <c r="D759" s="90"/>
    </row>
    <row r="760" spans="4:4" ht="12.75">
      <c r="D760" s="90"/>
    </row>
    <row r="761" spans="4:4" ht="12.75">
      <c r="D761" s="90"/>
    </row>
    <row r="762" spans="4:4" ht="12.75">
      <c r="D762" s="90"/>
    </row>
    <row r="763" spans="4:4" ht="12.75">
      <c r="D763" s="90"/>
    </row>
    <row r="764" spans="4:4" ht="12.75">
      <c r="D764" s="90"/>
    </row>
    <row r="765" spans="4:4" ht="12.75">
      <c r="D765" s="90"/>
    </row>
    <row r="766" spans="4:4" ht="12.75">
      <c r="D766" s="90"/>
    </row>
    <row r="767" spans="4:4" ht="12.75">
      <c r="D767" s="90"/>
    </row>
    <row r="768" spans="4:4" ht="12.75">
      <c r="D768" s="90"/>
    </row>
    <row r="769" spans="4:4" ht="12.75">
      <c r="D769" s="90"/>
    </row>
    <row r="770" spans="4:4" ht="12.75">
      <c r="D770" s="90"/>
    </row>
    <row r="771" spans="4:4" ht="12.75">
      <c r="D771" s="90"/>
    </row>
    <row r="772" spans="4:4" ht="12.75">
      <c r="D772" s="90"/>
    </row>
    <row r="773" spans="4:4" ht="12.75">
      <c r="D773" s="90"/>
    </row>
    <row r="774" spans="4:4" ht="12.75">
      <c r="D774" s="90"/>
    </row>
    <row r="775" spans="4:4" ht="12.75">
      <c r="D775" s="90"/>
    </row>
    <row r="776" spans="4:4" ht="12.75">
      <c r="D776" s="90"/>
    </row>
    <row r="777" spans="4:4" ht="12.75">
      <c r="D777" s="90"/>
    </row>
    <row r="778" spans="4:4" ht="12.75">
      <c r="D778" s="90"/>
    </row>
    <row r="779" spans="4:4" ht="12.75">
      <c r="D779" s="90"/>
    </row>
    <row r="780" spans="4:4" ht="12.75">
      <c r="D780" s="90"/>
    </row>
    <row r="781" spans="4:4" ht="12.75">
      <c r="D781" s="90"/>
    </row>
    <row r="782" spans="4:4" ht="12.75">
      <c r="D782" s="90"/>
    </row>
    <row r="783" spans="4:4" ht="12.75">
      <c r="D783" s="90"/>
    </row>
    <row r="784" spans="4:4" ht="12.75">
      <c r="D784" s="90"/>
    </row>
    <row r="785" spans="4:4" ht="12.75">
      <c r="D785" s="90"/>
    </row>
    <row r="786" spans="4:4" ht="12.75">
      <c r="D786" s="90"/>
    </row>
    <row r="787" spans="4:4" ht="12.75">
      <c r="D787" s="90"/>
    </row>
    <row r="788" spans="4:4" ht="12.75">
      <c r="D788" s="90"/>
    </row>
    <row r="789" spans="4:4" ht="12.75">
      <c r="D789" s="90"/>
    </row>
    <row r="790" spans="4:4" ht="12.75">
      <c r="D790" s="90"/>
    </row>
    <row r="791" spans="4:4" ht="12.75">
      <c r="D791" s="90"/>
    </row>
    <row r="792" spans="4:4" ht="12.75">
      <c r="D792" s="90"/>
    </row>
    <row r="793" spans="4:4" ht="12.75">
      <c r="D793" s="90"/>
    </row>
    <row r="794" spans="4:4" ht="12.75">
      <c r="D794" s="90"/>
    </row>
    <row r="795" spans="4:4" ht="12.75">
      <c r="D795" s="90"/>
    </row>
    <row r="796" spans="4:4" ht="12.75">
      <c r="D796" s="90"/>
    </row>
    <row r="797" spans="4:4" ht="12.75">
      <c r="D797" s="90"/>
    </row>
    <row r="798" spans="4:4" ht="12.75">
      <c r="D798" s="90"/>
    </row>
    <row r="799" spans="4:4" ht="12.75">
      <c r="D799" s="90"/>
    </row>
    <row r="800" spans="4:4" ht="12.75">
      <c r="D800" s="90"/>
    </row>
    <row r="801" spans="4:4" ht="12.75">
      <c r="D801" s="90"/>
    </row>
    <row r="802" spans="4:4" ht="12.75">
      <c r="D802" s="90"/>
    </row>
    <row r="803" spans="4:4" ht="12.75">
      <c r="D803" s="90"/>
    </row>
    <row r="804" spans="4:4" ht="12.75">
      <c r="D804" s="90"/>
    </row>
    <row r="805" spans="4:4" ht="12.75">
      <c r="D805" s="90"/>
    </row>
    <row r="806" spans="4:4" ht="12.75">
      <c r="D806" s="90"/>
    </row>
    <row r="807" spans="4:4" ht="12.75">
      <c r="D807" s="90"/>
    </row>
    <row r="808" spans="4:4" ht="12.75">
      <c r="D808" s="90"/>
    </row>
    <row r="809" spans="4:4" ht="12.75">
      <c r="D809" s="90"/>
    </row>
    <row r="810" spans="4:4" ht="12.75">
      <c r="D810" s="90"/>
    </row>
    <row r="811" spans="4:4" ht="12.75">
      <c r="D811" s="90"/>
    </row>
    <row r="812" spans="4:4" ht="12.75">
      <c r="D812" s="90"/>
    </row>
    <row r="813" spans="4:4" ht="12.75">
      <c r="D813" s="90"/>
    </row>
    <row r="814" spans="4:4" ht="12.75">
      <c r="D814" s="90"/>
    </row>
    <row r="815" spans="4:4" ht="12.75">
      <c r="D815" s="90"/>
    </row>
    <row r="816" spans="4:4" ht="12.75">
      <c r="D816" s="90"/>
    </row>
    <row r="817" spans="4:4" ht="12.75">
      <c r="D817" s="90"/>
    </row>
    <row r="818" spans="4:4" ht="12.75">
      <c r="D818" s="90"/>
    </row>
    <row r="819" spans="4:4" ht="12.75">
      <c r="D819" s="90"/>
    </row>
    <row r="820" spans="4:4" ht="12.75">
      <c r="D820" s="90"/>
    </row>
    <row r="821" spans="4:4" ht="12.75">
      <c r="D821" s="90"/>
    </row>
    <row r="822" spans="4:4" ht="12.75">
      <c r="D822" s="90"/>
    </row>
    <row r="823" spans="4:4" ht="12.75">
      <c r="D823" s="90"/>
    </row>
    <row r="824" spans="4:4" ht="12.75">
      <c r="D824" s="90"/>
    </row>
    <row r="825" spans="4:4" ht="12.75">
      <c r="D825" s="90"/>
    </row>
    <row r="826" spans="4:4" ht="12.75">
      <c r="D826" s="90"/>
    </row>
    <row r="827" spans="4:4" ht="12.75">
      <c r="D827" s="90"/>
    </row>
    <row r="828" spans="4:4" ht="12.75">
      <c r="D828" s="90"/>
    </row>
    <row r="829" spans="4:4" ht="12.75">
      <c r="D829" s="90"/>
    </row>
    <row r="830" spans="4:4" ht="12.75">
      <c r="D830" s="90"/>
    </row>
    <row r="831" spans="4:4" ht="12.75">
      <c r="D831" s="90"/>
    </row>
    <row r="832" spans="4:4" ht="12.75">
      <c r="D832" s="90"/>
    </row>
    <row r="833" spans="4:4" ht="12.75">
      <c r="D833" s="90"/>
    </row>
    <row r="834" spans="4:4" ht="12.75">
      <c r="D834" s="90"/>
    </row>
    <row r="835" spans="4:4" ht="12.75">
      <c r="D835" s="90"/>
    </row>
    <row r="836" spans="4:4" ht="12.75">
      <c r="D836" s="90"/>
    </row>
    <row r="837" spans="4:4" ht="12.75">
      <c r="D837" s="90"/>
    </row>
    <row r="838" spans="4:4" ht="12.75">
      <c r="D838" s="90"/>
    </row>
    <row r="839" spans="4:4" ht="12.75">
      <c r="D839" s="90"/>
    </row>
    <row r="840" spans="4:4" ht="12.75">
      <c r="D840" s="90"/>
    </row>
    <row r="841" spans="4:4" ht="12.75">
      <c r="D841" s="90"/>
    </row>
    <row r="842" spans="4:4" ht="12.75">
      <c r="D842" s="90"/>
    </row>
    <row r="843" spans="4:4" ht="12.75">
      <c r="D843" s="90"/>
    </row>
    <row r="844" spans="4:4" ht="12.75">
      <c r="D844" s="90"/>
    </row>
    <row r="845" spans="4:4" ht="12.75">
      <c r="D845" s="90"/>
    </row>
    <row r="846" spans="4:4" ht="12.75">
      <c r="D846" s="90"/>
    </row>
    <row r="847" spans="4:4" ht="12.75">
      <c r="D847" s="90"/>
    </row>
    <row r="848" spans="4:4" ht="12.75">
      <c r="D848" s="90"/>
    </row>
    <row r="849" spans="4:4" ht="12.75">
      <c r="D849" s="90"/>
    </row>
    <row r="850" spans="4:4" ht="12.75">
      <c r="D850" s="90"/>
    </row>
    <row r="851" spans="4:4" ht="12.75">
      <c r="D851" s="90"/>
    </row>
    <row r="852" spans="4:4" ht="12.75">
      <c r="D852" s="90"/>
    </row>
    <row r="853" spans="4:4" ht="12.75">
      <c r="D853" s="90"/>
    </row>
    <row r="854" spans="4:4" ht="12.75">
      <c r="D854" s="90"/>
    </row>
    <row r="855" spans="4:4" ht="12.75">
      <c r="D855" s="90"/>
    </row>
    <row r="856" spans="4:4" ht="12.75">
      <c r="D856" s="90"/>
    </row>
    <row r="857" spans="4:4" ht="12.75">
      <c r="D857" s="90"/>
    </row>
    <row r="858" spans="4:4" ht="12.75">
      <c r="D858" s="90"/>
    </row>
    <row r="859" spans="4:4" ht="12.75">
      <c r="D859" s="90"/>
    </row>
    <row r="860" spans="4:4" ht="12.75">
      <c r="D860" s="90"/>
    </row>
    <row r="861" spans="4:4" ht="12.75">
      <c r="D861" s="90"/>
    </row>
    <row r="862" spans="4:4" ht="12.75">
      <c r="D862" s="90"/>
    </row>
    <row r="863" spans="4:4" ht="12.75">
      <c r="D863" s="90"/>
    </row>
    <row r="864" spans="4:4" ht="12.75">
      <c r="D864" s="90"/>
    </row>
    <row r="865" spans="4:4" ht="12.75">
      <c r="D865" s="90"/>
    </row>
    <row r="866" spans="4:4" ht="12.75">
      <c r="D866" s="90"/>
    </row>
    <row r="867" spans="4:4" ht="12.75">
      <c r="D867" s="90"/>
    </row>
    <row r="868" spans="4:4" ht="12.75">
      <c r="D868" s="90"/>
    </row>
    <row r="869" spans="4:4" ht="12.75">
      <c r="D869" s="90"/>
    </row>
    <row r="870" spans="4:4" ht="12.75">
      <c r="D870" s="90"/>
    </row>
    <row r="871" spans="4:4" ht="12.75">
      <c r="D871" s="90"/>
    </row>
    <row r="872" spans="4:4" ht="12.75">
      <c r="D872" s="90"/>
    </row>
    <row r="873" spans="4:4" ht="12.75">
      <c r="D873" s="90"/>
    </row>
    <row r="874" spans="4:4" ht="12.75">
      <c r="D874" s="90"/>
    </row>
    <row r="875" spans="4:4" ht="12.75">
      <c r="D875" s="90"/>
    </row>
    <row r="876" spans="4:4" ht="12.75">
      <c r="D876" s="90"/>
    </row>
    <row r="877" spans="4:4" ht="12.75">
      <c r="D877" s="90"/>
    </row>
    <row r="878" spans="4:4" ht="12.75">
      <c r="D878" s="90"/>
    </row>
    <row r="879" spans="4:4" ht="12.75">
      <c r="D879" s="90"/>
    </row>
    <row r="880" spans="4:4" ht="12.75">
      <c r="D880" s="90"/>
    </row>
    <row r="881" spans="4:4" ht="12.75">
      <c r="D881" s="90"/>
    </row>
    <row r="882" spans="4:4" ht="12.75">
      <c r="D882" s="90"/>
    </row>
    <row r="883" spans="4:4" ht="12.75">
      <c r="D883" s="90"/>
    </row>
    <row r="884" spans="4:4" ht="12.75">
      <c r="D884" s="90"/>
    </row>
    <row r="885" spans="4:4" ht="12.75">
      <c r="D885" s="90"/>
    </row>
    <row r="886" spans="4:4" ht="12.75">
      <c r="D886" s="90"/>
    </row>
    <row r="887" spans="4:4" ht="12.75">
      <c r="D887" s="90"/>
    </row>
    <row r="888" spans="4:4" ht="12.75">
      <c r="D888" s="90"/>
    </row>
    <row r="889" spans="4:4" ht="12.75">
      <c r="D889" s="90"/>
    </row>
    <row r="890" spans="4:4" ht="12.75">
      <c r="D890" s="90"/>
    </row>
    <row r="891" spans="4:4" ht="12.75">
      <c r="D891" s="90"/>
    </row>
    <row r="892" spans="4:4" ht="12.75">
      <c r="D892" s="90"/>
    </row>
    <row r="893" spans="4:4" ht="12.75">
      <c r="D893" s="90"/>
    </row>
    <row r="894" spans="4:4" ht="12.75">
      <c r="D894" s="90"/>
    </row>
    <row r="895" spans="4:4" ht="12.75">
      <c r="D895" s="90"/>
    </row>
    <row r="896" spans="4:4" ht="12.75">
      <c r="D896" s="90"/>
    </row>
    <row r="897" spans="4:4" ht="12.75">
      <c r="D897" s="90"/>
    </row>
    <row r="898" spans="4:4" ht="12.75">
      <c r="D898" s="90"/>
    </row>
    <row r="899" spans="4:4" ht="12.75">
      <c r="D899" s="90"/>
    </row>
    <row r="900" spans="4:4" ht="12.75">
      <c r="D900" s="90"/>
    </row>
    <row r="901" spans="4:4" ht="12.75">
      <c r="D901" s="90"/>
    </row>
    <row r="902" spans="4:4" ht="12.75">
      <c r="D902" s="90"/>
    </row>
    <row r="903" spans="4:4" ht="12.75">
      <c r="D903" s="90"/>
    </row>
    <row r="904" spans="4:4" ht="12.75">
      <c r="D904" s="90"/>
    </row>
    <row r="905" spans="4:4" ht="12.75">
      <c r="D905" s="90"/>
    </row>
    <row r="906" spans="4:4" ht="12.75">
      <c r="D906" s="90"/>
    </row>
    <row r="907" spans="4:4" ht="12.75">
      <c r="D907" s="90"/>
    </row>
    <row r="908" spans="4:4" ht="12.75">
      <c r="D908" s="90"/>
    </row>
    <row r="909" spans="4:4" ht="12.75">
      <c r="D909" s="90"/>
    </row>
    <row r="910" spans="4:4" ht="12.75">
      <c r="D910" s="90"/>
    </row>
    <row r="911" spans="4:4" ht="12.75">
      <c r="D911" s="90"/>
    </row>
    <row r="912" spans="4:4" ht="12.75">
      <c r="D912" s="90"/>
    </row>
    <row r="913" spans="4:4" ht="12.75">
      <c r="D913" s="90"/>
    </row>
    <row r="914" spans="4:4" ht="12.75">
      <c r="D914" s="90"/>
    </row>
    <row r="915" spans="4:4" ht="12.75">
      <c r="D915" s="90"/>
    </row>
    <row r="916" spans="4:4" ht="12.75">
      <c r="D916" s="90"/>
    </row>
    <row r="917" spans="4:4" ht="12.75">
      <c r="D917" s="90"/>
    </row>
    <row r="918" spans="4:4" ht="12.75">
      <c r="D918" s="90"/>
    </row>
    <row r="919" spans="4:4" ht="12.75">
      <c r="D919" s="90"/>
    </row>
    <row r="920" spans="4:4" ht="12.75">
      <c r="D920" s="90"/>
    </row>
    <row r="921" spans="4:4" ht="12.75">
      <c r="D921" s="90"/>
    </row>
    <row r="922" spans="4:4" ht="12.75">
      <c r="D922" s="90"/>
    </row>
    <row r="923" spans="4:4" ht="12.75">
      <c r="D923" s="90"/>
    </row>
    <row r="924" spans="4:4" ht="12.75">
      <c r="D924" s="90"/>
    </row>
    <row r="925" spans="4:4" ht="12.75">
      <c r="D925" s="90"/>
    </row>
    <row r="926" spans="4:4" ht="12.75">
      <c r="D926" s="90"/>
    </row>
    <row r="927" spans="4:4" ht="12.75">
      <c r="D927" s="90"/>
    </row>
    <row r="928" spans="4:4" ht="12.75">
      <c r="D928" s="90"/>
    </row>
    <row r="929" spans="4:4" ht="12.75">
      <c r="D929" s="90"/>
    </row>
    <row r="930" spans="4:4" ht="12.75">
      <c r="D930" s="90"/>
    </row>
    <row r="931" spans="4:4" ht="12.75">
      <c r="D931" s="90"/>
    </row>
    <row r="932" spans="4:4" ht="12.75">
      <c r="D932" s="90"/>
    </row>
    <row r="933" spans="4:4" ht="12.75">
      <c r="D933" s="90"/>
    </row>
    <row r="934" spans="4:4" ht="12.75">
      <c r="D934" s="90"/>
    </row>
    <row r="935" spans="4:4" ht="12.75">
      <c r="D935" s="90"/>
    </row>
    <row r="936" spans="4:4" ht="12.75">
      <c r="D936" s="90"/>
    </row>
    <row r="937" spans="4:4" ht="12.75">
      <c r="D937" s="90"/>
    </row>
    <row r="938" spans="4:4" ht="12.75">
      <c r="D938" s="90"/>
    </row>
    <row r="939" spans="4:4" ht="12.75">
      <c r="D939" s="90"/>
    </row>
    <row r="940" spans="4:4" ht="12.75">
      <c r="D940" s="90"/>
    </row>
    <row r="941" spans="4:4" ht="12.75">
      <c r="D941" s="90"/>
    </row>
    <row r="942" spans="4:4" ht="12.75">
      <c r="D942" s="90"/>
    </row>
    <row r="943" spans="4:4" ht="12.75">
      <c r="D943" s="90"/>
    </row>
    <row r="944" spans="4:4" ht="12.75">
      <c r="D944" s="90"/>
    </row>
    <row r="945" spans="4:4" ht="12.75">
      <c r="D945" s="90"/>
    </row>
    <row r="946" spans="4:4" ht="12.75">
      <c r="D946" s="90"/>
    </row>
    <row r="947" spans="4:4" ht="12.75">
      <c r="D947" s="90"/>
    </row>
    <row r="948" spans="4:4" ht="12.75">
      <c r="D948" s="90"/>
    </row>
    <row r="949" spans="4:4" ht="12.75">
      <c r="D949" s="90"/>
    </row>
    <row r="950" spans="4:4" ht="12.75">
      <c r="D950" s="90"/>
    </row>
    <row r="951" spans="4:4" ht="12.75">
      <c r="D951" s="90"/>
    </row>
    <row r="952" spans="4:4" ht="12.75">
      <c r="D952" s="90"/>
    </row>
    <row r="953" spans="4:4" ht="12.75">
      <c r="D953" s="90"/>
    </row>
    <row r="954" spans="4:4" ht="12.75">
      <c r="D954" s="90"/>
    </row>
    <row r="955" spans="4:4" ht="12.75">
      <c r="D955" s="90"/>
    </row>
    <row r="956" spans="4:4" ht="12.75">
      <c r="D956" s="90"/>
    </row>
    <row r="957" spans="4:4" ht="12.75">
      <c r="D957" s="90"/>
    </row>
    <row r="958" spans="4:4" ht="12.75">
      <c r="D958" s="90"/>
    </row>
    <row r="959" spans="4:4" ht="12.75">
      <c r="D959" s="90"/>
    </row>
    <row r="960" spans="4:4" ht="12.75">
      <c r="D960" s="90"/>
    </row>
    <row r="961" spans="4:4" ht="12.75">
      <c r="D961" s="90"/>
    </row>
    <row r="962" spans="4:4" ht="12.75">
      <c r="D962" s="90"/>
    </row>
    <row r="963" spans="4:4" ht="12.75">
      <c r="D963" s="90"/>
    </row>
    <row r="964" spans="4:4" ht="12.75">
      <c r="D964" s="90"/>
    </row>
    <row r="965" spans="4:4" ht="12.75">
      <c r="D965" s="90"/>
    </row>
    <row r="966" spans="4:4" ht="12.75">
      <c r="D966" s="90"/>
    </row>
    <row r="967" spans="4:4" ht="12.75">
      <c r="D967" s="90"/>
    </row>
    <row r="968" spans="4:4" ht="12.75">
      <c r="D968" s="90"/>
    </row>
    <row r="969" spans="4:4" ht="12.75">
      <c r="D969" s="90"/>
    </row>
    <row r="970" spans="4:4" ht="12.75">
      <c r="D970" s="90"/>
    </row>
    <row r="971" spans="4:4" ht="12.75">
      <c r="D971" s="90"/>
    </row>
    <row r="972" spans="4:4" ht="12.75">
      <c r="D972" s="90"/>
    </row>
    <row r="973" spans="4:4" ht="12.75">
      <c r="D973" s="90"/>
    </row>
    <row r="974" spans="4:4" ht="12.75">
      <c r="D974" s="90"/>
    </row>
    <row r="975" spans="4:4" ht="12.75">
      <c r="D975" s="90"/>
    </row>
    <row r="976" spans="4:4" ht="12.75">
      <c r="D976" s="90"/>
    </row>
    <row r="977" spans="4:4" ht="12.75">
      <c r="D977" s="90"/>
    </row>
    <row r="978" spans="4:4" ht="12.75">
      <c r="D978" s="90"/>
    </row>
    <row r="979" spans="4:4" ht="12.75">
      <c r="D979" s="90"/>
    </row>
    <row r="980" spans="4:4" ht="12.75">
      <c r="D980" s="90"/>
    </row>
    <row r="981" spans="4:4" ht="12.75">
      <c r="D981" s="90"/>
    </row>
    <row r="982" spans="4:4" ht="12.75">
      <c r="D982" s="90"/>
    </row>
    <row r="983" spans="4:4" ht="12.75">
      <c r="D983" s="90"/>
    </row>
    <row r="984" spans="4:4" ht="12.75">
      <c r="D984" s="90"/>
    </row>
    <row r="985" spans="4:4" ht="12.75">
      <c r="D985" s="90"/>
    </row>
    <row r="986" spans="4:4" ht="12.75">
      <c r="D986" s="90"/>
    </row>
    <row r="987" spans="4:4" ht="12.75">
      <c r="D987" s="90"/>
    </row>
    <row r="988" spans="4:4" ht="12.75">
      <c r="D988" s="90"/>
    </row>
    <row r="989" spans="4:4" ht="12.75">
      <c r="D989" s="90"/>
    </row>
    <row r="990" spans="4:4" ht="12.75">
      <c r="D990" s="90"/>
    </row>
    <row r="991" spans="4:4" ht="12.75">
      <c r="D991" s="90"/>
    </row>
    <row r="992" spans="4:4" ht="12.75">
      <c r="D992" s="90"/>
    </row>
    <row r="993" spans="4:4" ht="12.75">
      <c r="D993" s="90"/>
    </row>
    <row r="994" spans="4:4" ht="12.75">
      <c r="D994" s="90"/>
    </row>
    <row r="995" spans="4:4" ht="12.75">
      <c r="D995" s="90"/>
    </row>
    <row r="996" spans="4:4" ht="12.75">
      <c r="D996" s="90"/>
    </row>
    <row r="997" spans="4:4" ht="12.75">
      <c r="D997" s="90"/>
    </row>
    <row r="998" spans="4:4" ht="12.75">
      <c r="D998" s="90"/>
    </row>
    <row r="999" spans="4:4" ht="12.75">
      <c r="D999" s="90"/>
    </row>
    <row r="1000" spans="4:4" ht="12.75">
      <c r="D1000" s="90"/>
    </row>
    <row r="1001" spans="4:4" ht="12.75">
      <c r="D1001" s="90"/>
    </row>
    <row r="1002" spans="4:4" ht="12.75">
      <c r="D1002" s="90"/>
    </row>
    <row r="1003" spans="4:4" ht="12.75">
      <c r="D1003" s="90"/>
    </row>
    <row r="1004" spans="4:4" ht="12.75">
      <c r="D1004" s="9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  <outlinePr summaryBelow="0" summaryRight="0"/>
  </sheetPr>
  <dimension ref="B2:Q80"/>
  <sheetViews>
    <sheetView workbookViewId="0"/>
  </sheetViews>
  <sheetFormatPr defaultColWidth="12.5703125" defaultRowHeight="15.75" customHeight="1"/>
  <cols>
    <col min="2" max="2" width="25.5703125" bestFit="1" customWidth="1"/>
    <col min="9" max="9" width="12.5703125" hidden="1"/>
  </cols>
  <sheetData>
    <row r="2" spans="2:14">
      <c r="B2" s="91" t="s">
        <v>2</v>
      </c>
      <c r="C2" s="92" t="s">
        <v>44</v>
      </c>
      <c r="D2" s="92" t="s">
        <v>3</v>
      </c>
      <c r="E2" s="92" t="s">
        <v>4</v>
      </c>
      <c r="F2" s="92" t="s">
        <v>5</v>
      </c>
      <c r="G2" s="92" t="s">
        <v>6</v>
      </c>
      <c r="H2" s="93" t="s">
        <v>7</v>
      </c>
    </row>
    <row r="3" spans="2:14">
      <c r="B3" s="126" t="s">
        <v>169</v>
      </c>
      <c r="C3" s="127">
        <v>102</v>
      </c>
      <c r="D3" s="127">
        <v>102</v>
      </c>
      <c r="E3" s="127">
        <v>102</v>
      </c>
      <c r="F3" s="127">
        <v>102</v>
      </c>
      <c r="G3" s="127">
        <v>101</v>
      </c>
      <c r="H3" s="128">
        <v>101</v>
      </c>
    </row>
    <row r="4" spans="2:14">
      <c r="B4" s="117" t="s">
        <v>170</v>
      </c>
      <c r="C4" s="129">
        <v>8642</v>
      </c>
      <c r="D4" s="129">
        <v>10273</v>
      </c>
      <c r="E4" s="129">
        <v>12890</v>
      </c>
      <c r="F4" s="129">
        <v>16897</v>
      </c>
      <c r="G4" s="129">
        <v>17415</v>
      </c>
      <c r="H4" s="130">
        <v>19729</v>
      </c>
      <c r="I4" s="131" t="s">
        <v>171</v>
      </c>
      <c r="J4" s="94"/>
      <c r="K4" s="94"/>
      <c r="L4" s="94"/>
      <c r="M4" s="94"/>
      <c r="N4" s="94"/>
    </row>
    <row r="5" spans="2:14">
      <c r="B5" s="132" t="s">
        <v>172</v>
      </c>
      <c r="C5" s="133">
        <v>5407</v>
      </c>
      <c r="D5" s="133">
        <v>7986</v>
      </c>
      <c r="E5" s="133">
        <v>4608</v>
      </c>
      <c r="F5" s="133">
        <v>4221</v>
      </c>
      <c r="G5" s="133">
        <v>1195</v>
      </c>
      <c r="H5" s="134">
        <v>804</v>
      </c>
      <c r="I5" s="131">
        <v>101</v>
      </c>
    </row>
    <row r="6" spans="2:14">
      <c r="B6" s="98" t="s">
        <v>173</v>
      </c>
      <c r="C6" s="129">
        <v>2555</v>
      </c>
      <c r="D6" s="129">
        <v>3215</v>
      </c>
      <c r="E6" s="131">
        <v>610</v>
      </c>
      <c r="F6" s="131">
        <v>362</v>
      </c>
      <c r="G6" s="131">
        <v>0</v>
      </c>
      <c r="H6" s="135">
        <v>0</v>
      </c>
      <c r="I6" s="129">
        <v>21724</v>
      </c>
    </row>
    <row r="7" spans="2:14">
      <c r="B7" s="98" t="s">
        <v>174</v>
      </c>
      <c r="C7" s="129">
        <v>2558</v>
      </c>
      <c r="D7" s="129">
        <v>3826</v>
      </c>
      <c r="E7" s="129">
        <v>3974</v>
      </c>
      <c r="F7" s="129">
        <v>3834</v>
      </c>
      <c r="G7" s="129">
        <v>1163</v>
      </c>
      <c r="H7" s="135">
        <v>769</v>
      </c>
      <c r="I7" s="131">
        <v>190</v>
      </c>
    </row>
    <row r="8" spans="2:14">
      <c r="B8" s="98" t="s">
        <v>175</v>
      </c>
      <c r="C8" s="131">
        <v>0</v>
      </c>
      <c r="D8" s="131">
        <v>0</v>
      </c>
      <c r="E8" s="131">
        <v>24</v>
      </c>
      <c r="F8" s="131">
        <v>25</v>
      </c>
      <c r="G8" s="131">
        <v>32</v>
      </c>
      <c r="H8" s="135">
        <v>36</v>
      </c>
      <c r="I8" s="131">
        <v>0</v>
      </c>
    </row>
    <row r="9" spans="2:14">
      <c r="B9" s="98" t="s">
        <v>176</v>
      </c>
      <c r="C9" s="131">
        <v>294</v>
      </c>
      <c r="D9" s="131">
        <v>945</v>
      </c>
      <c r="E9" s="131">
        <v>0</v>
      </c>
      <c r="F9" s="131">
        <v>0</v>
      </c>
      <c r="G9" s="131">
        <v>0</v>
      </c>
      <c r="H9" s="135">
        <v>0</v>
      </c>
      <c r="I9" s="131">
        <v>150</v>
      </c>
    </row>
    <row r="10" spans="2:14">
      <c r="B10" s="132" t="s">
        <v>177</v>
      </c>
      <c r="C10" s="133">
        <v>3632</v>
      </c>
      <c r="D10" s="133">
        <v>5115</v>
      </c>
      <c r="E10" s="133">
        <v>6165</v>
      </c>
      <c r="F10" s="133">
        <v>6421</v>
      </c>
      <c r="G10" s="133">
        <v>6851</v>
      </c>
      <c r="H10" s="136">
        <v>8201</v>
      </c>
      <c r="I10" s="131">
        <v>40</v>
      </c>
    </row>
    <row r="11" spans="2:14">
      <c r="B11" s="98" t="s">
        <v>178</v>
      </c>
      <c r="C11" s="131">
        <v>191</v>
      </c>
      <c r="D11" s="129">
        <v>1335</v>
      </c>
      <c r="E11" s="129">
        <v>1937</v>
      </c>
      <c r="F11" s="129">
        <v>2054</v>
      </c>
      <c r="G11" s="129">
        <v>2172</v>
      </c>
      <c r="H11" s="130">
        <v>2272</v>
      </c>
      <c r="I11" s="131"/>
    </row>
    <row r="12" spans="2:14">
      <c r="B12" s="98" t="s">
        <v>179</v>
      </c>
      <c r="C12" s="129">
        <v>1888</v>
      </c>
      <c r="D12" s="129">
        <v>2044</v>
      </c>
      <c r="E12" s="129">
        <v>2206</v>
      </c>
      <c r="F12" s="129">
        <v>2138</v>
      </c>
      <c r="G12" s="129">
        <v>2125</v>
      </c>
      <c r="H12" s="130">
        <v>2127</v>
      </c>
      <c r="I12" s="129">
        <v>9431</v>
      </c>
    </row>
    <row r="13" spans="2:14">
      <c r="B13" s="98" t="s">
        <v>49</v>
      </c>
      <c r="C13" s="131">
        <v>40</v>
      </c>
      <c r="D13" s="131">
        <v>49</v>
      </c>
      <c r="E13" s="131">
        <v>43</v>
      </c>
      <c r="F13" s="131">
        <v>49</v>
      </c>
      <c r="G13" s="131">
        <v>72</v>
      </c>
      <c r="H13" s="135">
        <v>73</v>
      </c>
      <c r="I13" s="129">
        <v>2330</v>
      </c>
    </row>
    <row r="14" spans="2:14">
      <c r="B14" s="98" t="s">
        <v>180</v>
      </c>
      <c r="C14" s="129">
        <v>1512</v>
      </c>
      <c r="D14" s="129">
        <v>1687</v>
      </c>
      <c r="E14" s="129">
        <v>1979</v>
      </c>
      <c r="F14" s="129">
        <v>2180</v>
      </c>
      <c r="G14" s="129">
        <v>2482</v>
      </c>
      <c r="H14" s="130">
        <v>3729</v>
      </c>
      <c r="I14" s="129">
        <v>2127</v>
      </c>
    </row>
    <row r="15" spans="2:14">
      <c r="B15" s="126" t="s">
        <v>181</v>
      </c>
      <c r="C15" s="137">
        <v>17783</v>
      </c>
      <c r="D15" s="137">
        <v>23477</v>
      </c>
      <c r="E15" s="137">
        <v>23765</v>
      </c>
      <c r="F15" s="137">
        <v>27642</v>
      </c>
      <c r="G15" s="137">
        <v>25562</v>
      </c>
      <c r="H15" s="138">
        <v>28834</v>
      </c>
      <c r="I15" s="131"/>
    </row>
    <row r="16" spans="2:14">
      <c r="B16" s="132" t="s">
        <v>182</v>
      </c>
      <c r="C16" s="133">
        <v>6483</v>
      </c>
      <c r="D16" s="133">
        <v>12230</v>
      </c>
      <c r="E16" s="133">
        <v>12133</v>
      </c>
      <c r="F16" s="133">
        <v>12188</v>
      </c>
      <c r="G16" s="133">
        <v>11521</v>
      </c>
      <c r="H16" s="136">
        <v>12368</v>
      </c>
      <c r="I16" s="129">
        <v>4974</v>
      </c>
    </row>
    <row r="17" spans="2:17">
      <c r="B17" s="98" t="s">
        <v>183</v>
      </c>
      <c r="C17" s="129">
        <v>422</v>
      </c>
      <c r="D17" s="131">
        <v>541</v>
      </c>
      <c r="E17" s="131">
        <v>570</v>
      </c>
      <c r="F17" s="131">
        <v>573</v>
      </c>
      <c r="G17" s="131">
        <v>626</v>
      </c>
      <c r="H17" s="135">
        <v>617</v>
      </c>
      <c r="I17" s="129">
        <v>31446</v>
      </c>
    </row>
    <row r="18" spans="2:17">
      <c r="B18" s="98" t="s">
        <v>184</v>
      </c>
      <c r="C18" s="129">
        <v>1231</v>
      </c>
      <c r="D18" s="129">
        <v>1884</v>
      </c>
      <c r="E18" s="129">
        <v>2045</v>
      </c>
      <c r="F18" s="129">
        <v>1969</v>
      </c>
      <c r="G18" s="129">
        <v>2075</v>
      </c>
      <c r="H18" s="130">
        <v>2191</v>
      </c>
      <c r="I18" s="129">
        <v>14304</v>
      </c>
    </row>
    <row r="19" spans="2:17">
      <c r="B19" s="98" t="s">
        <v>185</v>
      </c>
      <c r="C19" s="129">
        <v>3997</v>
      </c>
      <c r="D19" s="129">
        <v>5705</v>
      </c>
      <c r="E19" s="129">
        <v>6096</v>
      </c>
      <c r="F19" s="129">
        <v>6652</v>
      </c>
      <c r="G19" s="129">
        <v>6993</v>
      </c>
      <c r="H19" s="130">
        <v>7525</v>
      </c>
      <c r="I19" s="131"/>
    </row>
    <row r="20" spans="2:17">
      <c r="B20" s="98" t="s">
        <v>186</v>
      </c>
      <c r="C20" s="129">
        <v>78</v>
      </c>
      <c r="D20" s="131">
        <v>145</v>
      </c>
      <c r="E20" s="131">
        <v>150</v>
      </c>
      <c r="F20" s="131">
        <v>155</v>
      </c>
      <c r="G20" s="131">
        <v>165</v>
      </c>
      <c r="H20" s="135">
        <v>176</v>
      </c>
      <c r="I20" s="131"/>
    </row>
    <row r="21" spans="2:17">
      <c r="B21" s="98" t="s">
        <v>187</v>
      </c>
      <c r="C21" s="129">
        <v>119</v>
      </c>
      <c r="D21" s="131">
        <v>198</v>
      </c>
      <c r="E21" s="131">
        <v>203</v>
      </c>
      <c r="F21" s="131">
        <v>200</v>
      </c>
      <c r="G21" s="131">
        <v>205</v>
      </c>
      <c r="H21" s="135">
        <v>218</v>
      </c>
      <c r="I21" s="131"/>
    </row>
    <row r="22" spans="2:17">
      <c r="B22" s="98" t="s">
        <v>188</v>
      </c>
      <c r="C22" s="129">
        <v>79</v>
      </c>
      <c r="D22" s="131">
        <v>105</v>
      </c>
      <c r="E22" s="131">
        <v>111</v>
      </c>
      <c r="F22" s="131">
        <v>118</v>
      </c>
      <c r="G22" s="131">
        <v>135</v>
      </c>
      <c r="H22" s="135">
        <v>159</v>
      </c>
      <c r="I22" s="131"/>
    </row>
    <row r="23" spans="2:17">
      <c r="B23" s="117" t="s">
        <v>189</v>
      </c>
      <c r="C23" s="129">
        <v>3330</v>
      </c>
      <c r="D23" s="129">
        <v>8020</v>
      </c>
      <c r="E23" s="129">
        <v>7969</v>
      </c>
      <c r="F23" s="129">
        <v>7778</v>
      </c>
      <c r="G23" s="129">
        <v>7889</v>
      </c>
      <c r="H23" s="130">
        <v>8653</v>
      </c>
      <c r="I23" s="131"/>
    </row>
    <row r="24" spans="2:17">
      <c r="B24" s="117" t="s">
        <v>190</v>
      </c>
      <c r="C24" s="129">
        <v>93</v>
      </c>
      <c r="D24" s="131">
        <v>184</v>
      </c>
      <c r="E24" s="131">
        <v>201</v>
      </c>
      <c r="F24" s="131">
        <v>205</v>
      </c>
      <c r="G24" s="131">
        <v>256</v>
      </c>
      <c r="H24" s="135">
        <v>382</v>
      </c>
      <c r="I24" s="131"/>
    </row>
    <row r="25" spans="2:17">
      <c r="B25" s="117" t="s">
        <v>191</v>
      </c>
      <c r="C25" s="129">
        <v>9349</v>
      </c>
      <c r="D25" s="129">
        <v>16782</v>
      </c>
      <c r="E25" s="129">
        <v>17345</v>
      </c>
      <c r="F25" s="129">
        <v>17651</v>
      </c>
      <c r="G25" s="129">
        <v>18344</v>
      </c>
      <c r="H25" s="130">
        <v>19920</v>
      </c>
      <c r="I25" s="129">
        <v>8202</v>
      </c>
    </row>
    <row r="26" spans="2:17">
      <c r="B26" s="117" t="s">
        <v>192</v>
      </c>
      <c r="C26" s="129">
        <v>2866</v>
      </c>
      <c r="D26" s="129">
        <v>4551</v>
      </c>
      <c r="E26" s="129">
        <v>5212</v>
      </c>
      <c r="F26" s="129">
        <v>5462</v>
      </c>
      <c r="G26" s="129">
        <v>6823</v>
      </c>
      <c r="H26" s="130">
        <v>7551</v>
      </c>
      <c r="I26" s="131"/>
    </row>
    <row r="27" spans="2:17">
      <c r="B27" s="117" t="s">
        <v>193</v>
      </c>
      <c r="C27" s="129">
        <v>1527</v>
      </c>
      <c r="D27" s="131">
        <v>742</v>
      </c>
      <c r="E27" s="131">
        <v>783</v>
      </c>
      <c r="F27" s="131">
        <v>726</v>
      </c>
      <c r="G27" s="129">
        <v>1201</v>
      </c>
      <c r="H27" s="130">
        <v>2423</v>
      </c>
      <c r="I27" s="131"/>
    </row>
    <row r="28" spans="2:17">
      <c r="B28" s="117" t="s">
        <v>194</v>
      </c>
      <c r="C28" s="131">
        <v>746</v>
      </c>
      <c r="D28" s="131">
        <v>765</v>
      </c>
      <c r="E28" s="131">
        <v>830</v>
      </c>
      <c r="F28" s="129">
        <v>3288</v>
      </c>
      <c r="G28" s="129">
        <v>1547</v>
      </c>
      <c r="H28" s="130">
        <v>1220</v>
      </c>
      <c r="I28" s="131"/>
      <c r="K28" s="129"/>
      <c r="L28" s="129"/>
      <c r="M28" s="129"/>
      <c r="N28" s="129"/>
      <c r="O28" s="129"/>
      <c r="P28" s="129"/>
      <c r="Q28" s="129"/>
    </row>
    <row r="29" spans="2:17">
      <c r="B29" s="132" t="s">
        <v>195</v>
      </c>
      <c r="C29" s="133">
        <v>9028</v>
      </c>
      <c r="D29" s="133">
        <v>9740</v>
      </c>
      <c r="E29" s="133">
        <v>10019</v>
      </c>
      <c r="F29" s="133">
        <v>11439</v>
      </c>
      <c r="G29" s="133">
        <v>11294</v>
      </c>
      <c r="H29" s="136">
        <v>12822</v>
      </c>
      <c r="I29" s="129">
        <v>1051</v>
      </c>
    </row>
    <row r="30" spans="2:17">
      <c r="B30" s="98" t="s">
        <v>196</v>
      </c>
      <c r="C30" s="129">
        <v>2385</v>
      </c>
      <c r="D30" s="129">
        <v>2789</v>
      </c>
      <c r="E30" s="129">
        <v>3236</v>
      </c>
      <c r="F30" s="129">
        <v>3719</v>
      </c>
      <c r="G30" s="129">
        <v>3413</v>
      </c>
      <c r="H30" s="130">
        <v>3442</v>
      </c>
      <c r="I30" s="129">
        <v>2596</v>
      </c>
    </row>
    <row r="31" spans="2:17">
      <c r="B31" s="98" t="s">
        <v>197</v>
      </c>
      <c r="C31" s="129">
        <v>3206</v>
      </c>
      <c r="D31" s="129">
        <v>3663</v>
      </c>
      <c r="E31" s="129">
        <v>3127</v>
      </c>
      <c r="F31" s="129">
        <v>3340</v>
      </c>
      <c r="G31" s="129">
        <v>4417</v>
      </c>
      <c r="H31" s="130">
        <v>5220</v>
      </c>
      <c r="I31" s="129">
        <v>13495</v>
      </c>
    </row>
    <row r="32" spans="2:17">
      <c r="B32" s="98" t="s">
        <v>198</v>
      </c>
      <c r="C32" s="129">
        <v>1315</v>
      </c>
      <c r="D32" s="131">
        <v>965</v>
      </c>
      <c r="E32" s="131">
        <v>888</v>
      </c>
      <c r="F32" s="129">
        <v>1107</v>
      </c>
      <c r="G32" s="131">
        <v>573</v>
      </c>
      <c r="H32" s="130">
        <v>1105</v>
      </c>
      <c r="I32" s="129">
        <v>3717</v>
      </c>
    </row>
    <row r="33" spans="2:15">
      <c r="B33" s="98" t="s">
        <v>199</v>
      </c>
      <c r="C33" s="131">
        <v>162</v>
      </c>
      <c r="D33" s="131">
        <v>271</v>
      </c>
      <c r="E33" s="131">
        <v>382</v>
      </c>
      <c r="F33" s="131">
        <v>322</v>
      </c>
      <c r="G33" s="131">
        <v>332</v>
      </c>
      <c r="H33" s="135">
        <v>350</v>
      </c>
      <c r="I33" s="129">
        <v>4670</v>
      </c>
    </row>
    <row r="34" spans="2:15">
      <c r="B34" s="98" t="s">
        <v>200</v>
      </c>
      <c r="C34" s="129">
        <v>1959</v>
      </c>
      <c r="D34" s="129">
        <v>2052</v>
      </c>
      <c r="E34" s="129">
        <v>2385</v>
      </c>
      <c r="F34" s="129">
        <v>2950</v>
      </c>
      <c r="G34" s="129">
        <v>2558</v>
      </c>
      <c r="H34" s="130">
        <v>2705</v>
      </c>
      <c r="I34" s="129">
        <v>1594</v>
      </c>
    </row>
    <row r="35" spans="2:15">
      <c r="B35" s="139" t="s">
        <v>201</v>
      </c>
      <c r="C35" s="140">
        <v>17783</v>
      </c>
      <c r="D35" s="140">
        <v>23477</v>
      </c>
      <c r="E35" s="140">
        <v>23765</v>
      </c>
      <c r="F35" s="140">
        <v>27642</v>
      </c>
      <c r="G35" s="140">
        <v>25562</v>
      </c>
      <c r="H35" s="141">
        <v>28834</v>
      </c>
      <c r="I35" s="131">
        <v>58</v>
      </c>
    </row>
    <row r="36" spans="2:15">
      <c r="I36" s="129">
        <v>3456</v>
      </c>
    </row>
    <row r="37" spans="2:15">
      <c r="I37" s="129">
        <v>31446</v>
      </c>
    </row>
    <row r="47" spans="2:15">
      <c r="B47" s="142">
        <v>41334</v>
      </c>
      <c r="C47" s="142">
        <v>41699</v>
      </c>
      <c r="D47" s="142">
        <v>42064</v>
      </c>
      <c r="E47" s="142">
        <v>42430</v>
      </c>
      <c r="F47" s="142">
        <v>42795</v>
      </c>
      <c r="G47" s="142">
        <v>43160</v>
      </c>
      <c r="H47" s="142">
        <v>43525</v>
      </c>
      <c r="I47" s="142">
        <v>43891</v>
      </c>
      <c r="J47" s="142">
        <v>44256</v>
      </c>
      <c r="K47" s="142">
        <v>44621</v>
      </c>
      <c r="L47" s="142">
        <v>44986</v>
      </c>
      <c r="M47" s="142">
        <v>45352</v>
      </c>
      <c r="N47" s="142">
        <v>45536</v>
      </c>
    </row>
    <row r="48" spans="2:15">
      <c r="B48" s="143" t="s">
        <v>169</v>
      </c>
      <c r="C48" s="131">
        <v>102</v>
      </c>
      <c r="D48" s="131">
        <v>102</v>
      </c>
      <c r="E48" s="131">
        <v>102</v>
      </c>
      <c r="F48" s="131">
        <v>102</v>
      </c>
      <c r="G48" s="131">
        <v>102</v>
      </c>
      <c r="H48" s="131">
        <v>102</v>
      </c>
      <c r="I48" s="131">
        <v>102</v>
      </c>
      <c r="J48" s="131">
        <v>102</v>
      </c>
      <c r="K48" s="131">
        <v>102</v>
      </c>
      <c r="L48" s="131">
        <v>102</v>
      </c>
      <c r="M48" s="131">
        <v>101</v>
      </c>
      <c r="N48" s="131">
        <v>101</v>
      </c>
      <c r="O48" s="131">
        <v>101</v>
      </c>
    </row>
    <row r="49" spans="2:15">
      <c r="B49" s="143" t="s">
        <v>170</v>
      </c>
      <c r="C49" s="129">
        <v>2842</v>
      </c>
      <c r="D49" s="129">
        <v>3337</v>
      </c>
      <c r="E49" s="129">
        <v>4149</v>
      </c>
      <c r="F49" s="129">
        <v>5597</v>
      </c>
      <c r="G49" s="129">
        <v>6858</v>
      </c>
      <c r="H49" s="129">
        <v>8642</v>
      </c>
      <c r="I49" s="129">
        <v>10284</v>
      </c>
      <c r="J49" s="129">
        <v>10273</v>
      </c>
      <c r="K49" s="129">
        <v>12890</v>
      </c>
      <c r="L49" s="129">
        <v>16897</v>
      </c>
      <c r="M49" s="129">
        <v>17415</v>
      </c>
      <c r="N49" s="129">
        <v>19729</v>
      </c>
      <c r="O49" s="129">
        <v>21724</v>
      </c>
    </row>
    <row r="50" spans="2:15">
      <c r="B50" s="144" t="s">
        <v>172</v>
      </c>
      <c r="C50" s="129">
        <v>2918</v>
      </c>
      <c r="D50" s="129">
        <v>2700</v>
      </c>
      <c r="E50" s="129">
        <v>2651</v>
      </c>
      <c r="F50" s="129">
        <v>2442</v>
      </c>
      <c r="G50" s="129">
        <v>5207</v>
      </c>
      <c r="H50" s="129">
        <v>5407</v>
      </c>
      <c r="I50" s="129">
        <v>7899</v>
      </c>
      <c r="J50" s="129">
        <v>7986</v>
      </c>
      <c r="K50" s="129">
        <v>4608</v>
      </c>
      <c r="L50" s="129">
        <v>4221</v>
      </c>
      <c r="M50" s="129">
        <v>1195</v>
      </c>
      <c r="N50" s="131">
        <v>804</v>
      </c>
      <c r="O50" s="131">
        <v>190</v>
      </c>
    </row>
    <row r="51" spans="2:15">
      <c r="B51" s="143" t="s">
        <v>173</v>
      </c>
      <c r="C51" s="129">
        <v>1426</v>
      </c>
      <c r="D51" s="129">
        <v>1362</v>
      </c>
      <c r="E51" s="129">
        <v>1150</v>
      </c>
      <c r="F51" s="131">
        <v>896</v>
      </c>
      <c r="G51" s="129">
        <v>2468</v>
      </c>
      <c r="H51" s="129">
        <v>2555</v>
      </c>
      <c r="I51" s="129">
        <v>3950</v>
      </c>
      <c r="J51" s="129">
        <v>3215</v>
      </c>
      <c r="K51" s="131">
        <v>610</v>
      </c>
      <c r="L51" s="131">
        <v>362</v>
      </c>
      <c r="M51" s="131">
        <v>0</v>
      </c>
      <c r="N51" s="131">
        <v>0</v>
      </c>
      <c r="O51" s="131">
        <v>0</v>
      </c>
    </row>
    <row r="52" spans="2:15">
      <c r="B52" s="143" t="s">
        <v>174</v>
      </c>
      <c r="C52" s="129">
        <v>1257</v>
      </c>
      <c r="D52" s="131">
        <v>902</v>
      </c>
      <c r="E52" s="129">
        <v>1184</v>
      </c>
      <c r="F52" s="129">
        <v>1211</v>
      </c>
      <c r="G52" s="129">
        <v>2477</v>
      </c>
      <c r="H52" s="129">
        <v>2558</v>
      </c>
      <c r="I52" s="129">
        <v>3197</v>
      </c>
      <c r="J52" s="129">
        <v>3826</v>
      </c>
      <c r="K52" s="129">
        <v>3974</v>
      </c>
      <c r="L52" s="129">
        <v>3834</v>
      </c>
      <c r="M52" s="129">
        <v>1163</v>
      </c>
      <c r="N52" s="131">
        <v>769</v>
      </c>
      <c r="O52" s="131">
        <v>150</v>
      </c>
    </row>
    <row r="53" spans="2:15">
      <c r="B53" s="143" t="s">
        <v>175</v>
      </c>
      <c r="C53" s="131">
        <v>0</v>
      </c>
      <c r="D53" s="131">
        <v>0</v>
      </c>
      <c r="E53" s="131">
        <v>0</v>
      </c>
      <c r="F53" s="131">
        <v>0</v>
      </c>
      <c r="G53" s="131">
        <v>0</v>
      </c>
      <c r="H53" s="131">
        <v>0</v>
      </c>
      <c r="I53" s="131">
        <v>0</v>
      </c>
      <c r="J53" s="131">
        <v>0</v>
      </c>
      <c r="K53" s="131">
        <v>24</v>
      </c>
      <c r="L53" s="131">
        <v>25</v>
      </c>
      <c r="M53" s="131">
        <v>32</v>
      </c>
      <c r="N53" s="131">
        <v>36</v>
      </c>
      <c r="O53" s="131">
        <v>40</v>
      </c>
    </row>
    <row r="54" spans="2:15">
      <c r="B54" s="143" t="s">
        <v>176</v>
      </c>
      <c r="C54" s="131">
        <v>235</v>
      </c>
      <c r="D54" s="131">
        <v>436</v>
      </c>
      <c r="E54" s="131">
        <v>317</v>
      </c>
      <c r="F54" s="131">
        <v>335</v>
      </c>
      <c r="G54" s="131">
        <v>262</v>
      </c>
      <c r="H54" s="131">
        <v>294</v>
      </c>
      <c r="I54" s="131">
        <v>753</v>
      </c>
      <c r="J54" s="131">
        <v>945</v>
      </c>
      <c r="K54" s="131">
        <v>0</v>
      </c>
      <c r="L54" s="131">
        <v>0</v>
      </c>
      <c r="M54" s="131">
        <v>0</v>
      </c>
      <c r="N54" s="131">
        <v>0</v>
      </c>
      <c r="O54" s="131"/>
    </row>
    <row r="55" spans="2:15">
      <c r="B55" s="144" t="s">
        <v>177</v>
      </c>
      <c r="C55" s="129">
        <v>1512</v>
      </c>
      <c r="D55" s="129">
        <v>1847</v>
      </c>
      <c r="E55" s="129">
        <v>2144</v>
      </c>
      <c r="F55" s="129">
        <v>2208</v>
      </c>
      <c r="G55" s="129">
        <v>2937</v>
      </c>
      <c r="H55" s="129">
        <v>3632</v>
      </c>
      <c r="I55" s="129">
        <v>4945</v>
      </c>
      <c r="J55" s="129">
        <v>5115</v>
      </c>
      <c r="K55" s="129">
        <v>6165</v>
      </c>
      <c r="L55" s="129">
        <v>6421</v>
      </c>
      <c r="M55" s="129">
        <v>6851</v>
      </c>
      <c r="N55" s="129">
        <v>8201</v>
      </c>
      <c r="O55" s="129">
        <v>9431</v>
      </c>
    </row>
    <row r="56" spans="2:15">
      <c r="B56" s="143" t="s">
        <v>178</v>
      </c>
      <c r="C56" s="131">
        <v>119</v>
      </c>
      <c r="D56" s="131">
        <v>144</v>
      </c>
      <c r="E56" s="131">
        <v>169</v>
      </c>
      <c r="F56" s="131">
        <v>136</v>
      </c>
      <c r="G56" s="131">
        <v>156</v>
      </c>
      <c r="H56" s="131">
        <v>191</v>
      </c>
      <c r="I56" s="129">
        <v>1293</v>
      </c>
      <c r="J56" s="129">
        <v>1335</v>
      </c>
      <c r="K56" s="129">
        <v>1937</v>
      </c>
      <c r="L56" s="129">
        <v>2054</v>
      </c>
      <c r="M56" s="129">
        <v>2172</v>
      </c>
      <c r="N56" s="129">
        <v>2272</v>
      </c>
      <c r="O56" s="129">
        <v>2330</v>
      </c>
    </row>
    <row r="57" spans="2:15">
      <c r="B57" s="143" t="s">
        <v>179</v>
      </c>
      <c r="C57" s="131">
        <v>657</v>
      </c>
      <c r="D57" s="131">
        <v>911</v>
      </c>
      <c r="E57" s="129">
        <v>1091</v>
      </c>
      <c r="F57" s="129">
        <v>1308</v>
      </c>
      <c r="G57" s="129">
        <v>1548</v>
      </c>
      <c r="H57" s="129">
        <v>1888</v>
      </c>
      <c r="I57" s="129">
        <v>1923</v>
      </c>
      <c r="J57" s="129">
        <v>2044</v>
      </c>
      <c r="K57" s="129">
        <v>2206</v>
      </c>
      <c r="L57" s="129">
        <v>2138</v>
      </c>
      <c r="M57" s="129">
        <v>2125</v>
      </c>
      <c r="N57" s="129">
        <v>2127</v>
      </c>
      <c r="O57" s="129">
        <v>2127</v>
      </c>
    </row>
    <row r="58" spans="2:15">
      <c r="B58" s="143" t="s">
        <v>49</v>
      </c>
      <c r="C58" s="131">
        <v>13</v>
      </c>
      <c r="D58" s="131">
        <v>16</v>
      </c>
      <c r="E58" s="131">
        <v>26</v>
      </c>
      <c r="F58" s="131">
        <v>34</v>
      </c>
      <c r="G58" s="131">
        <v>66</v>
      </c>
      <c r="H58" s="131">
        <v>40</v>
      </c>
      <c r="I58" s="131">
        <v>50</v>
      </c>
      <c r="J58" s="131">
        <v>49</v>
      </c>
      <c r="K58" s="131">
        <v>43</v>
      </c>
      <c r="L58" s="131">
        <v>49</v>
      </c>
      <c r="M58" s="131">
        <v>72</v>
      </c>
      <c r="N58" s="131">
        <v>73</v>
      </c>
      <c r="O58" s="131"/>
    </row>
    <row r="59" spans="2:15">
      <c r="B59" s="143" t="s">
        <v>180</v>
      </c>
      <c r="C59" s="131">
        <v>723</v>
      </c>
      <c r="D59" s="131">
        <v>776</v>
      </c>
      <c r="E59" s="131">
        <v>858</v>
      </c>
      <c r="F59" s="131">
        <v>731</v>
      </c>
      <c r="G59" s="129">
        <v>1167</v>
      </c>
      <c r="H59" s="129">
        <v>1512</v>
      </c>
      <c r="I59" s="129">
        <v>1680</v>
      </c>
      <c r="J59" s="129">
        <v>1687</v>
      </c>
      <c r="K59" s="129">
        <v>1979</v>
      </c>
      <c r="L59" s="129">
        <v>2180</v>
      </c>
      <c r="M59" s="129">
        <v>2482</v>
      </c>
      <c r="N59" s="129">
        <v>3729</v>
      </c>
      <c r="O59" s="129">
        <v>4974</v>
      </c>
    </row>
    <row r="60" spans="2:15">
      <c r="B60" s="143" t="s">
        <v>181</v>
      </c>
      <c r="C60" s="129">
        <v>7374</v>
      </c>
      <c r="D60" s="129">
        <v>7986</v>
      </c>
      <c r="E60" s="129">
        <v>9047</v>
      </c>
      <c r="F60" s="129">
        <v>10350</v>
      </c>
      <c r="G60" s="129">
        <v>15104</v>
      </c>
      <c r="H60" s="129">
        <v>17783</v>
      </c>
      <c r="I60" s="129">
        <v>23231</v>
      </c>
      <c r="J60" s="129">
        <v>23477</v>
      </c>
      <c r="K60" s="129">
        <v>23765</v>
      </c>
      <c r="L60" s="129">
        <v>27642</v>
      </c>
      <c r="M60" s="129">
        <v>25562</v>
      </c>
      <c r="N60" s="129">
        <v>28834</v>
      </c>
      <c r="O60" s="129">
        <v>31446</v>
      </c>
    </row>
    <row r="61" spans="2:15">
      <c r="B61" s="144" t="s">
        <v>182</v>
      </c>
      <c r="C61" s="129">
        <v>3026</v>
      </c>
      <c r="D61" s="129">
        <v>3124</v>
      </c>
      <c r="E61" s="129">
        <v>3352</v>
      </c>
      <c r="F61" s="129">
        <v>3748</v>
      </c>
      <c r="G61" s="129">
        <v>5755</v>
      </c>
      <c r="H61" s="129">
        <v>6483</v>
      </c>
      <c r="I61" s="129">
        <v>12164</v>
      </c>
      <c r="J61" s="129">
        <v>12230</v>
      </c>
      <c r="K61" s="129">
        <v>12133</v>
      </c>
      <c r="L61" s="129">
        <v>12188</v>
      </c>
      <c r="M61" s="129">
        <v>11521</v>
      </c>
      <c r="N61" s="129">
        <v>12368</v>
      </c>
      <c r="O61" s="129">
        <v>14304</v>
      </c>
    </row>
    <row r="62" spans="2:15">
      <c r="B62" s="143" t="s">
        <v>183</v>
      </c>
      <c r="C62" s="131">
        <v>129</v>
      </c>
      <c r="D62" s="131">
        <v>157</v>
      </c>
      <c r="E62" s="131">
        <v>162</v>
      </c>
      <c r="F62" s="131">
        <v>173</v>
      </c>
      <c r="G62" s="129">
        <v>393</v>
      </c>
      <c r="H62" s="129">
        <v>422</v>
      </c>
      <c r="I62" s="131">
        <v>509</v>
      </c>
      <c r="J62" s="131">
        <v>541</v>
      </c>
      <c r="K62" s="131">
        <v>570</v>
      </c>
      <c r="L62" s="131">
        <v>573</v>
      </c>
      <c r="M62" s="129">
        <v>626</v>
      </c>
      <c r="N62" s="129">
        <v>617</v>
      </c>
      <c r="O62" s="129"/>
    </row>
    <row r="63" spans="2:15">
      <c r="B63" s="143" t="s">
        <v>184</v>
      </c>
      <c r="C63" s="131">
        <v>635</v>
      </c>
      <c r="D63" s="131">
        <v>703</v>
      </c>
      <c r="E63" s="131">
        <v>814</v>
      </c>
      <c r="F63" s="131">
        <v>888</v>
      </c>
      <c r="G63" s="129">
        <v>1096</v>
      </c>
      <c r="H63" s="129">
        <v>1231</v>
      </c>
      <c r="I63" s="129">
        <v>1500</v>
      </c>
      <c r="J63" s="129">
        <v>1884</v>
      </c>
      <c r="K63" s="129">
        <v>2045</v>
      </c>
      <c r="L63" s="129">
        <v>1969</v>
      </c>
      <c r="M63" s="129">
        <v>2075</v>
      </c>
      <c r="N63" s="129">
        <v>2191</v>
      </c>
      <c r="O63" s="129"/>
    </row>
    <row r="64" spans="2:15">
      <c r="B64" s="143" t="s">
        <v>185</v>
      </c>
      <c r="C64" s="129">
        <v>1812</v>
      </c>
      <c r="D64" s="129">
        <v>2000</v>
      </c>
      <c r="E64" s="129">
        <v>2401</v>
      </c>
      <c r="F64" s="129">
        <v>2834</v>
      </c>
      <c r="G64" s="129">
        <v>3346</v>
      </c>
      <c r="H64" s="129">
        <v>3997</v>
      </c>
      <c r="I64" s="129">
        <v>5399</v>
      </c>
      <c r="J64" s="129">
        <v>5705</v>
      </c>
      <c r="K64" s="129">
        <v>6096</v>
      </c>
      <c r="L64" s="129">
        <v>6652</v>
      </c>
      <c r="M64" s="129">
        <v>6993</v>
      </c>
      <c r="N64" s="129">
        <v>7525</v>
      </c>
      <c r="O64" s="129"/>
    </row>
    <row r="65" spans="2:15">
      <c r="B65" s="143" t="s">
        <v>186</v>
      </c>
      <c r="C65" s="129">
        <v>21</v>
      </c>
      <c r="D65" s="129">
        <v>26</v>
      </c>
      <c r="E65" s="129">
        <v>31</v>
      </c>
      <c r="F65" s="129">
        <v>38</v>
      </c>
      <c r="G65" s="129">
        <v>48</v>
      </c>
      <c r="H65" s="129">
        <v>78</v>
      </c>
      <c r="I65" s="129">
        <v>96</v>
      </c>
      <c r="J65" s="129">
        <v>145</v>
      </c>
      <c r="K65" s="129">
        <v>150</v>
      </c>
      <c r="L65" s="129">
        <v>155</v>
      </c>
      <c r="M65" s="129">
        <v>165</v>
      </c>
      <c r="N65" s="129">
        <v>176</v>
      </c>
      <c r="O65" s="129"/>
    </row>
    <row r="66" spans="2:15">
      <c r="B66" s="143" t="s">
        <v>187</v>
      </c>
      <c r="C66" s="131">
        <v>74</v>
      </c>
      <c r="D66" s="129">
        <v>79</v>
      </c>
      <c r="E66" s="129">
        <v>79</v>
      </c>
      <c r="F66" s="129">
        <v>85</v>
      </c>
      <c r="G66" s="129">
        <v>96</v>
      </c>
      <c r="H66" s="129">
        <v>119</v>
      </c>
      <c r="I66" s="129">
        <v>128</v>
      </c>
      <c r="J66" s="129">
        <v>198</v>
      </c>
      <c r="K66" s="129">
        <v>203</v>
      </c>
      <c r="L66" s="129">
        <v>200</v>
      </c>
      <c r="M66" s="129">
        <v>205</v>
      </c>
      <c r="N66" s="129">
        <v>218</v>
      </c>
      <c r="O66" s="129"/>
    </row>
    <row r="67" spans="2:15">
      <c r="B67" s="143" t="s">
        <v>188</v>
      </c>
      <c r="C67" s="131">
        <v>48</v>
      </c>
      <c r="D67" s="131">
        <v>52</v>
      </c>
      <c r="E67" s="131">
        <v>64</v>
      </c>
      <c r="F67" s="131">
        <v>66</v>
      </c>
      <c r="G67" s="129">
        <v>73</v>
      </c>
      <c r="H67" s="129">
        <v>79</v>
      </c>
      <c r="I67" s="131">
        <v>98</v>
      </c>
      <c r="J67" s="131">
        <v>105</v>
      </c>
      <c r="K67" s="131">
        <v>111</v>
      </c>
      <c r="L67" s="129">
        <v>118</v>
      </c>
      <c r="M67" s="131">
        <v>135</v>
      </c>
      <c r="N67" s="129">
        <v>159</v>
      </c>
      <c r="O67" s="129"/>
    </row>
    <row r="68" spans="2:15">
      <c r="B68" s="143" t="s">
        <v>189</v>
      </c>
      <c r="C68" s="129">
        <v>1464</v>
      </c>
      <c r="D68" s="129">
        <v>1443</v>
      </c>
      <c r="E68" s="129">
        <v>1401</v>
      </c>
      <c r="F68" s="129">
        <v>1625</v>
      </c>
      <c r="G68" s="129">
        <v>2974</v>
      </c>
      <c r="H68" s="129">
        <v>3330</v>
      </c>
      <c r="I68" s="129">
        <v>7838</v>
      </c>
      <c r="J68" s="129">
        <v>8020</v>
      </c>
      <c r="K68" s="129">
        <v>7969</v>
      </c>
      <c r="L68" s="129">
        <v>7778</v>
      </c>
      <c r="M68" s="129">
        <v>7889</v>
      </c>
      <c r="N68" s="129">
        <v>8653</v>
      </c>
      <c r="O68" s="129">
        <v>8202</v>
      </c>
    </row>
    <row r="69" spans="2:15">
      <c r="B69" s="143" t="s">
        <v>190</v>
      </c>
      <c r="C69" s="131">
        <v>194</v>
      </c>
      <c r="D69" s="131">
        <v>205</v>
      </c>
      <c r="E69" s="131">
        <v>187</v>
      </c>
      <c r="F69" s="129">
        <v>59</v>
      </c>
      <c r="G69" s="129">
        <v>78</v>
      </c>
      <c r="H69" s="129">
        <v>93</v>
      </c>
      <c r="I69" s="129">
        <v>135</v>
      </c>
      <c r="J69" s="129">
        <v>184</v>
      </c>
      <c r="K69" s="129">
        <v>201</v>
      </c>
      <c r="L69" s="129">
        <v>205</v>
      </c>
      <c r="M69" s="129">
        <v>256</v>
      </c>
      <c r="N69" s="129">
        <v>382</v>
      </c>
      <c r="O69" s="129"/>
    </row>
    <row r="70" spans="2:15">
      <c r="B70" s="143" t="s">
        <v>191</v>
      </c>
      <c r="C70" s="129">
        <v>4376</v>
      </c>
      <c r="D70" s="129">
        <v>4664</v>
      </c>
      <c r="E70" s="129">
        <v>5138</v>
      </c>
      <c r="F70" s="129">
        <v>5767</v>
      </c>
      <c r="G70" s="129">
        <v>8103</v>
      </c>
      <c r="H70" s="129">
        <v>9349</v>
      </c>
      <c r="I70" s="129">
        <v>15702</v>
      </c>
      <c r="J70" s="129">
        <v>16782</v>
      </c>
      <c r="K70" s="129">
        <v>17345</v>
      </c>
      <c r="L70" s="129">
        <v>17651</v>
      </c>
      <c r="M70" s="129">
        <v>18344</v>
      </c>
      <c r="N70" s="129">
        <v>19920</v>
      </c>
      <c r="O70" s="129"/>
    </row>
    <row r="71" spans="2:15">
      <c r="B71" s="143" t="s">
        <v>192</v>
      </c>
      <c r="C71" s="129">
        <v>1351</v>
      </c>
      <c r="D71" s="129">
        <v>1540</v>
      </c>
      <c r="E71" s="129">
        <v>1786</v>
      </c>
      <c r="F71" s="129">
        <v>2019</v>
      </c>
      <c r="G71" s="129">
        <v>2348</v>
      </c>
      <c r="H71" s="129">
        <v>2866</v>
      </c>
      <c r="I71" s="129">
        <v>3539</v>
      </c>
      <c r="J71" s="129">
        <v>4551</v>
      </c>
      <c r="K71" s="129">
        <v>5212</v>
      </c>
      <c r="L71" s="129">
        <v>5462</v>
      </c>
      <c r="M71" s="129">
        <v>6823</v>
      </c>
      <c r="N71" s="129">
        <v>7551</v>
      </c>
      <c r="O71" s="131"/>
    </row>
    <row r="72" spans="2:15">
      <c r="B72" s="143" t="s">
        <v>193</v>
      </c>
      <c r="C72" s="131">
        <v>736</v>
      </c>
      <c r="D72" s="131">
        <v>892</v>
      </c>
      <c r="E72" s="131">
        <v>798</v>
      </c>
      <c r="F72" s="131">
        <v>951</v>
      </c>
      <c r="G72" s="129">
        <v>1543</v>
      </c>
      <c r="H72" s="129">
        <v>1527</v>
      </c>
      <c r="I72" s="131">
        <v>837</v>
      </c>
      <c r="J72" s="131">
        <v>742</v>
      </c>
      <c r="K72" s="131">
        <v>783</v>
      </c>
      <c r="L72" s="131">
        <v>726</v>
      </c>
      <c r="M72" s="129">
        <v>1201</v>
      </c>
      <c r="N72" s="129">
        <v>2423</v>
      </c>
      <c r="O72" s="129">
        <v>1051</v>
      </c>
    </row>
    <row r="73" spans="2:15">
      <c r="B73" s="143" t="s">
        <v>194</v>
      </c>
      <c r="C73" s="131">
        <v>114</v>
      </c>
      <c r="D73" s="131">
        <v>87</v>
      </c>
      <c r="E73" s="131">
        <v>154</v>
      </c>
      <c r="F73" s="131">
        <v>416</v>
      </c>
      <c r="G73" s="131">
        <v>435</v>
      </c>
      <c r="H73" s="131">
        <v>746</v>
      </c>
      <c r="I73" s="131">
        <v>674</v>
      </c>
      <c r="J73" s="131">
        <v>765</v>
      </c>
      <c r="K73" s="131">
        <v>830</v>
      </c>
      <c r="L73" s="129">
        <v>3288</v>
      </c>
      <c r="M73" s="129">
        <v>1547</v>
      </c>
      <c r="N73" s="129">
        <v>1220</v>
      </c>
      <c r="O73" s="129">
        <v>2596</v>
      </c>
    </row>
    <row r="74" spans="2:15">
      <c r="B74" s="144" t="s">
        <v>195</v>
      </c>
      <c r="C74" s="129">
        <v>3498</v>
      </c>
      <c r="D74" s="129">
        <v>3885</v>
      </c>
      <c r="E74" s="129">
        <v>4743</v>
      </c>
      <c r="F74" s="129">
        <v>5235</v>
      </c>
      <c r="G74" s="129">
        <v>7371</v>
      </c>
      <c r="H74" s="129">
        <v>9028</v>
      </c>
      <c r="I74" s="129">
        <v>9556</v>
      </c>
      <c r="J74" s="129">
        <v>9740</v>
      </c>
      <c r="K74" s="129">
        <v>10019</v>
      </c>
      <c r="L74" s="129">
        <v>11439</v>
      </c>
      <c r="M74" s="129">
        <v>11294</v>
      </c>
      <c r="N74" s="129">
        <v>12822</v>
      </c>
      <c r="O74" s="129">
        <v>13495</v>
      </c>
    </row>
    <row r="75" spans="2:15">
      <c r="B75" s="143" t="s">
        <v>196</v>
      </c>
      <c r="C75" s="129">
        <v>1214</v>
      </c>
      <c r="D75" s="129">
        <v>1368</v>
      </c>
      <c r="E75" s="129">
        <v>1536</v>
      </c>
      <c r="F75" s="129">
        <v>1337</v>
      </c>
      <c r="G75" s="129">
        <v>1804</v>
      </c>
      <c r="H75" s="129">
        <v>2385</v>
      </c>
      <c r="I75" s="129">
        <v>2688</v>
      </c>
      <c r="J75" s="129">
        <v>2789</v>
      </c>
      <c r="K75" s="129">
        <v>3236</v>
      </c>
      <c r="L75" s="129">
        <v>3719</v>
      </c>
      <c r="M75" s="129">
        <v>3413</v>
      </c>
      <c r="N75" s="129">
        <v>3442</v>
      </c>
      <c r="O75" s="129">
        <v>3717</v>
      </c>
    </row>
    <row r="76" spans="2:15">
      <c r="B76" s="143" t="s">
        <v>197</v>
      </c>
      <c r="C76" s="131">
        <v>955</v>
      </c>
      <c r="D76" s="129">
        <v>1134</v>
      </c>
      <c r="E76" s="129">
        <v>1588</v>
      </c>
      <c r="F76" s="129">
        <v>1747</v>
      </c>
      <c r="G76" s="129">
        <v>2278</v>
      </c>
      <c r="H76" s="129">
        <v>3206</v>
      </c>
      <c r="I76" s="129">
        <v>3951</v>
      </c>
      <c r="J76" s="129">
        <v>3663</v>
      </c>
      <c r="K76" s="129">
        <v>3127</v>
      </c>
      <c r="L76" s="129">
        <v>3340</v>
      </c>
      <c r="M76" s="129">
        <v>4417</v>
      </c>
      <c r="N76" s="129">
        <v>5220</v>
      </c>
      <c r="O76" s="129">
        <v>4670</v>
      </c>
    </row>
    <row r="77" spans="2:15">
      <c r="B77" s="143" t="s">
        <v>198</v>
      </c>
      <c r="C77" s="131">
        <v>584</v>
      </c>
      <c r="D77" s="131">
        <v>549</v>
      </c>
      <c r="E77" s="131">
        <v>670</v>
      </c>
      <c r="F77" s="131">
        <v>639</v>
      </c>
      <c r="G77" s="129">
        <v>1544</v>
      </c>
      <c r="H77" s="129">
        <v>1315</v>
      </c>
      <c r="I77" s="131">
        <v>549</v>
      </c>
      <c r="J77" s="131">
        <v>965</v>
      </c>
      <c r="K77" s="131">
        <v>888</v>
      </c>
      <c r="L77" s="129">
        <v>1107</v>
      </c>
      <c r="M77" s="131">
        <v>573</v>
      </c>
      <c r="N77" s="129">
        <v>1105</v>
      </c>
      <c r="O77" s="129">
        <v>1594</v>
      </c>
    </row>
    <row r="78" spans="2:15">
      <c r="B78" s="143" t="s">
        <v>199</v>
      </c>
      <c r="C78" s="131">
        <v>108</v>
      </c>
      <c r="D78" s="131">
        <v>79</v>
      </c>
      <c r="E78" s="131">
        <v>80</v>
      </c>
      <c r="F78" s="131">
        <v>95</v>
      </c>
      <c r="G78" s="131">
        <v>120</v>
      </c>
      <c r="H78" s="131">
        <v>162</v>
      </c>
      <c r="I78" s="131">
        <v>168</v>
      </c>
      <c r="J78" s="131">
        <v>271</v>
      </c>
      <c r="K78" s="131">
        <v>382</v>
      </c>
      <c r="L78" s="131">
        <v>322</v>
      </c>
      <c r="M78" s="131">
        <v>332</v>
      </c>
      <c r="N78" s="131">
        <v>350</v>
      </c>
      <c r="O78" s="131">
        <v>58</v>
      </c>
    </row>
    <row r="79" spans="2:15">
      <c r="B79" s="143" t="s">
        <v>200</v>
      </c>
      <c r="C79" s="131">
        <v>638</v>
      </c>
      <c r="D79" s="131">
        <v>756</v>
      </c>
      <c r="E79" s="131">
        <v>868</v>
      </c>
      <c r="F79" s="129">
        <v>1418</v>
      </c>
      <c r="G79" s="129">
        <v>1627</v>
      </c>
      <c r="H79" s="129">
        <v>1959</v>
      </c>
      <c r="I79" s="129">
        <v>2200</v>
      </c>
      <c r="J79" s="129">
        <v>2052</v>
      </c>
      <c r="K79" s="129">
        <v>2385</v>
      </c>
      <c r="L79" s="129">
        <v>2950</v>
      </c>
      <c r="M79" s="129">
        <v>2558</v>
      </c>
      <c r="N79" s="129">
        <v>2705</v>
      </c>
      <c r="O79" s="129">
        <v>3456</v>
      </c>
    </row>
    <row r="80" spans="2:15">
      <c r="B80" s="143" t="s">
        <v>201</v>
      </c>
      <c r="C80" s="129">
        <v>7374</v>
      </c>
      <c r="D80" s="129">
        <v>7986</v>
      </c>
      <c r="E80" s="129">
        <v>9047</v>
      </c>
      <c r="F80" s="129">
        <v>10350</v>
      </c>
      <c r="G80" s="129">
        <v>15104</v>
      </c>
      <c r="H80" s="129">
        <v>17783</v>
      </c>
      <c r="I80" s="129">
        <v>23231</v>
      </c>
      <c r="J80" s="129">
        <v>23477</v>
      </c>
      <c r="K80" s="129">
        <v>23765</v>
      </c>
      <c r="L80" s="129">
        <v>27642</v>
      </c>
      <c r="M80" s="129">
        <v>25562</v>
      </c>
      <c r="N80" s="129">
        <v>28834</v>
      </c>
      <c r="O80" s="129">
        <v>31446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 Page</vt:lpstr>
      <vt:lpstr>Free Cash Flows</vt:lpstr>
      <vt:lpstr>Fixed Assets</vt:lpstr>
      <vt:lpstr>Net Working Capital</vt:lpstr>
      <vt:lpstr>DCF</vt:lpstr>
      <vt:lpstr>WACC</vt:lpstr>
      <vt:lpstr>Relative Valuation</vt:lpstr>
      <vt:lpstr>Income Statement</vt:lpstr>
      <vt:lpstr>Balance Sheet</vt:lpstr>
      <vt:lpstr>Cash Flows</vt:lpstr>
      <vt:lpstr>Latest Reports</vt:lpstr>
      <vt:lpstr>Peer Comparision</vt:lpstr>
      <vt:lpstr>Shareholding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Neev Pohani</dc:creator>
  <cp:lastModifiedBy>Neev Pohani</cp:lastModifiedBy>
  <dcterms:created xsi:type="dcterms:W3CDTF">2025-04-01T09:29:46Z</dcterms:created>
  <dcterms:modified xsi:type="dcterms:W3CDTF">2025-04-01T09:34:17Z</dcterms:modified>
</cp:coreProperties>
</file>