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8/Global Analysis/Gene set 3/"/>
    </mc:Choice>
  </mc:AlternateContent>
  <xr:revisionPtr revIDLastSave="0" documentId="13_ncr:1_{B762BFA0-4A7D-FC42-87A0-108FE00D2DEC}" xr6:coauthVersionLast="34" xr6:coauthVersionMax="34" xr10:uidLastSave="{00000000-0000-0000-0000-000000000000}"/>
  <bookViews>
    <workbookView xWindow="1400" yWindow="460" windowWidth="15740" windowHeight="15260" xr2:uid="{8BF6A212-A0FC-3546-9A92-86AF784103B1}"/>
  </bookViews>
  <sheets>
    <sheet name="Summary" sheetId="11" r:id="rId1"/>
    <sheet name="Herc3 (Gapdh)" sheetId="1" r:id="rId2"/>
    <sheet name="Herc3 (Hprt)" sheetId="2" r:id="rId3"/>
    <sheet name="Hes6 (Gapdh)" sheetId="3" r:id="rId4"/>
    <sheet name="Hes6 (Hprt)" sheetId="4" r:id="rId5"/>
    <sheet name="Hspb6 (Gapdh)" sheetId="5" r:id="rId6"/>
    <sheet name="Hspb6 (Hprt)" sheetId="6" r:id="rId7"/>
    <sheet name="Itsn1 (Gapdh)" sheetId="7" r:id="rId8"/>
    <sheet name="Itsn1 (Hprt)" sheetId="8" r:id="rId9"/>
    <sheet name="Lrp3 (Gapdh)" sheetId="9" r:id="rId10"/>
    <sheet name="Lrp3 (Hprt)" sheetId="10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0" l="1"/>
  <c r="G29" i="10"/>
  <c r="F29" i="10"/>
  <c r="G4" i="10"/>
  <c r="F4" i="10"/>
  <c r="O10" i="9"/>
  <c r="G29" i="9"/>
  <c r="F29" i="9"/>
  <c r="G4" i="9"/>
  <c r="F4" i="9"/>
  <c r="N2" i="8"/>
  <c r="G29" i="8"/>
  <c r="F29" i="8"/>
  <c r="G4" i="8"/>
  <c r="F4" i="8"/>
  <c r="O10" i="4"/>
  <c r="O10" i="5"/>
  <c r="O10" i="6"/>
  <c r="O10" i="7"/>
  <c r="G29" i="7"/>
  <c r="F29" i="7"/>
  <c r="G4" i="7"/>
  <c r="F4" i="7"/>
  <c r="N2" i="7"/>
  <c r="N2" i="6"/>
  <c r="G4" i="6"/>
  <c r="F4" i="6"/>
  <c r="G29" i="6"/>
  <c r="F29" i="6"/>
  <c r="N2" i="5"/>
  <c r="G29" i="5"/>
  <c r="F29" i="5"/>
  <c r="G4" i="5"/>
  <c r="F4" i="5"/>
  <c r="E19" i="4"/>
  <c r="E18" i="4"/>
  <c r="N2" i="4"/>
  <c r="G4" i="4"/>
  <c r="G29" i="4"/>
  <c r="F29" i="4"/>
  <c r="F4" i="4"/>
  <c r="N2" i="3"/>
  <c r="O10" i="3"/>
  <c r="G29" i="3"/>
  <c r="F29" i="3"/>
  <c r="G4" i="3"/>
  <c r="F4" i="3"/>
  <c r="O10" i="2"/>
  <c r="N2" i="2"/>
  <c r="G29" i="2"/>
  <c r="F29" i="2"/>
  <c r="G4" i="2"/>
  <c r="F4" i="2"/>
  <c r="O10" i="1"/>
  <c r="N2" i="1"/>
  <c r="M12" i="1" l="1"/>
  <c r="M10" i="1"/>
  <c r="M11" i="1"/>
  <c r="G29" i="1"/>
  <c r="F29" i="1"/>
  <c r="G4" i="1"/>
  <c r="F4" i="1"/>
  <c r="H14" i="10" l="1"/>
  <c r="H9" i="10"/>
  <c r="H8" i="10"/>
  <c r="H39" i="10"/>
  <c r="H34" i="10"/>
  <c r="H33" i="10"/>
  <c r="H14" i="9"/>
  <c r="H9" i="9"/>
  <c r="H8" i="9"/>
  <c r="H39" i="9"/>
  <c r="H34" i="9"/>
  <c r="H33" i="9"/>
  <c r="H14" i="8"/>
  <c r="H9" i="8"/>
  <c r="H8" i="8"/>
  <c r="H10" i="8" s="1"/>
  <c r="H12" i="8" s="1"/>
  <c r="H39" i="8"/>
  <c r="H34" i="8"/>
  <c r="H33" i="8"/>
  <c r="H14" i="7"/>
  <c r="H9" i="7"/>
  <c r="H8" i="7"/>
  <c r="H39" i="7"/>
  <c r="H34" i="7"/>
  <c r="H33" i="7"/>
  <c r="H39" i="6"/>
  <c r="H34" i="6"/>
  <c r="H33" i="6"/>
  <c r="H35" i="6" s="1"/>
  <c r="H37" i="6" s="1"/>
  <c r="H14" i="6"/>
  <c r="H9" i="6"/>
  <c r="H8" i="6"/>
  <c r="H14" i="5"/>
  <c r="H9" i="5"/>
  <c r="H8" i="5"/>
  <c r="H39" i="5"/>
  <c r="H34" i="5"/>
  <c r="H33" i="5"/>
  <c r="H14" i="4"/>
  <c r="H9" i="4"/>
  <c r="H8" i="4"/>
  <c r="H10" i="4" s="1"/>
  <c r="H12" i="4" s="1"/>
  <c r="H39" i="4"/>
  <c r="H34" i="4"/>
  <c r="H33" i="4"/>
  <c r="H35" i="4" s="1"/>
  <c r="H37" i="4" s="1"/>
  <c r="H14" i="3"/>
  <c r="H9" i="3"/>
  <c r="H8" i="3"/>
  <c r="H10" i="3" s="1"/>
  <c r="H11" i="3" s="1"/>
  <c r="H39" i="3"/>
  <c r="H34" i="3"/>
  <c r="H33" i="3"/>
  <c r="H35" i="3" s="1"/>
  <c r="H37" i="3" s="1"/>
  <c r="H14" i="2"/>
  <c r="H9" i="2"/>
  <c r="H8" i="2"/>
  <c r="H39" i="2"/>
  <c r="H34" i="2"/>
  <c r="H33" i="2"/>
  <c r="H35" i="2" s="1"/>
  <c r="H37" i="2" s="1"/>
  <c r="H39" i="1"/>
  <c r="H34" i="1"/>
  <c r="H33" i="1"/>
  <c r="H14" i="1"/>
  <c r="H9" i="1"/>
  <c r="H8" i="1"/>
  <c r="H11" i="9" l="1"/>
  <c r="H10" i="9"/>
  <c r="H12" i="9" s="1"/>
  <c r="H35" i="8"/>
  <c r="H37" i="8" s="1"/>
  <c r="H11" i="8"/>
  <c r="H12" i="3"/>
  <c r="H35" i="1"/>
  <c r="H37" i="1" s="1"/>
  <c r="H10" i="10"/>
  <c r="H11" i="10" s="1"/>
  <c r="H35" i="10"/>
  <c r="H36" i="10" s="1"/>
  <c r="H35" i="9"/>
  <c r="H36" i="9" s="1"/>
  <c r="H10" i="7"/>
  <c r="H11" i="7" s="1"/>
  <c r="H35" i="7"/>
  <c r="H36" i="7" s="1"/>
  <c r="H36" i="6"/>
  <c r="H10" i="6"/>
  <c r="H11" i="6" s="1"/>
  <c r="H10" i="5"/>
  <c r="H11" i="5" s="1"/>
  <c r="H35" i="5"/>
  <c r="H36" i="5" s="1"/>
  <c r="H11" i="4"/>
  <c r="H36" i="4"/>
  <c r="H36" i="3"/>
  <c r="H10" i="2"/>
  <c r="H11" i="2" s="1"/>
  <c r="H36" i="2"/>
  <c r="H10" i="1"/>
  <c r="H11" i="1" s="1"/>
  <c r="K7" i="10"/>
  <c r="L7" i="10"/>
  <c r="N2" i="9"/>
  <c r="K7" i="8"/>
  <c r="L7" i="7"/>
  <c r="K7" i="7"/>
  <c r="K7" i="4"/>
  <c r="L7" i="4"/>
  <c r="L7" i="3"/>
  <c r="K7" i="2"/>
  <c r="L7" i="2"/>
  <c r="L7" i="1"/>
  <c r="K7" i="1"/>
  <c r="H37" i="10" l="1"/>
  <c r="L7" i="9"/>
  <c r="H36" i="8"/>
  <c r="H12" i="6"/>
  <c r="H36" i="1"/>
  <c r="H12" i="10"/>
  <c r="H37" i="9"/>
  <c r="H12" i="7"/>
  <c r="H37" i="7"/>
  <c r="H12" i="5"/>
  <c r="H37" i="5"/>
  <c r="H12" i="2"/>
  <c r="H12" i="1"/>
  <c r="K7" i="3"/>
  <c r="L11" i="3" s="1"/>
  <c r="M11" i="3" s="1"/>
  <c r="K7" i="6"/>
  <c r="L11" i="6" s="1"/>
  <c r="K7" i="9"/>
  <c r="L7" i="6"/>
  <c r="L11" i="10"/>
  <c r="L12" i="10"/>
  <c r="M12" i="10" s="1"/>
  <c r="L10" i="10"/>
  <c r="M10" i="10" s="1"/>
  <c r="L7" i="8"/>
  <c r="L10" i="8" s="1"/>
  <c r="M10" i="8" s="1"/>
  <c r="L11" i="8"/>
  <c r="L11" i="7"/>
  <c r="M11" i="7" s="1"/>
  <c r="L10" i="7"/>
  <c r="M10" i="7" s="1"/>
  <c r="L12" i="7"/>
  <c r="M12" i="7" s="1"/>
  <c r="K7" i="5"/>
  <c r="L7" i="5"/>
  <c r="L11" i="4"/>
  <c r="L10" i="4"/>
  <c r="M10" i="4" s="1"/>
  <c r="L12" i="4"/>
  <c r="M12" i="4" s="1"/>
  <c r="L10" i="3"/>
  <c r="M10" i="3" s="1"/>
  <c r="L11" i="2"/>
  <c r="L12" i="2"/>
  <c r="M12" i="2" s="1"/>
  <c r="L10" i="2"/>
  <c r="M10" i="2" s="1"/>
  <c r="L11" i="1"/>
  <c r="L12" i="1"/>
  <c r="L10" i="1"/>
  <c r="L10" i="9" l="1"/>
  <c r="M10" i="9" s="1"/>
  <c r="L11" i="9"/>
  <c r="N15" i="9" s="1"/>
  <c r="L12" i="9"/>
  <c r="M12" i="9" s="1"/>
  <c r="L12" i="6"/>
  <c r="M12" i="6" s="1"/>
  <c r="L10" i="6"/>
  <c r="M10" i="6" s="1"/>
  <c r="L10" i="5"/>
  <c r="M10" i="5" s="1"/>
  <c r="L12" i="5"/>
  <c r="M12" i="5" s="1"/>
  <c r="L12" i="3"/>
  <c r="M12" i="3" s="1"/>
  <c r="L12" i="8"/>
  <c r="M12" i="8" s="1"/>
  <c r="L11" i="5"/>
  <c r="M11" i="5" s="1"/>
  <c r="L2" i="5" s="1"/>
  <c r="N15" i="10"/>
  <c r="M11" i="10"/>
  <c r="L2" i="10" s="1"/>
  <c r="N15" i="8"/>
  <c r="M11" i="8"/>
  <c r="L2" i="8" s="1"/>
  <c r="N15" i="7"/>
  <c r="L2" i="7"/>
  <c r="N15" i="6"/>
  <c r="M11" i="6"/>
  <c r="L2" i="6" s="1"/>
  <c r="N15" i="4"/>
  <c r="M11" i="4"/>
  <c r="L2" i="4" s="1"/>
  <c r="N15" i="3"/>
  <c r="L2" i="3"/>
  <c r="N10" i="3"/>
  <c r="M2" i="3" s="1"/>
  <c r="N15" i="2"/>
  <c r="M11" i="2"/>
  <c r="L2" i="2" s="1"/>
  <c r="N15" i="1"/>
  <c r="L2" i="1"/>
  <c r="M11" i="9" l="1"/>
  <c r="L2" i="9" s="1"/>
  <c r="N10" i="8"/>
  <c r="N15" i="5"/>
  <c r="N10" i="10"/>
  <c r="O10" i="10" s="1"/>
  <c r="M2" i="10" s="1"/>
  <c r="N10" i="7"/>
  <c r="M2" i="7" s="1"/>
  <c r="N10" i="6"/>
  <c r="M2" i="6" s="1"/>
  <c r="N10" i="5"/>
  <c r="M2" i="5" s="1"/>
  <c r="N10" i="4"/>
  <c r="M2" i="4" s="1"/>
  <c r="N10" i="2"/>
  <c r="M2" i="2" s="1"/>
  <c r="N10" i="1"/>
  <c r="N10" i="9" l="1"/>
  <c r="M2" i="9" s="1"/>
  <c r="O10" i="8"/>
  <c r="M2" i="8" s="1"/>
  <c r="M2" i="1"/>
</calcChain>
</file>

<file path=xl/sharedStrings.xml><?xml version="1.0" encoding="utf-8"?>
<sst xmlns="http://schemas.openxmlformats.org/spreadsheetml/2006/main" count="602" uniqueCount="55">
  <si>
    <t>KO</t>
  </si>
  <si>
    <t>FC</t>
  </si>
  <si>
    <t>Error</t>
  </si>
  <si>
    <t>T-test</t>
  </si>
  <si>
    <t>Date</t>
  </si>
  <si>
    <t>Sample</t>
  </si>
  <si>
    <t>Average Ct</t>
  </si>
  <si>
    <t>dCt</t>
  </si>
  <si>
    <t>Avergage dCt</t>
  </si>
  <si>
    <t>SD dCT</t>
  </si>
  <si>
    <t>KO dCt WO Outliers</t>
  </si>
  <si>
    <t>WT dCt WO Outliers</t>
  </si>
  <si>
    <t>012118_1_13</t>
  </si>
  <si>
    <t>012118_4_1</t>
  </si>
  <si>
    <t>ddCt</t>
  </si>
  <si>
    <t>SD ddCt</t>
  </si>
  <si>
    <t>012118_9_3</t>
  </si>
  <si>
    <t>Outlier Analysis</t>
  </si>
  <si>
    <t>3rd Quartile</t>
  </si>
  <si>
    <t>1st Quartile</t>
  </si>
  <si>
    <t>SD FC</t>
  </si>
  <si>
    <t>Standard Error</t>
  </si>
  <si>
    <t>IQR</t>
  </si>
  <si>
    <t>ddCt Upper</t>
  </si>
  <si>
    <t>Upper Limit</t>
  </si>
  <si>
    <t>Lower Limit</t>
  </si>
  <si>
    <t>ddCt Lower</t>
  </si>
  <si>
    <t>SD Ct</t>
  </si>
  <si>
    <t>Standard Error (method 2)</t>
  </si>
  <si>
    <t>WT</t>
  </si>
  <si>
    <t>012118_2_1</t>
  </si>
  <si>
    <t>012118_2_3</t>
  </si>
  <si>
    <t>012118_3_5</t>
  </si>
  <si>
    <t>012118_9_1</t>
  </si>
  <si>
    <t>012118_4_4</t>
  </si>
  <si>
    <t>Last Update</t>
  </si>
  <si>
    <t>Gapdh</t>
  </si>
  <si>
    <t>Hprt</t>
  </si>
  <si>
    <t>Gene</t>
  </si>
  <si>
    <t>Fold Change</t>
  </si>
  <si>
    <t>P-Value</t>
  </si>
  <si>
    <t>Herc3</t>
  </si>
  <si>
    <t>Hes6</t>
  </si>
  <si>
    <t>Hspb6</t>
  </si>
  <si>
    <t>Itsn1</t>
  </si>
  <si>
    <t>Lrp3</t>
  </si>
  <si>
    <t/>
  </si>
  <si>
    <t>180604_5_1</t>
  </si>
  <si>
    <t>180719_6_8</t>
  </si>
  <si>
    <t>180720_7_2</t>
  </si>
  <si>
    <t>180720_7_6</t>
  </si>
  <si>
    <t>180719_6_4</t>
  </si>
  <si>
    <t>180719_6_6</t>
  </si>
  <si>
    <t>180720_7_1</t>
  </si>
  <si>
    <t>180720_7_5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</si>
</sst>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(Body)_x0000_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2D7A-BEE9-3646-A047-0BB5EF94831F}">
  <dimension ref="A1:K10"/>
  <sheetViews>
    <sheetView tabSelected="1" topLeftCell="B1" workbookViewId="0">
      <selection activeCell="I10" sqref="I10:K10"/>
    </sheetView>
  </sheetViews>
  <sheetFormatPr baseColWidth="10" defaultRowHeight="16"/>
  <sheetData>
    <row r="1" spans="1:11">
      <c r="A1" t="s">
        <v>35</v>
      </c>
      <c r="B1" s="5">
        <v>43255</v>
      </c>
    </row>
    <row r="3" spans="1:11">
      <c r="C3" t="s">
        <v>36</v>
      </c>
      <c r="H3" t="s">
        <v>37</v>
      </c>
    </row>
    <row r="5" spans="1:11">
      <c r="C5" s="2" t="s">
        <v>38</v>
      </c>
      <c r="D5" s="2" t="s">
        <v>39</v>
      </c>
      <c r="E5" s="2" t="s">
        <v>2</v>
      </c>
      <c r="F5" s="2" t="s">
        <v>40</v>
      </c>
      <c r="H5" s="2" t="s">
        <v>38</v>
      </c>
      <c r="I5" s="2" t="s">
        <v>39</v>
      </c>
      <c r="J5" s="2" t="s">
        <v>2</v>
      </c>
      <c r="K5" s="2" t="s">
        <v>40</v>
      </c>
    </row>
    <row r="6" spans="1:11">
      <c r="C6" t="s">
        <v>41</v>
      </c>
      <c r="D6">
        <v>1.0302156980291064</v>
      </c>
      <c r="E6">
        <v>6.9959566757437197E-2</v>
      </c>
      <c r="F6">
        <v>0.69151239597852232</v>
      </c>
      <c r="H6" t="s">
        <v>41</v>
      </c>
      <c r="I6">
        <v>-1.0596160978764753</v>
      </c>
      <c r="J6">
        <v>7.3853799144144333E-2</v>
      </c>
      <c r="K6">
        <v>0.44668301813753608</v>
      </c>
    </row>
    <row r="7" spans="1:11">
      <c r="C7" t="s">
        <v>42</v>
      </c>
      <c r="D7">
        <v>2.6139834373542659</v>
      </c>
      <c r="E7">
        <v>1.9774597569372436</v>
      </c>
      <c r="F7">
        <v>8.2530383945768074E-2</v>
      </c>
      <c r="H7" t="s">
        <v>42</v>
      </c>
      <c r="I7">
        <v>2.6038114819485743</v>
      </c>
      <c r="J7">
        <v>1.751436053298006</v>
      </c>
      <c r="K7">
        <v>6.4900244280174726E-2</v>
      </c>
    </row>
    <row r="8" spans="1:11">
      <c r="C8" t="s">
        <v>43</v>
      </c>
      <c r="D8">
        <v>-1.1047730256347488</v>
      </c>
      <c r="E8">
        <v>9.8506851058369246E-2</v>
      </c>
      <c r="F8">
        <v>0.28051457543292818</v>
      </c>
      <c r="H8" t="s">
        <v>43</v>
      </c>
      <c r="I8">
        <v>-1.1090888918286241</v>
      </c>
      <c r="J8">
        <v>0.1287024573182409</v>
      </c>
      <c r="K8">
        <v>0.38253447413919983</v>
      </c>
    </row>
    <row r="9" spans="1:11">
      <c r="C9" t="s">
        <v>44</v>
      </c>
      <c r="D9">
        <v>1.111493876333526</v>
      </c>
      <c r="E9">
        <v>0.2430235085059291</v>
      </c>
      <c r="F9">
        <v>0.61349170991595503</v>
      </c>
      <c r="H9" t="s">
        <v>44</v>
      </c>
      <c r="I9">
        <v>1.1071686514747157</v>
      </c>
      <c r="J9">
        <v>0.19379122141802599</v>
      </c>
      <c r="K9">
        <v>0.55232974109243937</v>
      </c>
    </row>
    <row r="10" spans="1:11">
      <c r="C10" t="s">
        <v>45</v>
      </c>
      <c r="D10">
        <v>1.1038162273110443</v>
      </c>
      <c r="E10">
        <v>0.37760850604228802</v>
      </c>
      <c r="F10">
        <v>0.98018616495733113</v>
      </c>
      <c r="H10" t="s">
        <v>45</v>
      </c>
      <c r="I10">
        <v>1.0995208789626838</v>
      </c>
      <c r="J10">
        <v>0.46574278083146375</v>
      </c>
      <c r="K10">
        <v>0.72816765984478748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3E36-14CE-ED4A-9ED4-6835F0AFF537}">
  <dimension ref="A1:U47"/>
  <sheetViews>
    <sheetView topLeftCell="E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1.1038162273110443</v>
      </c>
      <c r="M2">
        <f>O10</f>
        <v>0.37760850604228802</v>
      </c>
      <c r="N2">
        <f>_xlfn.T.TEST(Q4:Q7,S4:S6,2,3)</f>
        <v>0.98018616495733113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21.1</v>
      </c>
      <c r="E4">
        <v>6.8750000000000018</v>
      </c>
      <c r="F4">
        <f>AVERAGE(E4:E11)</f>
        <v>7.4706250000000018</v>
      </c>
      <c r="G4">
        <f>STDEV(E4:E11)</f>
        <v>0.82450607508806095</v>
      </c>
      <c r="Q4">
        <v>6.8750000000000018</v>
      </c>
      <c r="S4">
        <v>7.18</v>
      </c>
    </row>
    <row r="5" spans="1:21">
      <c r="B5" s="5">
        <v>43251</v>
      </c>
      <c r="C5" t="s">
        <v>13</v>
      </c>
      <c r="D5">
        <v>21.060000000000002</v>
      </c>
      <c r="E5">
        <v>6.3850000000000016</v>
      </c>
      <c r="Q5">
        <v>6.3850000000000016</v>
      </c>
      <c r="S5">
        <v>7.1199999999999974</v>
      </c>
    </row>
    <row r="6" spans="1:21">
      <c r="B6" s="5">
        <v>43251</v>
      </c>
      <c r="C6" t="s">
        <v>34</v>
      </c>
      <c r="D6">
        <v>20.75</v>
      </c>
      <c r="E6">
        <v>6.5549999999999997</v>
      </c>
      <c r="K6" s="3" t="s">
        <v>14</v>
      </c>
      <c r="L6" s="3" t="s">
        <v>15</v>
      </c>
      <c r="M6" s="4"/>
      <c r="N6" s="4"/>
      <c r="O6" s="4"/>
      <c r="Q6">
        <v>6.5549999999999997</v>
      </c>
      <c r="S6">
        <v>5.9700000000000024</v>
      </c>
    </row>
    <row r="7" spans="1:21">
      <c r="B7" s="5">
        <v>43251</v>
      </c>
      <c r="C7" t="s">
        <v>16</v>
      </c>
      <c r="D7">
        <v>20.64</v>
      </c>
      <c r="E7">
        <v>7.1649999999999991</v>
      </c>
      <c r="G7" s="2" t="s">
        <v>17</v>
      </c>
      <c r="K7">
        <f>F4-F29</f>
        <v>-0.14249999999999741</v>
      </c>
      <c r="L7">
        <f>((G4)^2+(G29)^2)^(1/2)</f>
        <v>1.2126840802828314</v>
      </c>
      <c r="Q7">
        <v>7.1649999999999991</v>
      </c>
      <c r="S7">
        <v>7.2149999999999999</v>
      </c>
    </row>
    <row r="8" spans="1:21">
      <c r="B8" s="5">
        <v>43311</v>
      </c>
      <c r="C8" t="s">
        <v>47</v>
      </c>
      <c r="D8">
        <v>20.98</v>
      </c>
      <c r="E8">
        <v>7.84</v>
      </c>
      <c r="G8" t="s">
        <v>18</v>
      </c>
      <c r="H8">
        <f>QUARTILE(E4:E11,3)</f>
        <v>8.2424999999999997</v>
      </c>
      <c r="Q8">
        <v>7.84</v>
      </c>
      <c r="S8">
        <v>8.4200000000000017</v>
      </c>
    </row>
    <row r="9" spans="1:21">
      <c r="B9" s="5">
        <v>43311</v>
      </c>
      <c r="C9" t="s">
        <v>48</v>
      </c>
      <c r="D9">
        <v>22.27</v>
      </c>
      <c r="E9">
        <v>8.4049999999999994</v>
      </c>
      <c r="G9" t="s">
        <v>19</v>
      </c>
      <c r="H9">
        <f>QUARTILE(E4:E11,1)</f>
        <v>6.7950000000000017</v>
      </c>
      <c r="M9" s="2" t="s">
        <v>1</v>
      </c>
      <c r="N9" s="2" t="s">
        <v>20</v>
      </c>
      <c r="O9" s="2" t="s">
        <v>21</v>
      </c>
      <c r="Q9">
        <v>8.4049999999999994</v>
      </c>
      <c r="S9">
        <v>8.4699999999999989</v>
      </c>
    </row>
    <row r="10" spans="1:21">
      <c r="B10" s="5">
        <v>43311</v>
      </c>
      <c r="C10" t="s">
        <v>49</v>
      </c>
      <c r="D10">
        <v>23.07</v>
      </c>
      <c r="E10">
        <v>8.2149999999999999</v>
      </c>
      <c r="G10" t="s">
        <v>22</v>
      </c>
      <c r="H10">
        <f>H8-H9</f>
        <v>1.447499999999998</v>
      </c>
      <c r="K10" t="s">
        <v>23</v>
      </c>
      <c r="L10">
        <f>K7+L7</f>
        <v>1.070184080282834</v>
      </c>
      <c r="M10">
        <f>(2^-L10)</f>
        <v>0.47625822710552101</v>
      </c>
      <c r="N10">
        <f>STDEV(M10:M12)</f>
        <v>1.0680381410248931</v>
      </c>
      <c r="O10">
        <f>N10/((8)^(1/2))</f>
        <v>0.37760850604228802</v>
      </c>
      <c r="Q10">
        <v>8.2149999999999999</v>
      </c>
      <c r="S10">
        <v>8.1900000000000013</v>
      </c>
    </row>
    <row r="11" spans="1:21">
      <c r="B11" s="5">
        <v>43311</v>
      </c>
      <c r="C11" t="s">
        <v>50</v>
      </c>
      <c r="D11">
        <v>22.234999999999999</v>
      </c>
      <c r="E11">
        <v>8.3249999999999993</v>
      </c>
      <c r="G11" t="s">
        <v>24</v>
      </c>
      <c r="H11">
        <f>H8+1.5*H10</f>
        <v>10.413749999999997</v>
      </c>
      <c r="K11" t="s">
        <v>14</v>
      </c>
      <c r="L11">
        <f>K7</f>
        <v>-0.14249999999999741</v>
      </c>
      <c r="M11">
        <f>(2^-L11)</f>
        <v>1.1038162273110443</v>
      </c>
      <c r="Q11">
        <v>8.3249999999999993</v>
      </c>
      <c r="S11">
        <v>8.3399999999999981</v>
      </c>
    </row>
    <row r="12" spans="1:21">
      <c r="B12" s="5"/>
      <c r="G12" t="s">
        <v>25</v>
      </c>
      <c r="H12">
        <f>H9-1.5*H10</f>
        <v>4.6237500000000047</v>
      </c>
      <c r="K12" t="s">
        <v>26</v>
      </c>
      <c r="L12">
        <f>K7-L7</f>
        <v>-1.3551840802828288</v>
      </c>
      <c r="M12">
        <f>(2^-L12)</f>
        <v>2.5582975670155359</v>
      </c>
    </row>
    <row r="13" spans="1:21">
      <c r="B13" s="5"/>
    </row>
    <row r="14" spans="1:21">
      <c r="B14" s="5"/>
      <c r="G14" s="2" t="s">
        <v>27</v>
      </c>
      <c r="H14">
        <f>STDEV(D4:D11)</f>
        <v>0.88823636453689148</v>
      </c>
      <c r="N14" s="2" t="s">
        <v>28</v>
      </c>
    </row>
    <row r="15" spans="1:21">
      <c r="B15" s="5"/>
      <c r="N15">
        <f>LN(2)/(2^L11)*L7</f>
        <v>0.92783320693550642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20.465</v>
      </c>
      <c r="E29">
        <v>7.18</v>
      </c>
      <c r="F29">
        <f>AVERAGE(E29:E36)</f>
        <v>7.6131249999999993</v>
      </c>
      <c r="G29">
        <f>STDEV(E29:E36)</f>
        <v>0.88926509585966385</v>
      </c>
    </row>
    <row r="30" spans="1:17">
      <c r="B30" s="5">
        <v>43251</v>
      </c>
      <c r="C30" t="s">
        <v>31</v>
      </c>
      <c r="D30">
        <v>20.83</v>
      </c>
      <c r="E30">
        <v>7.1199999999999974</v>
      </c>
    </row>
    <row r="31" spans="1:17">
      <c r="B31" s="5">
        <v>43251</v>
      </c>
      <c r="C31" t="s">
        <v>32</v>
      </c>
      <c r="D31">
        <v>21.185000000000002</v>
      </c>
      <c r="E31">
        <v>5.9700000000000024</v>
      </c>
    </row>
    <row r="32" spans="1:17">
      <c r="B32" s="5">
        <v>43251</v>
      </c>
      <c r="C32" t="s">
        <v>33</v>
      </c>
      <c r="D32">
        <v>20.965</v>
      </c>
      <c r="E32">
        <v>7.2149999999999999</v>
      </c>
      <c r="G32" s="2" t="s">
        <v>17</v>
      </c>
    </row>
    <row r="33" spans="2:8">
      <c r="B33" s="5">
        <v>43311</v>
      </c>
      <c r="C33" t="s">
        <v>51</v>
      </c>
      <c r="D33">
        <v>22.67</v>
      </c>
      <c r="E33">
        <v>8.4200000000000017</v>
      </c>
      <c r="G33" t="s">
        <v>18</v>
      </c>
      <c r="H33">
        <f>QUARTILE(E29:E36,3)</f>
        <v>8.36</v>
      </c>
    </row>
    <row r="34" spans="2:8">
      <c r="B34" s="5">
        <v>43311</v>
      </c>
      <c r="C34" t="s">
        <v>52</v>
      </c>
      <c r="D34">
        <v>22.824999999999999</v>
      </c>
      <c r="E34">
        <v>8.4699999999999989</v>
      </c>
      <c r="G34" t="s">
        <v>19</v>
      </c>
      <c r="H34">
        <f>QUARTILE(E29:E36,1)</f>
        <v>7.1649999999999991</v>
      </c>
    </row>
    <row r="35" spans="2:8">
      <c r="B35" s="5">
        <v>43311</v>
      </c>
      <c r="C35" t="s">
        <v>53</v>
      </c>
      <c r="D35">
        <v>22.615000000000002</v>
      </c>
      <c r="E35">
        <v>8.1900000000000013</v>
      </c>
      <c r="G35" t="s">
        <v>22</v>
      </c>
      <c r="H35">
        <f>H33-H34</f>
        <v>1.1950000000000003</v>
      </c>
    </row>
    <row r="36" spans="2:8">
      <c r="B36" s="5">
        <v>43311</v>
      </c>
      <c r="C36" t="s">
        <v>54</v>
      </c>
      <c r="D36">
        <v>23.15</v>
      </c>
      <c r="E36">
        <v>8.3399999999999981</v>
      </c>
      <c r="G36" t="s">
        <v>24</v>
      </c>
      <c r="H36">
        <f>H33+1.5*H35</f>
        <v>10.1525</v>
      </c>
    </row>
    <row r="37" spans="2:8">
      <c r="B37" s="5"/>
      <c r="G37" t="s">
        <v>25</v>
      </c>
      <c r="H37">
        <f>H34-1.5*H35</f>
        <v>5.3724999999999987</v>
      </c>
    </row>
    <row r="38" spans="2:8">
      <c r="B38" s="5"/>
    </row>
    <row r="39" spans="2:8">
      <c r="B39" s="5"/>
      <c r="G39" s="2" t="s">
        <v>27</v>
      </c>
      <c r="H39">
        <f>STDEV(D29:D36)</f>
        <v>1.074456465580887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43" priority="23" operator="lessThan">
      <formula>$H$12</formula>
    </cfRule>
    <cfRule type="cellIs" dxfId="42" priority="24" operator="greaterThan">
      <formula>$H$11</formula>
    </cfRule>
  </conditionalFormatting>
  <conditionalFormatting sqref="E29:E32">
    <cfRule type="cellIs" dxfId="41" priority="21" operator="lessThan">
      <formula>$H$37</formula>
    </cfRule>
    <cfRule type="cellIs" dxfId="40" priority="22" operator="greaterThan">
      <formula>$H$36</formula>
    </cfRule>
  </conditionalFormatting>
  <conditionalFormatting sqref="Q4:Q7">
    <cfRule type="cellIs" dxfId="37" priority="7" operator="lessThan">
      <formula>$H$12</formula>
    </cfRule>
    <cfRule type="cellIs" dxfId="36" priority="8" operator="greaterThan">
      <formula>$H$11</formula>
    </cfRule>
  </conditionalFormatting>
  <conditionalFormatting sqref="E33:E36">
    <cfRule type="cellIs" dxfId="33" priority="11" operator="lessThan">
      <formula>$H$37</formula>
    </cfRule>
    <cfRule type="cellIs" dxfId="32" priority="12" operator="greaterThan">
      <formula>$H$36</formula>
    </cfRule>
  </conditionalFormatting>
  <conditionalFormatting sqref="E8:E11">
    <cfRule type="cellIs" dxfId="31" priority="9" operator="lessThan">
      <formula>$H$12</formula>
    </cfRule>
    <cfRule type="cellIs" dxfId="30" priority="10" operator="greaterThan">
      <formula>$H$11</formula>
    </cfRule>
  </conditionalFormatting>
  <conditionalFormatting sqref="Q8:Q11">
    <cfRule type="cellIs" dxfId="27" priority="5" operator="lessThan">
      <formula>$H$12</formula>
    </cfRule>
    <cfRule type="cellIs" dxfId="26" priority="6" operator="greaterThan">
      <formula>$H$11</formula>
    </cfRule>
  </conditionalFormatting>
  <conditionalFormatting sqref="S4:S7">
    <cfRule type="cellIs" dxfId="25" priority="3" operator="lessThan">
      <formula>$H$37</formula>
    </cfRule>
    <cfRule type="cellIs" dxfId="24" priority="4" operator="greaterThan">
      <formula>$H$36</formula>
    </cfRule>
  </conditionalFormatting>
  <conditionalFormatting sqref="S8:S11">
    <cfRule type="cellIs" dxfId="23" priority="1" operator="lessThan">
      <formula>$H$37</formula>
    </cfRule>
    <cfRule type="cellIs" dxfId="22" priority="2" operator="greaterThan">
      <formula>$H$36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720D-AE0C-4949-A37E-2B6F9FCC4B2E}">
  <dimension ref="A1:U47"/>
  <sheetViews>
    <sheetView topLeftCell="D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1.0995208789626838</v>
      </c>
      <c r="M2">
        <f>O10</f>
        <v>0.46574278083146375</v>
      </c>
      <c r="N2">
        <f>_xlfn.T.TEST(Q4:Q11,S4:S11,2,3)</f>
        <v>0.72816765984478748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21.1</v>
      </c>
      <c r="E4">
        <v>1.9650000000000034</v>
      </c>
      <c r="F4">
        <f>AVERAGE(E4:E11)</f>
        <v>2.3793750000000009</v>
      </c>
      <c r="G4">
        <f>STDEV(E4:E11)</f>
        <v>0.64858878398742248</v>
      </c>
      <c r="Q4">
        <v>1.9650000000000034</v>
      </c>
      <c r="S4">
        <v>1.9199999999999982</v>
      </c>
    </row>
    <row r="5" spans="1:21">
      <c r="B5" s="5">
        <v>43251</v>
      </c>
      <c r="C5" t="s">
        <v>13</v>
      </c>
      <c r="D5">
        <v>21.060000000000002</v>
      </c>
      <c r="E5">
        <v>1.6650000000000027</v>
      </c>
      <c r="Q5">
        <v>1.6650000000000027</v>
      </c>
      <c r="S5">
        <v>1.8249999999999957</v>
      </c>
    </row>
    <row r="6" spans="1:21">
      <c r="B6" s="5">
        <v>43251</v>
      </c>
      <c r="C6" t="s">
        <v>34</v>
      </c>
      <c r="D6">
        <v>20.75</v>
      </c>
      <c r="E6">
        <v>1.6700000000000017</v>
      </c>
      <c r="K6" s="3" t="s">
        <v>14</v>
      </c>
      <c r="L6" s="3" t="s">
        <v>15</v>
      </c>
      <c r="M6" s="4"/>
      <c r="N6" s="4"/>
      <c r="O6" s="4"/>
      <c r="Q6">
        <v>1.6700000000000017</v>
      </c>
      <c r="S6">
        <v>1.1750000000000007</v>
      </c>
    </row>
    <row r="7" spans="1:21">
      <c r="B7" s="5">
        <v>43251</v>
      </c>
      <c r="C7" t="s">
        <v>16</v>
      </c>
      <c r="D7">
        <v>20.64</v>
      </c>
      <c r="E7">
        <v>1.9100000000000001</v>
      </c>
      <c r="G7" s="2" t="s">
        <v>17</v>
      </c>
      <c r="K7">
        <f>F4-F29</f>
        <v>-0.13687499999999853</v>
      </c>
      <c r="L7">
        <f>((G4)^2+(G29)^2)^(1/2)</f>
        <v>1.0898760987902638</v>
      </c>
      <c r="Q7">
        <v>1.9100000000000001</v>
      </c>
      <c r="S7">
        <v>2.014999999999997</v>
      </c>
    </row>
    <row r="8" spans="1:21">
      <c r="B8" s="5">
        <v>43311</v>
      </c>
      <c r="C8" t="s">
        <v>47</v>
      </c>
      <c r="D8">
        <v>20.98</v>
      </c>
      <c r="E8">
        <v>2.620000000000001</v>
      </c>
      <c r="G8" t="s">
        <v>18</v>
      </c>
      <c r="H8">
        <f>QUARTILE(E4:E11,3)</f>
        <v>2.956249999999998</v>
      </c>
      <c r="Q8">
        <v>2.620000000000001</v>
      </c>
      <c r="S8">
        <v>3.2750000000000021</v>
      </c>
    </row>
    <row r="9" spans="1:21">
      <c r="B9" s="5">
        <v>43311</v>
      </c>
      <c r="C9" t="s">
        <v>48</v>
      </c>
      <c r="D9">
        <v>22.27</v>
      </c>
      <c r="E9">
        <v>3.2600000000000016</v>
      </c>
      <c r="G9" t="s">
        <v>19</v>
      </c>
      <c r="H9">
        <f>QUARTILE(E4:E11,1)</f>
        <v>1.8500000000000005</v>
      </c>
      <c r="M9" s="2" t="s">
        <v>1</v>
      </c>
      <c r="N9" s="2" t="s">
        <v>20</v>
      </c>
      <c r="O9" s="2" t="s">
        <v>21</v>
      </c>
      <c r="Q9">
        <v>3.2600000000000016</v>
      </c>
      <c r="S9">
        <v>3.4149999999999991</v>
      </c>
    </row>
    <row r="10" spans="1:21">
      <c r="B10" s="5">
        <v>43311</v>
      </c>
      <c r="C10" t="s">
        <v>49</v>
      </c>
      <c r="D10">
        <v>23.07</v>
      </c>
      <c r="E10">
        <v>2.9399999999999977</v>
      </c>
      <c r="G10" t="s">
        <v>22</v>
      </c>
      <c r="H10">
        <f>H8-H9</f>
        <v>1.1062499999999975</v>
      </c>
      <c r="K10" t="s">
        <v>23</v>
      </c>
      <c r="L10">
        <f>K7+L7</f>
        <v>0.95300109879026529</v>
      </c>
      <c r="M10">
        <f>(2^-L10)</f>
        <v>0.51655680042018304</v>
      </c>
      <c r="N10">
        <f>STDEV(M10:M12)</f>
        <v>0.93148556166292751</v>
      </c>
      <c r="O10">
        <f>N10/((4)^(1/2))</f>
        <v>0.46574278083146375</v>
      </c>
      <c r="Q10">
        <v>2.9399999999999977</v>
      </c>
      <c r="S10">
        <v>3.1550000000000011</v>
      </c>
    </row>
    <row r="11" spans="1:21">
      <c r="B11" s="5">
        <v>43311</v>
      </c>
      <c r="C11" t="s">
        <v>50</v>
      </c>
      <c r="D11">
        <v>22.234999999999999</v>
      </c>
      <c r="E11">
        <v>3.004999999999999</v>
      </c>
      <c r="G11" t="s">
        <v>24</v>
      </c>
      <c r="H11">
        <f>H8+1.5*H10</f>
        <v>4.6156249999999943</v>
      </c>
      <c r="K11" t="s">
        <v>14</v>
      </c>
      <c r="L11">
        <f>K7</f>
        <v>-0.13687499999999853</v>
      </c>
      <c r="M11">
        <f>(2^-L11)</f>
        <v>1.0995208789626838</v>
      </c>
      <c r="Q11">
        <v>3.004999999999999</v>
      </c>
      <c r="S11">
        <v>3.3500000000000014</v>
      </c>
    </row>
    <row r="12" spans="1:21">
      <c r="B12" s="5"/>
      <c r="G12" t="s">
        <v>25</v>
      </c>
      <c r="H12">
        <f>H9-1.5*H10</f>
        <v>0.19062500000000426</v>
      </c>
      <c r="K12" t="s">
        <v>26</v>
      </c>
      <c r="L12">
        <f>K7-L7</f>
        <v>-1.2267510987902623</v>
      </c>
      <c r="M12">
        <f>(2^-L12)</f>
        <v>2.3403934713307017</v>
      </c>
    </row>
    <row r="13" spans="1:21">
      <c r="B13" s="5"/>
    </row>
    <row r="14" spans="1:21">
      <c r="B14" s="5"/>
      <c r="G14" s="2" t="s">
        <v>27</v>
      </c>
      <c r="H14">
        <f>STDEV(D4:D11)</f>
        <v>0.88823636453689148</v>
      </c>
      <c r="N14" s="2" t="s">
        <v>28</v>
      </c>
    </row>
    <row r="15" spans="1:21">
      <c r="B15" s="5"/>
      <c r="N15">
        <f>LN(2)/(2^L11)*L7</f>
        <v>0.83062705016570559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20.465</v>
      </c>
      <c r="E29">
        <v>1.9199999999999982</v>
      </c>
      <c r="F29">
        <f>AVERAGE(E29:E36)</f>
        <v>2.5162499999999994</v>
      </c>
      <c r="G29">
        <f>STDEV(E29:E36)</f>
        <v>0.87587813079217924</v>
      </c>
    </row>
    <row r="30" spans="1:17">
      <c r="B30" s="5">
        <v>43251</v>
      </c>
      <c r="C30" t="s">
        <v>31</v>
      </c>
      <c r="D30">
        <v>20.83</v>
      </c>
      <c r="E30">
        <v>1.8249999999999957</v>
      </c>
    </row>
    <row r="31" spans="1:17">
      <c r="B31" s="5">
        <v>43251</v>
      </c>
      <c r="C31" t="s">
        <v>32</v>
      </c>
      <c r="D31">
        <v>21.185000000000002</v>
      </c>
      <c r="E31">
        <v>1.1750000000000007</v>
      </c>
    </row>
    <row r="32" spans="1:17">
      <c r="B32" s="5">
        <v>43251</v>
      </c>
      <c r="C32" t="s">
        <v>33</v>
      </c>
      <c r="D32">
        <v>20.965</v>
      </c>
      <c r="E32">
        <v>2.014999999999997</v>
      </c>
      <c r="G32" s="2" t="s">
        <v>17</v>
      </c>
    </row>
    <row r="33" spans="2:8">
      <c r="B33" s="5">
        <v>43311</v>
      </c>
      <c r="C33" t="s">
        <v>51</v>
      </c>
      <c r="D33">
        <v>22.67</v>
      </c>
      <c r="E33">
        <v>3.2750000000000021</v>
      </c>
      <c r="G33" t="s">
        <v>18</v>
      </c>
      <c r="H33">
        <f>QUARTILE(E29:E36,3)</f>
        <v>3.293750000000002</v>
      </c>
    </row>
    <row r="34" spans="2:8">
      <c r="B34" s="5">
        <v>43311</v>
      </c>
      <c r="C34" t="s">
        <v>52</v>
      </c>
      <c r="D34">
        <v>22.824999999999999</v>
      </c>
      <c r="E34">
        <v>3.4149999999999991</v>
      </c>
      <c r="G34" t="s">
        <v>19</v>
      </c>
      <c r="H34">
        <f>QUARTILE(E29:E36,1)</f>
        <v>1.8962499999999975</v>
      </c>
    </row>
    <row r="35" spans="2:8">
      <c r="B35" s="5">
        <v>43311</v>
      </c>
      <c r="C35" t="s">
        <v>53</v>
      </c>
      <c r="D35">
        <v>22.615000000000002</v>
      </c>
      <c r="E35">
        <v>3.1550000000000011</v>
      </c>
      <c r="G35" t="s">
        <v>22</v>
      </c>
      <c r="H35">
        <f>H33-H34</f>
        <v>1.3975000000000044</v>
      </c>
    </row>
    <row r="36" spans="2:8">
      <c r="B36" s="5">
        <v>43311</v>
      </c>
      <c r="C36" t="s">
        <v>54</v>
      </c>
      <c r="D36">
        <v>23.15</v>
      </c>
      <c r="E36">
        <v>3.3500000000000014</v>
      </c>
      <c r="G36" t="s">
        <v>24</v>
      </c>
      <c r="H36">
        <f>H33+1.5*H35</f>
        <v>5.3900000000000086</v>
      </c>
    </row>
    <row r="37" spans="2:8">
      <c r="B37" s="5"/>
      <c r="G37" t="s">
        <v>25</v>
      </c>
      <c r="H37">
        <f>H34-1.5*H35</f>
        <v>-0.20000000000000906</v>
      </c>
    </row>
    <row r="38" spans="2:8">
      <c r="B38" s="5"/>
    </row>
    <row r="39" spans="2:8">
      <c r="B39" s="5"/>
      <c r="G39" s="2" t="s">
        <v>27</v>
      </c>
      <c r="H39">
        <f>STDEV(D29:D36)</f>
        <v>1.074456465580887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21" priority="25" operator="lessThan">
      <formula>$H$12</formula>
    </cfRule>
    <cfRule type="cellIs" dxfId="20" priority="26" operator="greaterThan">
      <formula>$H$11</formula>
    </cfRule>
  </conditionalFormatting>
  <conditionalFormatting sqref="E29:E32">
    <cfRule type="cellIs" dxfId="19" priority="23" operator="lessThan">
      <formula>$H$37</formula>
    </cfRule>
    <cfRule type="cellIs" dxfId="18" priority="24" operator="greaterThan">
      <formula>$H$36</formula>
    </cfRule>
  </conditionalFormatting>
  <conditionalFormatting sqref="E33:E36">
    <cfRule type="cellIs" dxfId="11" priority="11" operator="lessThan">
      <formula>$H$37</formula>
    </cfRule>
    <cfRule type="cellIs" dxfId="10" priority="12" operator="greaterThan">
      <formula>$H$36</formula>
    </cfRule>
  </conditionalFormatting>
  <conditionalFormatting sqref="E8:E11">
    <cfRule type="cellIs" dxfId="9" priority="9" operator="lessThan">
      <formula>$H$12</formula>
    </cfRule>
    <cfRule type="cellIs" dxfId="8" priority="10" operator="greaterThan">
      <formula>$H$11</formula>
    </cfRule>
  </conditionalFormatting>
  <conditionalFormatting sqref="S4:S7">
    <cfRule type="cellIs" dxfId="7" priority="7" operator="lessThan">
      <formula>$H$37</formula>
    </cfRule>
    <cfRule type="cellIs" dxfId="6" priority="8" operator="greaterThan">
      <formula>$H$36</formula>
    </cfRule>
  </conditionalFormatting>
  <conditionalFormatting sqref="S8:S11">
    <cfRule type="cellIs" dxfId="5" priority="5" operator="lessThan">
      <formula>$H$37</formula>
    </cfRule>
    <cfRule type="cellIs" dxfId="4" priority="6" operator="greaterThan">
      <formula>$H$36</formula>
    </cfRule>
  </conditionalFormatting>
  <conditionalFormatting sqref="Q4:Q7">
    <cfRule type="cellIs" dxfId="3" priority="3" operator="lessThan">
      <formula>$H$12</formula>
    </cfRule>
    <cfRule type="cellIs" dxfId="2" priority="4" operator="greaterThan">
      <formula>$H$11</formula>
    </cfRule>
  </conditionalFormatting>
  <conditionalFormatting sqref="Q8:Q11">
    <cfRule type="cellIs" dxfId="1" priority="1" operator="lessThan">
      <formula>$H$12</formula>
    </cfRule>
    <cfRule type="cellIs" dxfId="0" priority="2" operator="greaterThan">
      <formula>$H$11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E816-514B-EF4F-8911-6184B26FABCD}">
  <dimension ref="A1:U47"/>
  <sheetViews>
    <sheetView topLeftCell="D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1.0302156980291064</v>
      </c>
      <c r="M2">
        <f>O10</f>
        <v>6.9959566757437197E-2</v>
      </c>
      <c r="N2">
        <f>_xlfn.T.TEST(Q4:Q11,S4:S10,2,3)</f>
        <v>0.69151239597852232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20.509999999999998</v>
      </c>
      <c r="E4">
        <v>6.2849999999999984</v>
      </c>
      <c r="F4">
        <f>AVERAGE(E4:E11)</f>
        <v>6.3406249999999993</v>
      </c>
      <c r="G4">
        <f>STDEV(E4:E11)</f>
        <v>6.5215987303727962E-2</v>
      </c>
      <c r="Q4">
        <v>6.2849999999999984</v>
      </c>
      <c r="S4">
        <v>6.370000000000001</v>
      </c>
    </row>
    <row r="5" spans="1:21">
      <c r="B5" s="5">
        <v>43251</v>
      </c>
      <c r="C5" t="s">
        <v>13</v>
      </c>
      <c r="D5">
        <v>21.035</v>
      </c>
      <c r="E5">
        <v>6.3599999999999994</v>
      </c>
      <c r="Q5">
        <v>6.3599999999999994</v>
      </c>
      <c r="S5">
        <v>6.7249999999999979</v>
      </c>
    </row>
    <row r="6" spans="1:21">
      <c r="B6" s="5">
        <v>43251</v>
      </c>
      <c r="C6" t="s">
        <v>34</v>
      </c>
      <c r="D6">
        <v>20.495000000000001</v>
      </c>
      <c r="E6">
        <v>6.3000000000000007</v>
      </c>
      <c r="K6" s="3" t="s">
        <v>14</v>
      </c>
      <c r="L6" s="3" t="s">
        <v>15</v>
      </c>
      <c r="M6" s="4"/>
      <c r="N6" s="4"/>
      <c r="O6" s="4"/>
      <c r="Q6">
        <v>6.3000000000000007</v>
      </c>
      <c r="S6">
        <v>6.1050000000000004</v>
      </c>
    </row>
    <row r="7" spans="1:21">
      <c r="B7" s="5">
        <v>43251</v>
      </c>
      <c r="C7" t="s">
        <v>16</v>
      </c>
      <c r="D7">
        <v>19.71</v>
      </c>
      <c r="E7">
        <v>6.2349999999999994</v>
      </c>
      <c r="G7" s="2" t="s">
        <v>17</v>
      </c>
      <c r="K7">
        <f>F4-F29</f>
        <v>-4.2946428571429607E-2</v>
      </c>
      <c r="L7">
        <f>((G4)^2+(G29)^2)^(1/2)</f>
        <v>0.27501650383377357</v>
      </c>
      <c r="Q7">
        <v>6.2349999999999994</v>
      </c>
      <c r="S7">
        <v>6.3500000000000014</v>
      </c>
    </row>
    <row r="8" spans="1:21">
      <c r="B8" s="5">
        <v>43311</v>
      </c>
      <c r="C8" t="s">
        <v>47</v>
      </c>
      <c r="D8">
        <v>19.47</v>
      </c>
      <c r="E8">
        <v>6.3299999999999983</v>
      </c>
      <c r="G8" t="s">
        <v>18</v>
      </c>
      <c r="H8">
        <f>QUARTILE(E4:E11,3)</f>
        <v>6.388749999999999</v>
      </c>
      <c r="Q8">
        <v>6.3299999999999983</v>
      </c>
      <c r="S8">
        <v>6.7650000000000006</v>
      </c>
    </row>
    <row r="9" spans="1:21">
      <c r="B9" s="5">
        <v>43311</v>
      </c>
      <c r="C9" t="s">
        <v>48</v>
      </c>
      <c r="D9">
        <v>20.285</v>
      </c>
      <c r="E9">
        <v>6.42</v>
      </c>
      <c r="G9" t="s">
        <v>19</v>
      </c>
      <c r="H9">
        <f>QUARTILE(E4:E11,1)</f>
        <v>6.2962500000000006</v>
      </c>
      <c r="M9" s="2" t="s">
        <v>1</v>
      </c>
      <c r="N9" s="2" t="s">
        <v>20</v>
      </c>
      <c r="O9" s="2" t="s">
        <v>21</v>
      </c>
      <c r="Q9">
        <v>6.42</v>
      </c>
      <c r="S9">
        <v>6.120000000000001</v>
      </c>
    </row>
    <row r="10" spans="1:21">
      <c r="B10" s="5">
        <v>43311</v>
      </c>
      <c r="C10" t="s">
        <v>49</v>
      </c>
      <c r="D10">
        <v>21.27</v>
      </c>
      <c r="E10">
        <v>6.4149999999999991</v>
      </c>
      <c r="G10" t="s">
        <v>22</v>
      </c>
      <c r="H10">
        <f>H8-H9</f>
        <v>9.2499999999998472E-2</v>
      </c>
      <c r="K10" t="s">
        <v>23</v>
      </c>
      <c r="L10">
        <f>K7+L7</f>
        <v>0.23207007526234397</v>
      </c>
      <c r="M10">
        <f>(2^-L10)</f>
        <v>0.85141235154322026</v>
      </c>
      <c r="N10">
        <f>STDEV(M10:M12)</f>
        <v>0.19787553625222723</v>
      </c>
      <c r="O10">
        <f>N10/((8)^(1/2))</f>
        <v>6.9959566757437197E-2</v>
      </c>
      <c r="Q10">
        <v>6.4149999999999991</v>
      </c>
      <c r="S10">
        <v>6.2500000000000018</v>
      </c>
    </row>
    <row r="11" spans="1:21">
      <c r="B11" s="5">
        <v>43311</v>
      </c>
      <c r="C11" t="s">
        <v>50</v>
      </c>
      <c r="D11">
        <v>20.29</v>
      </c>
      <c r="E11">
        <v>6.379999999999999</v>
      </c>
      <c r="G11" t="s">
        <v>24</v>
      </c>
      <c r="H11">
        <f>H8+1.5*H10</f>
        <v>6.5274999999999963</v>
      </c>
      <c r="K11" t="s">
        <v>14</v>
      </c>
      <c r="L11">
        <f>K7</f>
        <v>-4.2946428571429607E-2</v>
      </c>
      <c r="M11">
        <f>(2^-L11)</f>
        <v>1.0302156980291064</v>
      </c>
      <c r="Q11">
        <v>6.379999999999999</v>
      </c>
    </row>
    <row r="12" spans="1:21">
      <c r="B12" s="5"/>
      <c r="G12" t="s">
        <v>25</v>
      </c>
      <c r="H12">
        <f>H9-1.5*H10</f>
        <v>6.1575000000000024</v>
      </c>
      <c r="K12" t="s">
        <v>26</v>
      </c>
      <c r="L12">
        <f>K7-L7</f>
        <v>-0.31796293240520318</v>
      </c>
      <c r="M12">
        <f>(2^-L12)</f>
        <v>1.2465691653895647</v>
      </c>
    </row>
    <row r="13" spans="1:21">
      <c r="B13" s="5"/>
    </row>
    <row r="14" spans="1:21">
      <c r="B14" s="5"/>
      <c r="G14" s="2" t="s">
        <v>27</v>
      </c>
      <c r="H14">
        <f>STDEV(D4:D11)</f>
        <v>0.60300401266137049</v>
      </c>
      <c r="N14" s="2" t="s">
        <v>28</v>
      </c>
    </row>
    <row r="15" spans="1:21">
      <c r="B15" s="5"/>
      <c r="N15">
        <f>LN(2)/(2^L11)*L7</f>
        <v>0.1963868395167247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19.655000000000001</v>
      </c>
      <c r="E29">
        <v>6.370000000000001</v>
      </c>
      <c r="F29">
        <f>AVERAGE(E29:E30,E32:E36)</f>
        <v>6.3835714285714289</v>
      </c>
      <c r="G29">
        <f>STDEV(E29:E30,E32:E36)</f>
        <v>0.26717213997898803</v>
      </c>
    </row>
    <row r="30" spans="1:17">
      <c r="B30" s="5">
        <v>43251</v>
      </c>
      <c r="C30" t="s">
        <v>31</v>
      </c>
      <c r="D30">
        <v>20.434999999999999</v>
      </c>
      <c r="E30">
        <v>6.7249999999999979</v>
      </c>
    </row>
    <row r="31" spans="1:17">
      <c r="B31" s="5">
        <v>43251</v>
      </c>
      <c r="C31" t="s">
        <v>32</v>
      </c>
      <c r="D31">
        <v>20.594999999999999</v>
      </c>
      <c r="E31">
        <v>5.379999999999999</v>
      </c>
    </row>
    <row r="32" spans="1:17">
      <c r="B32" s="5">
        <v>43251</v>
      </c>
      <c r="C32" t="s">
        <v>33</v>
      </c>
      <c r="D32">
        <v>19.855</v>
      </c>
      <c r="E32">
        <v>6.1050000000000004</v>
      </c>
      <c r="G32" s="2" t="s">
        <v>17</v>
      </c>
    </row>
    <row r="33" spans="2:8">
      <c r="B33" s="5">
        <v>43311</v>
      </c>
      <c r="C33" t="s">
        <v>51</v>
      </c>
      <c r="D33">
        <v>20.6</v>
      </c>
      <c r="E33">
        <v>6.3500000000000014</v>
      </c>
      <c r="G33" t="s">
        <v>18</v>
      </c>
      <c r="H33">
        <f>QUARTILE(E29:E36,3)</f>
        <v>6.4587500000000002</v>
      </c>
    </row>
    <row r="34" spans="2:8">
      <c r="B34" s="5">
        <v>43311</v>
      </c>
      <c r="C34" t="s">
        <v>52</v>
      </c>
      <c r="D34">
        <v>21.12</v>
      </c>
      <c r="E34">
        <v>6.7650000000000006</v>
      </c>
      <c r="G34" t="s">
        <v>19</v>
      </c>
      <c r="H34">
        <f>QUARTILE(E29:E36,1)</f>
        <v>6.1162500000000009</v>
      </c>
    </row>
    <row r="35" spans="2:8">
      <c r="B35" s="5">
        <v>43311</v>
      </c>
      <c r="C35" t="s">
        <v>53</v>
      </c>
      <c r="D35">
        <v>20.545000000000002</v>
      </c>
      <c r="E35">
        <v>6.120000000000001</v>
      </c>
      <c r="G35" t="s">
        <v>22</v>
      </c>
      <c r="H35">
        <f>H33-H34</f>
        <v>0.34249999999999936</v>
      </c>
    </row>
    <row r="36" spans="2:8">
      <c r="B36" s="5">
        <v>43311</v>
      </c>
      <c r="C36" t="s">
        <v>54</v>
      </c>
      <c r="D36">
        <v>21.060000000000002</v>
      </c>
      <c r="E36">
        <v>6.2500000000000018</v>
      </c>
      <c r="G36" t="s">
        <v>24</v>
      </c>
      <c r="H36">
        <f>H33+1.5*H35</f>
        <v>6.9724999999999993</v>
      </c>
    </row>
    <row r="37" spans="2:8">
      <c r="B37" s="5"/>
      <c r="G37" t="s">
        <v>25</v>
      </c>
      <c r="H37">
        <f>H34-1.5*H35</f>
        <v>5.6025000000000018</v>
      </c>
    </row>
    <row r="38" spans="2:8">
      <c r="B38" s="5"/>
    </row>
    <row r="39" spans="2:8">
      <c r="B39" s="5"/>
      <c r="G39" s="2" t="s">
        <v>27</v>
      </c>
      <c r="H39">
        <f>STDEV(D29:D36)</f>
        <v>0.5142326981602231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51" priority="23" operator="lessThan">
      <formula>$H$12</formula>
    </cfRule>
    <cfRule type="cellIs" dxfId="150" priority="24" operator="greaterThan">
      <formula>$H$11</formula>
    </cfRule>
  </conditionalFormatting>
  <conditionalFormatting sqref="E29:E32">
    <cfRule type="cellIs" dxfId="149" priority="21" operator="lessThan">
      <formula>$H$37</formula>
    </cfRule>
    <cfRule type="cellIs" dxfId="148" priority="22" operator="greaterThan">
      <formula>$H$36</formula>
    </cfRule>
  </conditionalFormatting>
  <conditionalFormatting sqref="Q4:Q7">
    <cfRule type="cellIs" dxfId="147" priority="7" operator="lessThan">
      <formula>$H$12</formula>
    </cfRule>
    <cfRule type="cellIs" dxfId="146" priority="8" operator="greaterThan">
      <formula>$H$11</formula>
    </cfRule>
  </conditionalFormatting>
  <conditionalFormatting sqref="E8:E11">
    <cfRule type="cellIs" dxfId="145" priority="11" operator="lessThan">
      <formula>$H$12</formula>
    </cfRule>
    <cfRule type="cellIs" dxfId="144" priority="12" operator="greaterThan">
      <formula>$H$11</formula>
    </cfRule>
  </conditionalFormatting>
  <conditionalFormatting sqref="E33:E36">
    <cfRule type="cellIs" dxfId="143" priority="9" operator="lessThan">
      <formula>$H$37</formula>
    </cfRule>
    <cfRule type="cellIs" dxfId="142" priority="10" operator="greaterThan">
      <formula>$H$36</formula>
    </cfRule>
  </conditionalFormatting>
  <conditionalFormatting sqref="Q8:Q11">
    <cfRule type="cellIs" dxfId="141" priority="5" operator="lessThan">
      <formula>$H$12</formula>
    </cfRule>
    <cfRule type="cellIs" dxfId="140" priority="6" operator="greaterThan">
      <formula>$H$11</formula>
    </cfRule>
  </conditionalFormatting>
  <conditionalFormatting sqref="S4:S6">
    <cfRule type="cellIs" dxfId="139" priority="3" operator="lessThan">
      <formula>$H$37</formula>
    </cfRule>
    <cfRule type="cellIs" dxfId="138" priority="4" operator="greaterThan">
      <formula>$H$36</formula>
    </cfRule>
  </conditionalFormatting>
  <conditionalFormatting sqref="S7:S10">
    <cfRule type="cellIs" dxfId="137" priority="1" operator="lessThan">
      <formula>$H$37</formula>
    </cfRule>
    <cfRule type="cellIs" dxfId="136" priority="2" operator="greaterThan">
      <formula>$H$36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E57D-6B3E-A744-BDDB-E9C8AD530612}">
  <dimension ref="A1:U47"/>
  <sheetViews>
    <sheetView topLeftCell="D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-1.0596160978764753</v>
      </c>
      <c r="M2">
        <f>O10</f>
        <v>7.3853799144144333E-2</v>
      </c>
      <c r="N2">
        <f>_xlfn.T.TEST(Q4:Q11,S4:S9,2,3)</f>
        <v>0.44668301813753608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20.509999999999998</v>
      </c>
      <c r="E4">
        <v>1.375</v>
      </c>
      <c r="F4">
        <f>AVERAGE(E4:E11)</f>
        <v>1.2493750000000001</v>
      </c>
      <c r="G4">
        <f>STDEV(E4:E11)</f>
        <v>0.21917764321598754</v>
      </c>
      <c r="Q4">
        <v>1.375</v>
      </c>
      <c r="S4">
        <v>1.1099999999999994</v>
      </c>
    </row>
    <row r="5" spans="1:21">
      <c r="B5" s="5">
        <v>43251</v>
      </c>
      <c r="C5" t="s">
        <v>13</v>
      </c>
      <c r="D5">
        <v>21.035</v>
      </c>
      <c r="E5">
        <v>1.6400000000000006</v>
      </c>
      <c r="Q5">
        <v>1.6400000000000006</v>
      </c>
      <c r="S5">
        <v>1.4299999999999962</v>
      </c>
    </row>
    <row r="6" spans="1:21">
      <c r="B6" s="5">
        <v>43251</v>
      </c>
      <c r="C6" t="s">
        <v>34</v>
      </c>
      <c r="D6">
        <v>20.495000000000001</v>
      </c>
      <c r="E6">
        <v>1.4150000000000027</v>
      </c>
      <c r="K6" s="3" t="s">
        <v>14</v>
      </c>
      <c r="L6" s="3" t="s">
        <v>15</v>
      </c>
      <c r="M6" s="4"/>
      <c r="N6" s="4"/>
      <c r="O6" s="4"/>
      <c r="Q6">
        <v>1.4150000000000027</v>
      </c>
      <c r="S6">
        <v>0.90499999999999758</v>
      </c>
    </row>
    <row r="7" spans="1:21">
      <c r="B7" s="5">
        <v>43251</v>
      </c>
      <c r="C7" t="s">
        <v>16</v>
      </c>
      <c r="D7">
        <v>19.71</v>
      </c>
      <c r="E7">
        <v>0.98000000000000043</v>
      </c>
      <c r="G7" s="2" t="s">
        <v>17</v>
      </c>
      <c r="K7">
        <f>F4-F29</f>
        <v>8.3541666666666625E-2</v>
      </c>
      <c r="L7">
        <f>((G4)^2+(G29)^2)^(1/2)</f>
        <v>0.28215776783987562</v>
      </c>
      <c r="Q7">
        <v>0.98000000000000043</v>
      </c>
      <c r="S7">
        <v>1.2050000000000018</v>
      </c>
    </row>
    <row r="8" spans="1:21">
      <c r="B8" s="5">
        <v>43311</v>
      </c>
      <c r="C8" t="s">
        <v>47</v>
      </c>
      <c r="D8">
        <v>19.47</v>
      </c>
      <c r="E8">
        <v>1.1099999999999994</v>
      </c>
      <c r="G8" t="s">
        <v>18</v>
      </c>
      <c r="H8">
        <f>QUARTILE(E4:E11,3)</f>
        <v>1.3850000000000007</v>
      </c>
      <c r="Q8">
        <v>1.1099999999999994</v>
      </c>
      <c r="S8">
        <v>1.0850000000000009</v>
      </c>
    </row>
    <row r="9" spans="1:21">
      <c r="B9" s="5">
        <v>43311</v>
      </c>
      <c r="C9" t="s">
        <v>48</v>
      </c>
      <c r="D9">
        <v>20.285</v>
      </c>
      <c r="E9">
        <v>1.2750000000000021</v>
      </c>
      <c r="G9" t="s">
        <v>19</v>
      </c>
      <c r="H9">
        <f>QUARTILE(E4:E11,1)</f>
        <v>1.0974999999999993</v>
      </c>
      <c r="M9" s="2" t="s">
        <v>1</v>
      </c>
      <c r="N9" s="2" t="s">
        <v>20</v>
      </c>
      <c r="O9" s="2" t="s">
        <v>21</v>
      </c>
      <c r="Q9">
        <v>1.2750000000000021</v>
      </c>
      <c r="S9">
        <v>1.2600000000000051</v>
      </c>
    </row>
    <row r="10" spans="1:21">
      <c r="B10" s="5">
        <v>43311</v>
      </c>
      <c r="C10" t="s">
        <v>49</v>
      </c>
      <c r="D10">
        <v>21.27</v>
      </c>
      <c r="E10">
        <v>1.139999999999997</v>
      </c>
      <c r="G10" t="s">
        <v>22</v>
      </c>
      <c r="H10">
        <f>H8-H9</f>
        <v>0.28750000000000142</v>
      </c>
      <c r="K10" t="s">
        <v>23</v>
      </c>
      <c r="L10">
        <f>K7+L7</f>
        <v>0.36569943450654224</v>
      </c>
      <c r="M10">
        <f>-1/(2^-L10)</f>
        <v>-1.2885061601403285</v>
      </c>
      <c r="N10">
        <f>STDEV(M10:M12)</f>
        <v>0.20889008876485479</v>
      </c>
      <c r="O10">
        <f>N10/((8)^(1/2))</f>
        <v>7.3853799144144333E-2</v>
      </c>
      <c r="Q10">
        <v>1.139999999999997</v>
      </c>
    </row>
    <row r="11" spans="1:21">
      <c r="B11" s="5">
        <v>43311</v>
      </c>
      <c r="C11" t="s">
        <v>50</v>
      </c>
      <c r="D11">
        <v>20.29</v>
      </c>
      <c r="E11">
        <v>1.0599999999999987</v>
      </c>
      <c r="G11" t="s">
        <v>24</v>
      </c>
      <c r="H11">
        <f>H8+1.5*H10</f>
        <v>1.8162500000000028</v>
      </c>
      <c r="K11" t="s">
        <v>14</v>
      </c>
      <c r="L11">
        <f>K7</f>
        <v>8.3541666666666625E-2</v>
      </c>
      <c r="M11">
        <f>-1/(2^-L11)</f>
        <v>-1.0596160978764753</v>
      </c>
      <c r="Q11">
        <v>1.0599999999999987</v>
      </c>
    </row>
    <row r="12" spans="1:21">
      <c r="B12" s="5"/>
      <c r="G12" t="s">
        <v>25</v>
      </c>
      <c r="H12">
        <f>H9-1.5*H10</f>
        <v>0.66624999999999712</v>
      </c>
      <c r="K12" t="s">
        <v>26</v>
      </c>
      <c r="L12">
        <f>K7-L7</f>
        <v>-0.19861610117320899</v>
      </c>
      <c r="M12">
        <f>-1/(2^-L12)</f>
        <v>-0.87138603571494611</v>
      </c>
    </row>
    <row r="13" spans="1:21">
      <c r="B13" s="5"/>
    </row>
    <row r="14" spans="1:21">
      <c r="B14" s="5"/>
      <c r="G14" s="2" t="s">
        <v>27</v>
      </c>
      <c r="H14">
        <f>STDEV(D4:D11)</f>
        <v>0.60300401266137049</v>
      </c>
      <c r="N14" s="2" t="s">
        <v>28</v>
      </c>
    </row>
    <row r="15" spans="1:21">
      <c r="B15" s="5"/>
      <c r="N15">
        <f>LN(2)/(2^L11)*L7</f>
        <v>0.1845733201328702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19.655000000000001</v>
      </c>
      <c r="E29">
        <v>1.1099999999999994</v>
      </c>
      <c r="F29">
        <f>AVERAGE(E29:E30,E32:E33,E35:E36)</f>
        <v>1.1658333333333335</v>
      </c>
      <c r="G29">
        <f>STDEV(E29:E30,E32:E33,E35:E36)</f>
        <v>0.17769121156283002</v>
      </c>
    </row>
    <row r="30" spans="1:17">
      <c r="B30" s="5">
        <v>43251</v>
      </c>
      <c r="C30" t="s">
        <v>31</v>
      </c>
      <c r="D30">
        <v>20.434999999999999</v>
      </c>
      <c r="E30">
        <v>1.4299999999999962</v>
      </c>
    </row>
    <row r="31" spans="1:17">
      <c r="B31" s="5">
        <v>43251</v>
      </c>
      <c r="C31" t="s">
        <v>32</v>
      </c>
      <c r="D31">
        <v>20.594999999999999</v>
      </c>
      <c r="E31">
        <v>0.5849999999999973</v>
      </c>
    </row>
    <row r="32" spans="1:17">
      <c r="B32" s="5">
        <v>43251</v>
      </c>
      <c r="C32" t="s">
        <v>33</v>
      </c>
      <c r="D32">
        <v>19.855</v>
      </c>
      <c r="E32">
        <v>0.90499999999999758</v>
      </c>
      <c r="G32" s="2" t="s">
        <v>17</v>
      </c>
    </row>
    <row r="33" spans="2:8">
      <c r="B33" s="5">
        <v>43311</v>
      </c>
      <c r="C33" t="s">
        <v>51</v>
      </c>
      <c r="D33">
        <v>20.6</v>
      </c>
      <c r="E33">
        <v>1.2050000000000018</v>
      </c>
      <c r="G33" t="s">
        <v>18</v>
      </c>
      <c r="H33">
        <f>QUARTILE(E29:E36,3)</f>
        <v>1.3025000000000029</v>
      </c>
    </row>
    <row r="34" spans="2:8">
      <c r="B34" s="5">
        <v>43311</v>
      </c>
      <c r="C34" t="s">
        <v>52</v>
      </c>
      <c r="D34">
        <v>21.12</v>
      </c>
      <c r="E34">
        <v>1.7100000000000009</v>
      </c>
      <c r="G34" t="s">
        <v>19</v>
      </c>
      <c r="H34">
        <f>QUARTILE(E29:E36,1)</f>
        <v>1.04</v>
      </c>
    </row>
    <row r="35" spans="2:8">
      <c r="B35" s="5">
        <v>43311</v>
      </c>
      <c r="C35" t="s">
        <v>53</v>
      </c>
      <c r="D35">
        <v>20.545000000000002</v>
      </c>
      <c r="E35">
        <v>1.0850000000000009</v>
      </c>
      <c r="G35" t="s">
        <v>22</v>
      </c>
      <c r="H35">
        <f>H33-H34</f>
        <v>0.26250000000000284</v>
      </c>
    </row>
    <row r="36" spans="2:8">
      <c r="B36" s="5">
        <v>43311</v>
      </c>
      <c r="C36" t="s">
        <v>54</v>
      </c>
      <c r="D36">
        <v>21.060000000000002</v>
      </c>
      <c r="E36">
        <v>1.2600000000000051</v>
      </c>
      <c r="G36" t="s">
        <v>24</v>
      </c>
      <c r="H36">
        <f>H33+1.5*H35</f>
        <v>1.6962500000000071</v>
      </c>
    </row>
    <row r="37" spans="2:8">
      <c r="B37" s="5"/>
      <c r="G37" t="s">
        <v>25</v>
      </c>
      <c r="H37">
        <f>H34-1.5*H35</f>
        <v>0.64624999999999577</v>
      </c>
    </row>
    <row r="38" spans="2:8">
      <c r="B38" s="5"/>
    </row>
    <row r="39" spans="2:8">
      <c r="B39" s="5"/>
      <c r="G39" s="2" t="s">
        <v>27</v>
      </c>
      <c r="H39">
        <f>STDEV(D29:D36)</f>
        <v>0.5142326981602231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35" priority="23" operator="lessThan">
      <formula>$H$12</formula>
    </cfRule>
    <cfRule type="cellIs" dxfId="134" priority="24" operator="greaterThan">
      <formula>$H$11</formula>
    </cfRule>
  </conditionalFormatting>
  <conditionalFormatting sqref="E29:E32">
    <cfRule type="cellIs" dxfId="133" priority="21" operator="lessThan">
      <formula>$H$37</formula>
    </cfRule>
    <cfRule type="cellIs" dxfId="132" priority="22" operator="greaterThan">
      <formula>$H$36</formula>
    </cfRule>
  </conditionalFormatting>
  <conditionalFormatting sqref="Q4:Q7">
    <cfRule type="cellIs" dxfId="131" priority="7" operator="lessThan">
      <formula>$H$12</formula>
    </cfRule>
    <cfRule type="cellIs" dxfId="130" priority="8" operator="greaterThan">
      <formula>$H$11</formula>
    </cfRule>
  </conditionalFormatting>
  <conditionalFormatting sqref="E33:E36">
    <cfRule type="cellIs" dxfId="129" priority="11" operator="lessThan">
      <formula>$H$37</formula>
    </cfRule>
    <cfRule type="cellIs" dxfId="128" priority="12" operator="greaterThan">
      <formula>$H$36</formula>
    </cfRule>
  </conditionalFormatting>
  <conditionalFormatting sqref="E8:E11">
    <cfRule type="cellIs" dxfId="127" priority="9" operator="lessThan">
      <formula>$H$12</formula>
    </cfRule>
    <cfRule type="cellIs" dxfId="126" priority="10" operator="greaterThan">
      <formula>$H$11</formula>
    </cfRule>
  </conditionalFormatting>
  <conditionalFormatting sqref="Q8:Q11">
    <cfRule type="cellIs" dxfId="125" priority="5" operator="lessThan">
      <formula>$H$12</formula>
    </cfRule>
    <cfRule type="cellIs" dxfId="124" priority="6" operator="greaterThan">
      <formula>$H$11</formula>
    </cfRule>
  </conditionalFormatting>
  <conditionalFormatting sqref="S4:S6">
    <cfRule type="cellIs" dxfId="123" priority="3" operator="lessThan">
      <formula>$H$37</formula>
    </cfRule>
    <cfRule type="cellIs" dxfId="122" priority="4" operator="greaterThan">
      <formula>$H$36</formula>
    </cfRule>
  </conditionalFormatting>
  <conditionalFormatting sqref="S7:S9">
    <cfRule type="cellIs" dxfId="121" priority="1" operator="lessThan">
      <formula>$H$37</formula>
    </cfRule>
    <cfRule type="cellIs" dxfId="120" priority="2" operator="greaterThan">
      <formula>$H$36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E691-3B72-444B-9007-E41DAAACB779}">
  <dimension ref="A1:U47"/>
  <sheetViews>
    <sheetView topLeftCell="D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2.6139834373542659</v>
      </c>
      <c r="M2">
        <f>O10</f>
        <v>1.9774597569372436</v>
      </c>
      <c r="N2">
        <f>_xlfn.T.TEST(Q4:Q11,S4:S11,2,3)</f>
        <v>8.2530383945768074E-2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19.285</v>
      </c>
      <c r="E4">
        <v>5.0600000000000005</v>
      </c>
      <c r="F4">
        <f>AVERAGE(E4:E11)</f>
        <v>6.8199999999999985</v>
      </c>
      <c r="G4">
        <f>STDEV(E4:E11)</f>
        <v>1.5995736038975281</v>
      </c>
      <c r="Q4">
        <v>5.0600000000000005</v>
      </c>
      <c r="S4">
        <v>7.3349999999999973</v>
      </c>
    </row>
    <row r="5" spans="1:21">
      <c r="B5" s="5">
        <v>43251</v>
      </c>
      <c r="C5" t="s">
        <v>13</v>
      </c>
      <c r="D5">
        <v>19.29</v>
      </c>
      <c r="E5">
        <v>4.6149999999999984</v>
      </c>
      <c r="Q5">
        <v>4.6149999999999984</v>
      </c>
      <c r="S5">
        <v>7.1499999999999986</v>
      </c>
    </row>
    <row r="6" spans="1:21">
      <c r="B6" s="5">
        <v>43251</v>
      </c>
      <c r="C6" t="s">
        <v>34</v>
      </c>
      <c r="D6">
        <v>19.46</v>
      </c>
      <c r="E6">
        <v>5.2650000000000006</v>
      </c>
      <c r="K6" s="3" t="s">
        <v>14</v>
      </c>
      <c r="L6" s="3" t="s">
        <v>15</v>
      </c>
      <c r="M6" s="4"/>
      <c r="N6" s="4"/>
      <c r="O6" s="4"/>
      <c r="Q6">
        <v>5.2650000000000006</v>
      </c>
      <c r="S6">
        <v>6.0749999999999993</v>
      </c>
    </row>
    <row r="7" spans="1:21">
      <c r="B7" s="5">
        <v>43251</v>
      </c>
      <c r="C7" t="s">
        <v>16</v>
      </c>
      <c r="D7">
        <v>20.39</v>
      </c>
      <c r="E7">
        <v>6.9149999999999991</v>
      </c>
      <c r="G7" s="2" t="s">
        <v>17</v>
      </c>
      <c r="K7">
        <f>F4-F29</f>
        <v>-1.3862500000000004</v>
      </c>
      <c r="L7">
        <f>((G4)^2+(G29)^2)^(1/2)</f>
        <v>2.0920542706700029</v>
      </c>
      <c r="Q7">
        <v>6.9149999999999991</v>
      </c>
      <c r="S7">
        <v>7.5549999999999997</v>
      </c>
    </row>
    <row r="8" spans="1:21">
      <c r="B8" s="5">
        <v>43311</v>
      </c>
      <c r="C8" t="s">
        <v>47</v>
      </c>
      <c r="D8">
        <v>21.11</v>
      </c>
      <c r="E8">
        <v>7.9699999999999989</v>
      </c>
      <c r="G8" t="s">
        <v>18</v>
      </c>
      <c r="H8">
        <f>QUARTILE(E4:E11,3)</f>
        <v>8.1074999999999982</v>
      </c>
      <c r="Q8">
        <v>7.9699999999999989</v>
      </c>
      <c r="S8">
        <v>8.89</v>
      </c>
    </row>
    <row r="9" spans="1:21">
      <c r="B9" s="5">
        <v>43311</v>
      </c>
      <c r="C9" t="s">
        <v>48</v>
      </c>
      <c r="D9">
        <v>21.97</v>
      </c>
      <c r="E9">
        <v>8.1049999999999986</v>
      </c>
      <c r="G9" t="s">
        <v>19</v>
      </c>
      <c r="H9">
        <f>QUARTILE(E4:E11,1)</f>
        <v>5.213750000000001</v>
      </c>
      <c r="M9" s="2" t="s">
        <v>1</v>
      </c>
      <c r="N9" s="2" t="s">
        <v>20</v>
      </c>
      <c r="O9" s="2" t="s">
        <v>21</v>
      </c>
      <c r="Q9">
        <v>8.1049999999999986</v>
      </c>
      <c r="S9">
        <v>9.5100000000000016</v>
      </c>
    </row>
    <row r="10" spans="1:21">
      <c r="B10" s="5">
        <v>43311</v>
      </c>
      <c r="C10" t="s">
        <v>49</v>
      </c>
      <c r="D10">
        <v>22.97</v>
      </c>
      <c r="E10">
        <v>8.1149999999999984</v>
      </c>
      <c r="G10" t="s">
        <v>22</v>
      </c>
      <c r="H10">
        <f>H8-H9</f>
        <v>2.8937499999999972</v>
      </c>
      <c r="K10" t="s">
        <v>23</v>
      </c>
      <c r="L10">
        <f>K7+L7</f>
        <v>0.70580427067000251</v>
      </c>
      <c r="M10">
        <f>(2^-L10)</f>
        <v>0.61310060327317073</v>
      </c>
      <c r="N10">
        <f>STDEV(M10:M12)</f>
        <v>5.5931008146153083</v>
      </c>
      <c r="O10">
        <f>N10/((8)^(1/2))</f>
        <v>1.9774597569372436</v>
      </c>
      <c r="Q10">
        <v>8.1149999999999984</v>
      </c>
      <c r="S10">
        <v>9.4899999999999984</v>
      </c>
    </row>
    <row r="11" spans="1:21">
      <c r="B11" s="5">
        <v>43311</v>
      </c>
      <c r="C11" t="s">
        <v>50</v>
      </c>
      <c r="D11">
        <v>22.424999999999997</v>
      </c>
      <c r="E11">
        <v>8.514999999999997</v>
      </c>
      <c r="G11" t="s">
        <v>24</v>
      </c>
      <c r="H11">
        <f>H8+1.5*H10</f>
        <v>12.448124999999994</v>
      </c>
      <c r="K11" t="s">
        <v>14</v>
      </c>
      <c r="L11">
        <f>K7</f>
        <v>-1.3862500000000004</v>
      </c>
      <c r="M11">
        <f>(2^-L11)</f>
        <v>2.6139834373542659</v>
      </c>
      <c r="Q11">
        <v>8.514999999999997</v>
      </c>
      <c r="S11">
        <v>9.6449999999999978</v>
      </c>
    </row>
    <row r="12" spans="1:21">
      <c r="B12" s="5"/>
      <c r="G12" t="s">
        <v>25</v>
      </c>
      <c r="H12">
        <f>H9-1.5*H10</f>
        <v>0.87312500000000526</v>
      </c>
      <c r="K12" t="s">
        <v>26</v>
      </c>
      <c r="L12">
        <f>K7-L7</f>
        <v>-3.4783042706700034</v>
      </c>
      <c r="M12">
        <f>(2^-L12)</f>
        <v>11.144842093260799</v>
      </c>
    </row>
    <row r="13" spans="1:21">
      <c r="B13" s="5"/>
    </row>
    <row r="14" spans="1:21">
      <c r="B14" s="5"/>
      <c r="G14" s="2" t="s">
        <v>27</v>
      </c>
      <c r="H14">
        <f>STDEV(D4:D11)</f>
        <v>1.4794931564559526</v>
      </c>
      <c r="N14" s="2" t="s">
        <v>28</v>
      </c>
    </row>
    <row r="15" spans="1:21">
      <c r="B15" s="5"/>
      <c r="N15">
        <f>LN(2)/(2^L11)*L7</f>
        <v>3.7905413539149575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20.619999999999997</v>
      </c>
      <c r="E29">
        <v>7.3349999999999973</v>
      </c>
      <c r="F29">
        <f>AVERAGE(E29:E36)</f>
        <v>8.2062499999999989</v>
      </c>
      <c r="G29">
        <f>STDEV(E29:E36)</f>
        <v>1.3483528311027762</v>
      </c>
    </row>
    <row r="30" spans="1:17">
      <c r="B30" s="5">
        <v>43251</v>
      </c>
      <c r="C30" t="s">
        <v>31</v>
      </c>
      <c r="D30">
        <v>20.86</v>
      </c>
      <c r="E30">
        <v>7.1499999999999986</v>
      </c>
      <c r="F30" s="6" t="s">
        <v>46</v>
      </c>
    </row>
    <row r="31" spans="1:17">
      <c r="B31" s="5">
        <v>43251</v>
      </c>
      <c r="C31" t="s">
        <v>32</v>
      </c>
      <c r="D31">
        <v>21.29</v>
      </c>
      <c r="E31">
        <v>6.0749999999999993</v>
      </c>
    </row>
    <row r="32" spans="1:17">
      <c r="B32" s="5">
        <v>43251</v>
      </c>
      <c r="C32" t="s">
        <v>33</v>
      </c>
      <c r="D32">
        <v>21.305</v>
      </c>
      <c r="E32">
        <v>7.5549999999999997</v>
      </c>
      <c r="G32" s="2" t="s">
        <v>17</v>
      </c>
    </row>
    <row r="33" spans="2:8">
      <c r="B33" s="5">
        <v>43311</v>
      </c>
      <c r="C33" t="s">
        <v>51</v>
      </c>
      <c r="D33">
        <v>23.14</v>
      </c>
      <c r="E33">
        <v>8.89</v>
      </c>
      <c r="G33" t="s">
        <v>18</v>
      </c>
      <c r="H33">
        <f>QUARTILE(E29:E36,3)</f>
        <v>9.4949999999999992</v>
      </c>
    </row>
    <row r="34" spans="2:8">
      <c r="B34" s="5">
        <v>43311</v>
      </c>
      <c r="C34" t="s">
        <v>52</v>
      </c>
      <c r="D34">
        <v>23.865000000000002</v>
      </c>
      <c r="E34">
        <v>9.5100000000000016</v>
      </c>
      <c r="G34" t="s">
        <v>19</v>
      </c>
      <c r="H34">
        <f>QUARTILE(E29:E36,1)</f>
        <v>7.2887499999999976</v>
      </c>
    </row>
    <row r="35" spans="2:8">
      <c r="B35" s="5">
        <v>43311</v>
      </c>
      <c r="C35" t="s">
        <v>53</v>
      </c>
      <c r="D35">
        <v>23.914999999999999</v>
      </c>
      <c r="E35">
        <v>9.4899999999999984</v>
      </c>
      <c r="G35" t="s">
        <v>22</v>
      </c>
      <c r="H35">
        <f>H33-H34</f>
        <v>2.2062500000000016</v>
      </c>
    </row>
    <row r="36" spans="2:8">
      <c r="B36" s="5">
        <v>43311</v>
      </c>
      <c r="C36" t="s">
        <v>54</v>
      </c>
      <c r="D36">
        <v>24.454999999999998</v>
      </c>
      <c r="E36">
        <v>9.6449999999999978</v>
      </c>
      <c r="G36" t="s">
        <v>24</v>
      </c>
      <c r="H36">
        <f>H33+1.5*H35</f>
        <v>12.804375000000002</v>
      </c>
    </row>
    <row r="37" spans="2:8">
      <c r="B37" s="5"/>
      <c r="G37" t="s">
        <v>25</v>
      </c>
      <c r="H37">
        <f>H34-1.5*H35</f>
        <v>3.9793749999999952</v>
      </c>
    </row>
    <row r="38" spans="2:8">
      <c r="B38" s="5"/>
    </row>
    <row r="39" spans="2:8">
      <c r="B39" s="5"/>
      <c r="G39" s="2" t="s">
        <v>27</v>
      </c>
      <c r="H39">
        <f>STDEV(D29:D36)</f>
        <v>1.5664056900159318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19" priority="17" operator="lessThan">
      <formula>$H$12</formula>
    </cfRule>
    <cfRule type="cellIs" dxfId="118" priority="18" operator="greaterThan">
      <formula>$H$11</formula>
    </cfRule>
  </conditionalFormatting>
  <conditionalFormatting sqref="E29:E32">
    <cfRule type="cellIs" dxfId="117" priority="15" operator="lessThan">
      <formula>$H$37</formula>
    </cfRule>
    <cfRule type="cellIs" dxfId="116" priority="16" operator="greaterThan">
      <formula>$H$36</formula>
    </cfRule>
  </conditionalFormatting>
  <conditionalFormatting sqref="Q4:Q7">
    <cfRule type="cellIs" dxfId="115" priority="3" operator="lessThan">
      <formula>$H$12</formula>
    </cfRule>
    <cfRule type="cellIs" dxfId="114" priority="4" operator="greaterThan">
      <formula>$H$11</formula>
    </cfRule>
  </conditionalFormatting>
  <conditionalFormatting sqref="S4:S7">
    <cfRule type="cellIs" dxfId="113" priority="1" operator="lessThan">
      <formula>$H$37</formula>
    </cfRule>
    <cfRule type="cellIs" dxfId="112" priority="2" operator="greaterThan">
      <formula>$H$36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4E5C-36A1-7F40-B2B0-5A025B70251E}">
  <dimension ref="A1:U47"/>
  <sheetViews>
    <sheetView topLeftCell="D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2.6038114819485743</v>
      </c>
      <c r="M2">
        <f>O10</f>
        <v>1.751436053298006</v>
      </c>
      <c r="N2">
        <f>_xlfn.T.TEST(Q4:Q11,S4:S11,2,3)</f>
        <v>6.4900244280174726E-2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19.285</v>
      </c>
      <c r="E4">
        <v>0.15000000000000213</v>
      </c>
      <c r="F4">
        <f>AVERAGE(E4:E11)</f>
        <v>1.7287499999999998</v>
      </c>
      <c r="G4">
        <f>STDEV(E4:E11)</f>
        <v>1.3950236813146102</v>
      </c>
      <c r="Q4">
        <v>0.15000000000000213</v>
      </c>
      <c r="S4">
        <v>2.0749999999999957</v>
      </c>
    </row>
    <row r="5" spans="1:21">
      <c r="B5" s="5">
        <v>43251</v>
      </c>
      <c r="C5" t="s">
        <v>13</v>
      </c>
      <c r="D5">
        <v>19.29</v>
      </c>
      <c r="E5">
        <v>-0.10500000000000043</v>
      </c>
      <c r="Q5">
        <v>-0.10500000000000043</v>
      </c>
      <c r="S5">
        <v>1.8549999999999969</v>
      </c>
    </row>
    <row r="6" spans="1:21">
      <c r="B6" s="5">
        <v>43251</v>
      </c>
      <c r="C6" t="s">
        <v>34</v>
      </c>
      <c r="D6">
        <v>19.46</v>
      </c>
      <c r="E6">
        <v>0.38000000000000256</v>
      </c>
      <c r="K6" s="3" t="s">
        <v>14</v>
      </c>
      <c r="L6" s="3" t="s">
        <v>15</v>
      </c>
      <c r="M6" s="4"/>
      <c r="N6" s="4"/>
      <c r="O6" s="4"/>
      <c r="Q6">
        <v>0.38000000000000256</v>
      </c>
      <c r="S6">
        <v>1.2799999999999976</v>
      </c>
    </row>
    <row r="7" spans="1:21">
      <c r="B7" s="5">
        <v>43251</v>
      </c>
      <c r="C7" t="s">
        <v>16</v>
      </c>
      <c r="D7">
        <v>20.39</v>
      </c>
      <c r="E7">
        <v>1.6600000000000001</v>
      </c>
      <c r="G7" s="2" t="s">
        <v>17</v>
      </c>
      <c r="K7">
        <f>F4-F29</f>
        <v>-1.3806249999999989</v>
      </c>
      <c r="L7">
        <f>((G4)^2+(G29)^2)^(1/2)</f>
        <v>1.949216303140463</v>
      </c>
      <c r="Q7">
        <v>1.6600000000000001</v>
      </c>
      <c r="S7">
        <v>2.3549999999999969</v>
      </c>
    </row>
    <row r="8" spans="1:21">
      <c r="B8" s="5">
        <v>43311</v>
      </c>
      <c r="C8" t="s">
        <v>47</v>
      </c>
      <c r="D8">
        <v>21.11</v>
      </c>
      <c r="E8">
        <v>2.75</v>
      </c>
      <c r="G8" t="s">
        <v>18</v>
      </c>
      <c r="H8">
        <f>QUARTILE(E4:E11,3)</f>
        <v>2.8699999999999974</v>
      </c>
      <c r="Q8">
        <v>2.75</v>
      </c>
      <c r="S8">
        <v>3.745000000000001</v>
      </c>
    </row>
    <row r="9" spans="1:21">
      <c r="B9" s="5">
        <v>43311</v>
      </c>
      <c r="C9" t="s">
        <v>48</v>
      </c>
      <c r="D9">
        <v>21.97</v>
      </c>
      <c r="E9">
        <v>2.9600000000000009</v>
      </c>
      <c r="G9" t="s">
        <v>19</v>
      </c>
      <c r="H9">
        <f>QUARTILE(E4:E11,1)</f>
        <v>0.32250000000000245</v>
      </c>
      <c r="M9" s="2" t="s">
        <v>1</v>
      </c>
      <c r="N9" s="2" t="s">
        <v>20</v>
      </c>
      <c r="O9" s="2" t="s">
        <v>21</v>
      </c>
      <c r="Q9">
        <v>2.9600000000000009</v>
      </c>
      <c r="S9">
        <v>4.4550000000000018</v>
      </c>
    </row>
    <row r="10" spans="1:21">
      <c r="B10" s="5">
        <v>43311</v>
      </c>
      <c r="C10" t="s">
        <v>49</v>
      </c>
      <c r="D10">
        <v>22.97</v>
      </c>
      <c r="E10">
        <v>2.8399999999999963</v>
      </c>
      <c r="G10" t="s">
        <v>22</v>
      </c>
      <c r="H10">
        <f>H8-H9</f>
        <v>2.547499999999995</v>
      </c>
      <c r="K10" t="s">
        <v>23</v>
      </c>
      <c r="L10">
        <f>K7+L7</f>
        <v>0.56859130314046413</v>
      </c>
      <c r="M10">
        <f>(2^-L10)</f>
        <v>0.67427485216649319</v>
      </c>
      <c r="N10">
        <f>STDEV(M10:M12)</f>
        <v>4.9538092404064944</v>
      </c>
      <c r="O10">
        <f>N10/((8)^(1/2))</f>
        <v>1.751436053298006</v>
      </c>
      <c r="Q10">
        <v>2.8399999999999963</v>
      </c>
      <c r="S10">
        <v>4.4549999999999983</v>
      </c>
    </row>
    <row r="11" spans="1:21">
      <c r="B11" s="5">
        <v>43311</v>
      </c>
      <c r="C11" t="s">
        <v>50</v>
      </c>
      <c r="D11">
        <v>22.424999999999997</v>
      </c>
      <c r="E11">
        <v>3.1949999999999967</v>
      </c>
      <c r="G11" t="s">
        <v>24</v>
      </c>
      <c r="H11">
        <f>H8+1.5*H10</f>
        <v>6.6912499999999895</v>
      </c>
      <c r="K11" t="s">
        <v>14</v>
      </c>
      <c r="L11">
        <f>K7</f>
        <v>-1.3806249999999989</v>
      </c>
      <c r="M11">
        <f>(2^-L11)</f>
        <v>2.6038114819485743</v>
      </c>
      <c r="Q11">
        <v>3.1949999999999967</v>
      </c>
      <c r="S11">
        <v>4.6550000000000011</v>
      </c>
    </row>
    <row r="12" spans="1:21">
      <c r="B12" s="5"/>
      <c r="G12" t="s">
        <v>25</v>
      </c>
      <c r="H12">
        <f>H9-1.5*H10</f>
        <v>-3.49874999999999</v>
      </c>
      <c r="K12" t="s">
        <v>26</v>
      </c>
      <c r="L12">
        <f>K7-L7</f>
        <v>-3.3298413031404621</v>
      </c>
      <c r="M12">
        <f>(2^-L12)</f>
        <v>10.055000882419298</v>
      </c>
    </row>
    <row r="13" spans="1:21">
      <c r="B13" s="5"/>
    </row>
    <row r="14" spans="1:21">
      <c r="B14" s="5"/>
      <c r="G14" s="2" t="s">
        <v>27</v>
      </c>
      <c r="H14">
        <f>STDEV(D4:D11)</f>
        <v>1.4794931564559526</v>
      </c>
      <c r="N14" s="2" t="s">
        <v>28</v>
      </c>
    </row>
    <row r="15" spans="1:21">
      <c r="B15" s="5"/>
      <c r="N15">
        <f>LN(2)/(2^L11)*L7</f>
        <v>3.5179935101122433</v>
      </c>
    </row>
    <row r="16" spans="1:21">
      <c r="B16" s="5"/>
    </row>
    <row r="17" spans="1:17">
      <c r="B17" s="5"/>
    </row>
    <row r="18" spans="1:17">
      <c r="B18" s="5"/>
      <c r="E18">
        <f>AVERAGE(E4:E7)-AVERAGE(E29:E32)</f>
        <v>-1.3699999999999957</v>
      </c>
    </row>
    <row r="19" spans="1:17">
      <c r="B19" s="5"/>
      <c r="E19">
        <f>AVERAGE(E8:E11)-AVERAGE(E33:E36)</f>
        <v>-1.3912500000000021</v>
      </c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20.619999999999997</v>
      </c>
      <c r="E29">
        <v>2.0749999999999957</v>
      </c>
      <c r="F29">
        <f>AVERAGE(E29:E36)</f>
        <v>3.1093749999999987</v>
      </c>
      <c r="G29">
        <f>STDEV(E29:E36)</f>
        <v>1.361379126107054</v>
      </c>
    </row>
    <row r="30" spans="1:17">
      <c r="B30" s="5">
        <v>43251</v>
      </c>
      <c r="C30" t="s">
        <v>31</v>
      </c>
      <c r="D30">
        <v>20.86</v>
      </c>
      <c r="E30">
        <v>1.8549999999999969</v>
      </c>
    </row>
    <row r="31" spans="1:17">
      <c r="B31" s="5">
        <v>43251</v>
      </c>
      <c r="C31" t="s">
        <v>32</v>
      </c>
      <c r="D31">
        <v>21.29</v>
      </c>
      <c r="E31">
        <v>1.2799999999999976</v>
      </c>
    </row>
    <row r="32" spans="1:17">
      <c r="B32" s="5">
        <v>43251</v>
      </c>
      <c r="C32" t="s">
        <v>33</v>
      </c>
      <c r="D32">
        <v>21.305</v>
      </c>
      <c r="E32">
        <v>2.3549999999999969</v>
      </c>
      <c r="G32" s="2" t="s">
        <v>17</v>
      </c>
    </row>
    <row r="33" spans="2:8">
      <c r="B33" s="5">
        <v>43311</v>
      </c>
      <c r="C33" t="s">
        <v>51</v>
      </c>
      <c r="D33">
        <v>23.14</v>
      </c>
      <c r="E33">
        <v>3.745000000000001</v>
      </c>
      <c r="G33" t="s">
        <v>18</v>
      </c>
      <c r="H33">
        <f>QUARTILE(E29:E36,3)</f>
        <v>4.4549999999999992</v>
      </c>
    </row>
    <row r="34" spans="2:8">
      <c r="B34" s="5">
        <v>43311</v>
      </c>
      <c r="C34" t="s">
        <v>52</v>
      </c>
      <c r="D34">
        <v>23.865000000000002</v>
      </c>
      <c r="E34">
        <v>4.4550000000000018</v>
      </c>
      <c r="G34" t="s">
        <v>19</v>
      </c>
      <c r="H34">
        <f>QUARTILE(E29:E36,1)</f>
        <v>2.019999999999996</v>
      </c>
    </row>
    <row r="35" spans="2:8">
      <c r="B35" s="5">
        <v>43311</v>
      </c>
      <c r="C35" t="s">
        <v>53</v>
      </c>
      <c r="D35">
        <v>23.914999999999999</v>
      </c>
      <c r="E35">
        <v>4.4549999999999983</v>
      </c>
      <c r="G35" t="s">
        <v>22</v>
      </c>
      <c r="H35">
        <f>H33-H34</f>
        <v>2.4350000000000032</v>
      </c>
    </row>
    <row r="36" spans="2:8">
      <c r="B36" s="5">
        <v>43311</v>
      </c>
      <c r="C36" t="s">
        <v>54</v>
      </c>
      <c r="D36">
        <v>24.454999999999998</v>
      </c>
      <c r="E36">
        <v>4.6550000000000011</v>
      </c>
      <c r="G36" t="s">
        <v>24</v>
      </c>
      <c r="H36">
        <f>H33+1.5*H35</f>
        <v>8.1075000000000035</v>
      </c>
    </row>
    <row r="37" spans="2:8">
      <c r="B37" s="5"/>
      <c r="G37" t="s">
        <v>25</v>
      </c>
      <c r="H37">
        <f>H34-1.5*H35</f>
        <v>-1.6325000000000087</v>
      </c>
    </row>
    <row r="38" spans="2:8">
      <c r="B38" s="5"/>
    </row>
    <row r="39" spans="2:8">
      <c r="B39" s="5"/>
      <c r="G39" s="2" t="s">
        <v>27</v>
      </c>
      <c r="H39">
        <f>STDEV(D29:D36)</f>
        <v>1.5664056900159318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11" priority="19" operator="lessThan">
      <formula>$H$12</formula>
    </cfRule>
    <cfRule type="cellIs" dxfId="110" priority="20" operator="greaterThan">
      <formula>$H$11</formula>
    </cfRule>
  </conditionalFormatting>
  <conditionalFormatting sqref="E29:E32">
    <cfRule type="cellIs" dxfId="109" priority="17" operator="lessThan">
      <formula>$H$37</formula>
    </cfRule>
    <cfRule type="cellIs" dxfId="108" priority="18" operator="greaterThan">
      <formula>$H$36</formula>
    </cfRule>
  </conditionalFormatting>
  <conditionalFormatting sqref="Q4:Q7">
    <cfRule type="cellIs" dxfId="107" priority="3" operator="lessThan">
      <formula>$H$12</formula>
    </cfRule>
    <cfRule type="cellIs" dxfId="106" priority="4" operator="greaterThan">
      <formula>$H$11</formula>
    </cfRule>
  </conditionalFormatting>
  <conditionalFormatting sqref="S4:S7">
    <cfRule type="cellIs" dxfId="105" priority="1" operator="lessThan">
      <formula>$H$37</formula>
    </cfRule>
    <cfRule type="cellIs" dxfId="104" priority="2" operator="greaterThan">
      <formula>$H$36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3EC-E18B-4142-B41E-D4F45D7E9CE4}">
  <dimension ref="A1:U47"/>
  <sheetViews>
    <sheetView topLeftCell="E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-1.1047730256347488</v>
      </c>
      <c r="M2">
        <f>O10</f>
        <v>9.8506851058369246E-2</v>
      </c>
      <c r="N2">
        <f>_xlfn.T.TEST(Q4:Q11,S4:S11,2,3)</f>
        <v>0.28051457543292818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20.189999999999998</v>
      </c>
      <c r="E4">
        <v>5.9649999999999981</v>
      </c>
      <c r="F4">
        <f>AVERAGE(E4:E11)</f>
        <v>5.7024999999999988</v>
      </c>
      <c r="G4">
        <f>STDEV(E4:E11)</f>
        <v>0.30634947364080767</v>
      </c>
      <c r="Q4">
        <v>5.9649999999999981</v>
      </c>
      <c r="S4">
        <v>5.7199999999999989</v>
      </c>
    </row>
    <row r="5" spans="1:21">
      <c r="B5" s="5">
        <v>43251</v>
      </c>
      <c r="C5" t="s">
        <v>13</v>
      </c>
      <c r="D5">
        <v>20.439999999999998</v>
      </c>
      <c r="E5">
        <v>5.764999999999997</v>
      </c>
      <c r="Q5">
        <v>5.764999999999997</v>
      </c>
      <c r="S5">
        <v>5.7349999999999994</v>
      </c>
    </row>
    <row r="6" spans="1:21">
      <c r="B6" s="5">
        <v>43251</v>
      </c>
      <c r="C6" t="s">
        <v>34</v>
      </c>
      <c r="D6">
        <v>20.02</v>
      </c>
      <c r="E6">
        <v>5.8249999999999993</v>
      </c>
      <c r="K6" s="3" t="s">
        <v>14</v>
      </c>
      <c r="L6" s="3" t="s">
        <v>15</v>
      </c>
      <c r="M6" s="4"/>
      <c r="N6" s="4"/>
      <c r="O6" s="4"/>
      <c r="Q6">
        <v>5.8249999999999993</v>
      </c>
      <c r="S6">
        <v>5.43</v>
      </c>
    </row>
    <row r="7" spans="1:21">
      <c r="B7" s="5">
        <v>43251</v>
      </c>
      <c r="C7" t="s">
        <v>16</v>
      </c>
      <c r="D7">
        <v>18.734999999999999</v>
      </c>
      <c r="E7">
        <v>5.259999999999998</v>
      </c>
      <c r="G7" s="2" t="s">
        <v>17</v>
      </c>
      <c r="K7">
        <f>F4-F29</f>
        <v>0.14374999999999982</v>
      </c>
      <c r="L7">
        <f>((G4)^2+(G29)^2)^(1/2)</f>
        <v>0.35919304399882573</v>
      </c>
      <c r="Q7">
        <v>5.259999999999998</v>
      </c>
      <c r="S7">
        <v>5.4149999999999991</v>
      </c>
    </row>
    <row r="8" spans="1:21">
      <c r="B8" s="5">
        <v>43311</v>
      </c>
      <c r="C8" t="s">
        <v>47</v>
      </c>
      <c r="D8">
        <v>18.795000000000002</v>
      </c>
      <c r="E8">
        <v>5.6550000000000011</v>
      </c>
      <c r="G8" t="s">
        <v>18</v>
      </c>
      <c r="H8">
        <f>QUARTILE(E4:E11,3)</f>
        <v>5.9537499999999994</v>
      </c>
      <c r="Q8">
        <v>5.6550000000000011</v>
      </c>
      <c r="S8">
        <v>5.240000000000002</v>
      </c>
    </row>
    <row r="9" spans="1:21">
      <c r="B9" s="5">
        <v>43311</v>
      </c>
      <c r="C9" t="s">
        <v>48</v>
      </c>
      <c r="D9">
        <v>19.085000000000001</v>
      </c>
      <c r="E9">
        <v>5.2200000000000006</v>
      </c>
      <c r="G9" t="s">
        <v>19</v>
      </c>
      <c r="H9">
        <f>QUARTILE(E4:E11,1)</f>
        <v>5.5562500000000004</v>
      </c>
      <c r="M9" s="2" t="s">
        <v>1</v>
      </c>
      <c r="N9" s="2" t="s">
        <v>20</v>
      </c>
      <c r="O9" s="2" t="s">
        <v>21</v>
      </c>
      <c r="Q9">
        <v>5.2200000000000006</v>
      </c>
      <c r="S9">
        <v>5.7799999999999976</v>
      </c>
    </row>
    <row r="10" spans="1:21">
      <c r="B10" s="5">
        <v>43311</v>
      </c>
      <c r="C10" t="s">
        <v>49</v>
      </c>
      <c r="D10">
        <v>20.835000000000001</v>
      </c>
      <c r="E10">
        <v>5.98</v>
      </c>
      <c r="G10" t="s">
        <v>22</v>
      </c>
      <c r="H10">
        <f>H8-H9</f>
        <v>0.39749999999999908</v>
      </c>
      <c r="K10" t="s">
        <v>23</v>
      </c>
      <c r="L10">
        <f>K7+L7</f>
        <v>0.50294304399882561</v>
      </c>
      <c r="M10">
        <f>-1/(2^-L10)</f>
        <v>-1.4171014498093011</v>
      </c>
      <c r="N10">
        <f>STDEV(M10:M12)</f>
        <v>0.27861944950682455</v>
      </c>
      <c r="O10">
        <f>N10/((8)^(1/2))</f>
        <v>9.8506851058369246E-2</v>
      </c>
      <c r="Q10">
        <v>5.98</v>
      </c>
      <c r="S10">
        <v>5.5949999999999989</v>
      </c>
    </row>
    <row r="11" spans="1:21">
      <c r="B11" s="5">
        <v>43311</v>
      </c>
      <c r="C11" t="s">
        <v>50</v>
      </c>
      <c r="D11">
        <v>19.86</v>
      </c>
      <c r="E11">
        <v>5.9499999999999993</v>
      </c>
      <c r="G11" t="s">
        <v>24</v>
      </c>
      <c r="H11">
        <f>H8+1.5*H10</f>
        <v>6.549999999999998</v>
      </c>
      <c r="K11" t="s">
        <v>14</v>
      </c>
      <c r="L11">
        <f>K7</f>
        <v>0.14374999999999982</v>
      </c>
      <c r="M11">
        <f>-1/(2^-L11)</f>
        <v>-1.1047730256347488</v>
      </c>
      <c r="Q11">
        <v>5.9499999999999993</v>
      </c>
      <c r="S11">
        <v>5.5550000000000015</v>
      </c>
    </row>
    <row r="12" spans="1:21">
      <c r="B12" s="5"/>
      <c r="G12" t="s">
        <v>25</v>
      </c>
      <c r="H12">
        <f>H9-1.5*H10</f>
        <v>4.9600000000000017</v>
      </c>
      <c r="K12" t="s">
        <v>26</v>
      </c>
      <c r="L12">
        <f>K7-L7</f>
        <v>-0.21544304399882591</v>
      </c>
      <c r="M12">
        <f>-1/(2^-L12)</f>
        <v>-0.86128162407455211</v>
      </c>
    </row>
    <row r="13" spans="1:21">
      <c r="B13" s="5"/>
    </row>
    <row r="14" spans="1:21">
      <c r="B14" s="5"/>
      <c r="G14" s="2" t="s">
        <v>27</v>
      </c>
      <c r="H14">
        <f>STDEV(D4:D11)</f>
        <v>0.78523881717602262</v>
      </c>
      <c r="N14" s="2" t="s">
        <v>28</v>
      </c>
    </row>
    <row r="15" spans="1:21">
      <c r="B15" s="5"/>
      <c r="N15">
        <f>LN(2)/(2^L11)*L7</f>
        <v>0.22536180731013261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19.004999999999999</v>
      </c>
      <c r="E29">
        <v>5.7199999999999989</v>
      </c>
      <c r="F29">
        <f>AVERAGE(E29:E36)</f>
        <v>5.558749999999999</v>
      </c>
      <c r="G29">
        <f>STDEV(E29:E36)</f>
        <v>0.18753571088500043</v>
      </c>
    </row>
    <row r="30" spans="1:17">
      <c r="B30" s="5">
        <v>43251</v>
      </c>
      <c r="C30" t="s">
        <v>31</v>
      </c>
      <c r="D30">
        <v>19.445</v>
      </c>
      <c r="E30">
        <v>5.7349999999999994</v>
      </c>
    </row>
    <row r="31" spans="1:17">
      <c r="B31" s="5">
        <v>43251</v>
      </c>
      <c r="C31" t="s">
        <v>32</v>
      </c>
      <c r="D31">
        <v>20.645</v>
      </c>
      <c r="E31">
        <v>5.43</v>
      </c>
    </row>
    <row r="32" spans="1:17">
      <c r="B32" s="5">
        <v>43251</v>
      </c>
      <c r="C32" t="s">
        <v>33</v>
      </c>
      <c r="D32">
        <v>19.164999999999999</v>
      </c>
      <c r="E32">
        <v>5.4149999999999991</v>
      </c>
      <c r="G32" s="2" t="s">
        <v>17</v>
      </c>
    </row>
    <row r="33" spans="2:8">
      <c r="B33" s="5">
        <v>43311</v>
      </c>
      <c r="C33" t="s">
        <v>51</v>
      </c>
      <c r="D33">
        <v>19.490000000000002</v>
      </c>
      <c r="E33">
        <v>5.240000000000002</v>
      </c>
      <c r="G33" t="s">
        <v>18</v>
      </c>
      <c r="H33">
        <f>QUARTILE(E29:E36,3)</f>
        <v>5.723749999999999</v>
      </c>
    </row>
    <row r="34" spans="2:8">
      <c r="B34" s="5">
        <v>43311</v>
      </c>
      <c r="C34" t="s">
        <v>52</v>
      </c>
      <c r="D34">
        <v>20.134999999999998</v>
      </c>
      <c r="E34">
        <v>5.7799999999999976</v>
      </c>
      <c r="G34" t="s">
        <v>19</v>
      </c>
      <c r="H34">
        <f>QUARTILE(E29:E36,1)</f>
        <v>5.4262499999999996</v>
      </c>
    </row>
    <row r="35" spans="2:8">
      <c r="B35" s="5">
        <v>43311</v>
      </c>
      <c r="C35" t="s">
        <v>53</v>
      </c>
      <c r="D35">
        <v>20.02</v>
      </c>
      <c r="E35">
        <v>5.5949999999999989</v>
      </c>
      <c r="G35" t="s">
        <v>22</v>
      </c>
      <c r="H35">
        <f>H33-H34</f>
        <v>0.29749999999999943</v>
      </c>
    </row>
    <row r="36" spans="2:8">
      <c r="B36" s="5">
        <v>43311</v>
      </c>
      <c r="C36" t="s">
        <v>54</v>
      </c>
      <c r="D36">
        <v>20.365000000000002</v>
      </c>
      <c r="E36">
        <v>5.5550000000000015</v>
      </c>
      <c r="G36" t="s">
        <v>24</v>
      </c>
      <c r="H36">
        <f>H33+1.5*H35</f>
        <v>6.1699999999999982</v>
      </c>
    </row>
    <row r="37" spans="2:8">
      <c r="B37" s="5"/>
      <c r="G37" t="s">
        <v>25</v>
      </c>
      <c r="H37">
        <f>H34-1.5*H35</f>
        <v>4.9800000000000004</v>
      </c>
    </row>
    <row r="38" spans="2:8">
      <c r="B38" s="5"/>
    </row>
    <row r="39" spans="2:8">
      <c r="B39" s="5"/>
      <c r="G39" s="2" t="s">
        <v>27</v>
      </c>
      <c r="H39">
        <f>STDEV(D29:D36)</f>
        <v>0.59150383406558393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103" priority="25" operator="lessThan">
      <formula>$H$12</formula>
    </cfRule>
    <cfRule type="cellIs" dxfId="102" priority="26" operator="greaterThan">
      <formula>$H$11</formula>
    </cfRule>
  </conditionalFormatting>
  <conditionalFormatting sqref="E29:E32">
    <cfRule type="cellIs" dxfId="101" priority="23" operator="lessThan">
      <formula>$H$37</formula>
    </cfRule>
    <cfRule type="cellIs" dxfId="100" priority="24" operator="greaterThan">
      <formula>$H$36</formula>
    </cfRule>
  </conditionalFormatting>
  <conditionalFormatting sqref="Q4:Q7">
    <cfRule type="cellIs" dxfId="99" priority="7" operator="lessThan">
      <formula>$H$12</formula>
    </cfRule>
    <cfRule type="cellIs" dxfId="98" priority="8" operator="greaterThan">
      <formula>$H$11</formula>
    </cfRule>
  </conditionalFormatting>
  <conditionalFormatting sqref="E33:E36">
    <cfRule type="cellIs" dxfId="97" priority="9" operator="lessThan">
      <formula>$H$37</formula>
    </cfRule>
    <cfRule type="cellIs" dxfId="96" priority="10" operator="greaterThan">
      <formula>$H$36</formula>
    </cfRule>
  </conditionalFormatting>
  <conditionalFormatting sqref="E8:E11">
    <cfRule type="cellIs" dxfId="95" priority="11" operator="lessThan">
      <formula>$H$12</formula>
    </cfRule>
    <cfRule type="cellIs" dxfId="94" priority="12" operator="greaterThan">
      <formula>$H$11</formula>
    </cfRule>
  </conditionalFormatting>
  <conditionalFormatting sqref="Q8:Q11">
    <cfRule type="cellIs" dxfId="93" priority="5" operator="lessThan">
      <formula>$H$12</formula>
    </cfRule>
    <cfRule type="cellIs" dxfId="92" priority="6" operator="greaterThan">
      <formula>$H$11</formula>
    </cfRule>
  </conditionalFormatting>
  <conditionalFormatting sqref="S4:S7">
    <cfRule type="cellIs" dxfId="91" priority="3" operator="lessThan">
      <formula>$H$37</formula>
    </cfRule>
    <cfRule type="cellIs" dxfId="90" priority="4" operator="greaterThan">
      <formula>$H$36</formula>
    </cfRule>
  </conditionalFormatting>
  <conditionalFormatting sqref="S8:S11">
    <cfRule type="cellIs" dxfId="89" priority="1" operator="lessThan">
      <formula>$H$37</formula>
    </cfRule>
    <cfRule type="cellIs" dxfId="88" priority="2" operator="greaterThan">
      <formula>$H$36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704-9B78-E34D-98FC-9ACF828ECE73}">
  <dimension ref="A1:U47"/>
  <sheetViews>
    <sheetView topLeftCell="D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-1.1090888918286241</v>
      </c>
      <c r="M2">
        <f>O10</f>
        <v>0.1287024573182409</v>
      </c>
      <c r="N2">
        <f>_xlfn.T.TEST(Q4:Q11,S4:S11,2,3)</f>
        <v>0.38253447413919983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20.189999999999998</v>
      </c>
      <c r="E4">
        <v>1.0549999999999997</v>
      </c>
      <c r="F4">
        <f>AVERAGE(E4:E11)</f>
        <v>0.61125000000000007</v>
      </c>
      <c r="G4">
        <f>STDEV(E4:E11)</f>
        <v>0.41203978656712892</v>
      </c>
      <c r="Q4">
        <v>1.0549999999999997</v>
      </c>
      <c r="S4">
        <v>0.4599999999999973</v>
      </c>
    </row>
    <row r="5" spans="1:21">
      <c r="B5" s="5">
        <v>43251</v>
      </c>
      <c r="C5" t="s">
        <v>13</v>
      </c>
      <c r="D5">
        <v>20.439999999999998</v>
      </c>
      <c r="E5">
        <v>1.0449999999999982</v>
      </c>
      <c r="Q5">
        <v>1.0449999999999982</v>
      </c>
      <c r="S5">
        <v>0.43999999999999773</v>
      </c>
    </row>
    <row r="6" spans="1:21">
      <c r="B6" s="5">
        <v>43251</v>
      </c>
      <c r="C6" t="s">
        <v>34</v>
      </c>
      <c r="D6">
        <v>20.02</v>
      </c>
      <c r="E6">
        <v>0.94000000000000128</v>
      </c>
      <c r="K6" s="3" t="s">
        <v>14</v>
      </c>
      <c r="L6" s="3" t="s">
        <v>15</v>
      </c>
      <c r="M6" s="4"/>
      <c r="N6" s="4"/>
      <c r="O6" s="4"/>
      <c r="Q6">
        <v>0.94000000000000128</v>
      </c>
      <c r="S6">
        <v>0.63499999999999801</v>
      </c>
    </row>
    <row r="7" spans="1:21">
      <c r="B7" s="5">
        <v>43251</v>
      </c>
      <c r="C7" t="s">
        <v>16</v>
      </c>
      <c r="D7">
        <v>18.734999999999999</v>
      </c>
      <c r="E7">
        <v>4.9999999999990052E-3</v>
      </c>
      <c r="G7" s="2" t="s">
        <v>17</v>
      </c>
      <c r="K7">
        <f>F4-F29</f>
        <v>0.14937500000000092</v>
      </c>
      <c r="L7">
        <f>((G4)^2+(G29)^2)^(1/2)</f>
        <v>0.46351673956518785</v>
      </c>
      <c r="Q7">
        <v>4.9999999999990052E-3</v>
      </c>
      <c r="S7">
        <v>0.21499999999999631</v>
      </c>
    </row>
    <row r="8" spans="1:21">
      <c r="B8" s="5">
        <v>43311</v>
      </c>
      <c r="C8" t="s">
        <v>47</v>
      </c>
      <c r="D8">
        <v>18.795000000000002</v>
      </c>
      <c r="E8">
        <v>0.43500000000000227</v>
      </c>
      <c r="G8" t="s">
        <v>18</v>
      </c>
      <c r="H8">
        <f>QUARTILE(E4:E11,3)</f>
        <v>0.9662500000000005</v>
      </c>
      <c r="Q8">
        <v>0.43500000000000227</v>
      </c>
      <c r="S8">
        <v>9.5000000000002416E-2</v>
      </c>
    </row>
    <row r="9" spans="1:21">
      <c r="B9" s="5">
        <v>43311</v>
      </c>
      <c r="C9" t="s">
        <v>48</v>
      </c>
      <c r="D9">
        <v>19.085000000000001</v>
      </c>
      <c r="E9">
        <v>7.5000000000002842E-2</v>
      </c>
      <c r="G9" t="s">
        <v>19</v>
      </c>
      <c r="H9">
        <f>QUARTILE(E4:E11,1)</f>
        <v>0.34500000000000242</v>
      </c>
      <c r="M9" s="2" t="s">
        <v>1</v>
      </c>
      <c r="N9" s="2" t="s">
        <v>20</v>
      </c>
      <c r="O9" s="2" t="s">
        <v>21</v>
      </c>
      <c r="Q9">
        <v>7.5000000000002842E-2</v>
      </c>
      <c r="S9">
        <v>0.72499999999999787</v>
      </c>
    </row>
    <row r="10" spans="1:21">
      <c r="B10" s="5">
        <v>43311</v>
      </c>
      <c r="C10" t="s">
        <v>49</v>
      </c>
      <c r="D10">
        <v>20.835000000000001</v>
      </c>
      <c r="E10">
        <v>0.70499999999999829</v>
      </c>
      <c r="G10" t="s">
        <v>22</v>
      </c>
      <c r="H10">
        <f>H8-H9</f>
        <v>0.62124999999999808</v>
      </c>
      <c r="K10" t="s">
        <v>23</v>
      </c>
      <c r="L10">
        <f>K7+L7</f>
        <v>0.61289173956518872</v>
      </c>
      <c r="M10">
        <f>-1/(2^-L10)</f>
        <v>-1.5293215126555904</v>
      </c>
      <c r="N10">
        <f>STDEV(M10:M12)</f>
        <v>0.36402552130040139</v>
      </c>
      <c r="O10">
        <f>N10/((8)^(1/2))</f>
        <v>0.1287024573182409</v>
      </c>
      <c r="Q10">
        <v>0.70499999999999829</v>
      </c>
      <c r="S10">
        <v>0.55999999999999872</v>
      </c>
    </row>
    <row r="11" spans="1:21">
      <c r="B11" s="5">
        <v>43311</v>
      </c>
      <c r="C11" t="s">
        <v>50</v>
      </c>
      <c r="D11">
        <v>19.86</v>
      </c>
      <c r="E11">
        <v>0.62999999999999901</v>
      </c>
      <c r="G11" t="s">
        <v>24</v>
      </c>
      <c r="H11">
        <f>H8+1.5*H10</f>
        <v>1.8981249999999976</v>
      </c>
      <c r="K11" t="s">
        <v>14</v>
      </c>
      <c r="L11">
        <f>K7</f>
        <v>0.14937500000000092</v>
      </c>
      <c r="M11">
        <f>-1/(2^-L11)</f>
        <v>-1.1090888918286241</v>
      </c>
      <c r="Q11">
        <v>0.62999999999999901</v>
      </c>
      <c r="S11">
        <v>0.56500000000000483</v>
      </c>
    </row>
    <row r="12" spans="1:21">
      <c r="B12" s="5"/>
      <c r="G12" t="s">
        <v>25</v>
      </c>
      <c r="H12">
        <f>H9-1.5*H10</f>
        <v>-0.58687499999999471</v>
      </c>
      <c r="K12" t="s">
        <v>26</v>
      </c>
      <c r="L12">
        <f>K7-L7</f>
        <v>-0.31414173956518693</v>
      </c>
      <c r="M12">
        <f>-1/(2^-L12)</f>
        <v>-0.80432934461353156</v>
      </c>
    </row>
    <row r="13" spans="1:21">
      <c r="B13" s="5"/>
    </row>
    <row r="14" spans="1:21">
      <c r="B14" s="5"/>
      <c r="G14" s="2" t="s">
        <v>27</v>
      </c>
      <c r="H14">
        <f>STDEV(D4:D11)</f>
        <v>0.78523881717602262</v>
      </c>
      <c r="N14" s="2" t="s">
        <v>28</v>
      </c>
    </row>
    <row r="15" spans="1:21">
      <c r="B15" s="5"/>
      <c r="N15">
        <f>LN(2)/(2^L11)*L7</f>
        <v>0.28968401319232873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19.004999999999999</v>
      </c>
      <c r="E29">
        <v>0.4599999999999973</v>
      </c>
      <c r="F29">
        <f>AVERAGE(E29:E36)</f>
        <v>0.46187499999999915</v>
      </c>
      <c r="G29">
        <f>STDEV(E29:E36)</f>
        <v>0.21229927494661169</v>
      </c>
    </row>
    <row r="30" spans="1:17">
      <c r="B30" s="5">
        <v>43251</v>
      </c>
      <c r="C30" t="s">
        <v>31</v>
      </c>
      <c r="D30">
        <v>19.445</v>
      </c>
      <c r="E30">
        <v>0.43999999999999773</v>
      </c>
    </row>
    <row r="31" spans="1:17">
      <c r="B31" s="5">
        <v>43251</v>
      </c>
      <c r="C31" t="s">
        <v>32</v>
      </c>
      <c r="D31">
        <v>20.645</v>
      </c>
      <c r="E31">
        <v>0.63499999999999801</v>
      </c>
    </row>
    <row r="32" spans="1:17">
      <c r="B32" s="5">
        <v>43251</v>
      </c>
      <c r="C32" t="s">
        <v>33</v>
      </c>
      <c r="D32">
        <v>19.164999999999999</v>
      </c>
      <c r="E32">
        <v>0.21499999999999631</v>
      </c>
      <c r="G32" s="2" t="s">
        <v>17</v>
      </c>
    </row>
    <row r="33" spans="2:8">
      <c r="B33" s="5">
        <v>43311</v>
      </c>
      <c r="C33" t="s">
        <v>51</v>
      </c>
      <c r="D33">
        <v>19.490000000000002</v>
      </c>
      <c r="E33">
        <v>9.5000000000002416E-2</v>
      </c>
      <c r="G33" t="s">
        <v>18</v>
      </c>
      <c r="H33">
        <f>QUARTILE(E29:E36,3)</f>
        <v>0.58250000000000313</v>
      </c>
    </row>
    <row r="34" spans="2:8">
      <c r="B34" s="5">
        <v>43311</v>
      </c>
      <c r="C34" t="s">
        <v>52</v>
      </c>
      <c r="D34">
        <v>20.134999999999998</v>
      </c>
      <c r="E34">
        <v>0.72499999999999787</v>
      </c>
      <c r="G34" t="s">
        <v>19</v>
      </c>
      <c r="H34">
        <f>QUARTILE(E29:E36,1)</f>
        <v>0.38374999999999737</v>
      </c>
    </row>
    <row r="35" spans="2:8">
      <c r="B35" s="5">
        <v>43311</v>
      </c>
      <c r="C35" t="s">
        <v>53</v>
      </c>
      <c r="D35">
        <v>20.02</v>
      </c>
      <c r="E35">
        <v>0.55999999999999872</v>
      </c>
      <c r="G35" t="s">
        <v>22</v>
      </c>
      <c r="H35">
        <f>H33-H34</f>
        <v>0.19875000000000576</v>
      </c>
    </row>
    <row r="36" spans="2:8">
      <c r="B36" s="5">
        <v>43311</v>
      </c>
      <c r="C36" t="s">
        <v>54</v>
      </c>
      <c r="D36">
        <v>20.365000000000002</v>
      </c>
      <c r="E36">
        <v>0.56500000000000483</v>
      </c>
      <c r="G36" t="s">
        <v>24</v>
      </c>
      <c r="H36">
        <f>H33+1.5*H35</f>
        <v>0.88062500000001176</v>
      </c>
    </row>
    <row r="37" spans="2:8">
      <c r="B37" s="5"/>
      <c r="G37" t="s">
        <v>25</v>
      </c>
      <c r="H37">
        <f>H34-1.5*H35</f>
        <v>8.5624999999988738E-2</v>
      </c>
    </row>
    <row r="38" spans="2:8">
      <c r="B38" s="5"/>
    </row>
    <row r="39" spans="2:8">
      <c r="B39" s="5"/>
      <c r="G39" s="2" t="s">
        <v>27</v>
      </c>
      <c r="H39">
        <f>STDEV(D29:D36)</f>
        <v>0.59150383406558393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87" priority="21" operator="lessThan">
      <formula>$H$12</formula>
    </cfRule>
    <cfRule type="cellIs" dxfId="86" priority="22" operator="greaterThan">
      <formula>$H$11</formula>
    </cfRule>
  </conditionalFormatting>
  <conditionalFormatting sqref="E29:E32">
    <cfRule type="cellIs" dxfId="85" priority="19" operator="lessThan">
      <formula>$H$37</formula>
    </cfRule>
    <cfRule type="cellIs" dxfId="84" priority="20" operator="greaterThan">
      <formula>$H$36</formula>
    </cfRule>
  </conditionalFormatting>
  <conditionalFormatting sqref="Q4:Q7">
    <cfRule type="cellIs" dxfId="83" priority="5" operator="lessThan">
      <formula>$H$12</formula>
    </cfRule>
    <cfRule type="cellIs" dxfId="82" priority="6" operator="greaterThan">
      <formula>$H$11</formula>
    </cfRule>
  </conditionalFormatting>
  <conditionalFormatting sqref="E33:E36">
    <cfRule type="cellIs" dxfId="81" priority="7" operator="lessThan">
      <formula>$H$37</formula>
    </cfRule>
    <cfRule type="cellIs" dxfId="80" priority="8" operator="greaterThan">
      <formula>$H$36</formula>
    </cfRule>
  </conditionalFormatting>
  <conditionalFormatting sqref="S4:S7">
    <cfRule type="cellIs" dxfId="79" priority="3" operator="lessThan">
      <formula>$H$37</formula>
    </cfRule>
    <cfRule type="cellIs" dxfId="78" priority="4" operator="greaterThan">
      <formula>$H$36</formula>
    </cfRule>
  </conditionalFormatting>
  <conditionalFormatting sqref="S8:S11">
    <cfRule type="cellIs" dxfId="77" priority="1" operator="lessThan">
      <formula>$H$37</formula>
    </cfRule>
    <cfRule type="cellIs" dxfId="76" priority="2" operator="greaterThan">
      <formula>$H$36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6D2B-A7F1-1F45-8059-FE326D4A6921}">
  <dimension ref="A1:U47"/>
  <sheetViews>
    <sheetView topLeftCell="C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1.111493876333526</v>
      </c>
      <c r="M2">
        <f>O10</f>
        <v>0.2430235085059291</v>
      </c>
      <c r="N2">
        <f>_xlfn.T.TEST(Q4:Q11,S4:S11,2,3)</f>
        <v>0.61349170991595503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19.93</v>
      </c>
      <c r="E4">
        <v>5.7050000000000001</v>
      </c>
      <c r="F4">
        <f>AVERAGE(E4:E11)</f>
        <v>6.2431250000000009</v>
      </c>
      <c r="G4">
        <f>STDEV(E4:E11)</f>
        <v>0.66502920182929959</v>
      </c>
      <c r="Q4">
        <v>5.7050000000000001</v>
      </c>
      <c r="S4">
        <v>6.2149999999999999</v>
      </c>
    </row>
    <row r="5" spans="1:21">
      <c r="B5" s="5">
        <v>43251</v>
      </c>
      <c r="C5" t="s">
        <v>13</v>
      </c>
      <c r="D5">
        <v>19.760000000000002</v>
      </c>
      <c r="E5">
        <v>5.0850000000000009</v>
      </c>
      <c r="Q5">
        <v>5.0850000000000009</v>
      </c>
      <c r="S5">
        <v>6.1649999999999991</v>
      </c>
    </row>
    <row r="6" spans="1:21">
      <c r="B6" s="5">
        <v>43251</v>
      </c>
      <c r="C6" t="s">
        <v>34</v>
      </c>
      <c r="D6">
        <v>19.994999999999997</v>
      </c>
      <c r="E6">
        <v>5.7999999999999972</v>
      </c>
      <c r="K6" s="3" t="s">
        <v>14</v>
      </c>
      <c r="L6" s="3" t="s">
        <v>15</v>
      </c>
      <c r="M6" s="4"/>
      <c r="N6" s="4"/>
      <c r="O6" s="4"/>
      <c r="Q6">
        <v>5.7999999999999972</v>
      </c>
      <c r="S6">
        <v>5.3900000000000006</v>
      </c>
    </row>
    <row r="7" spans="1:21">
      <c r="B7" s="5">
        <v>43251</v>
      </c>
      <c r="C7" t="s">
        <v>16</v>
      </c>
      <c r="D7">
        <v>19.71</v>
      </c>
      <c r="E7">
        <v>6.2349999999999994</v>
      </c>
      <c r="G7" s="2" t="s">
        <v>17</v>
      </c>
      <c r="K7">
        <f>F4-F29</f>
        <v>-0.15249999999999897</v>
      </c>
      <c r="L7">
        <f>((G4)^2+(G29)^2)^(1/2)</f>
        <v>0.8335225380447564</v>
      </c>
      <c r="Q7">
        <v>6.2349999999999994</v>
      </c>
      <c r="S7">
        <v>6.2749999999999986</v>
      </c>
    </row>
    <row r="8" spans="1:21">
      <c r="B8" s="5">
        <v>43311</v>
      </c>
      <c r="C8" t="s">
        <v>47</v>
      </c>
      <c r="D8">
        <v>19.71</v>
      </c>
      <c r="E8">
        <v>6.57</v>
      </c>
      <c r="G8" t="s">
        <v>18</v>
      </c>
      <c r="H8">
        <f>QUARTILE(E4:E11,3)</f>
        <v>6.7212500000000031</v>
      </c>
      <c r="Q8">
        <v>6.57</v>
      </c>
      <c r="S8">
        <v>6.5949999999999989</v>
      </c>
    </row>
    <row r="9" spans="1:21">
      <c r="B9" s="5">
        <v>43311</v>
      </c>
      <c r="C9" t="s">
        <v>48</v>
      </c>
      <c r="D9">
        <v>20.755000000000003</v>
      </c>
      <c r="E9">
        <v>6.8900000000000023</v>
      </c>
      <c r="G9" t="s">
        <v>19</v>
      </c>
      <c r="H9">
        <f>QUARTILE(E4:E11,1)</f>
        <v>5.7762499999999974</v>
      </c>
      <c r="M9" s="2" t="s">
        <v>1</v>
      </c>
      <c r="N9" s="2" t="s">
        <v>20</v>
      </c>
      <c r="O9" s="2" t="s">
        <v>21</v>
      </c>
      <c r="Q9">
        <v>6.8900000000000023</v>
      </c>
      <c r="S9">
        <v>6.75</v>
      </c>
    </row>
    <row r="10" spans="1:21">
      <c r="B10" s="5">
        <v>43311</v>
      </c>
      <c r="C10" t="s">
        <v>49</v>
      </c>
      <c r="D10">
        <v>21.520000000000003</v>
      </c>
      <c r="E10">
        <v>6.6650000000000027</v>
      </c>
      <c r="G10" t="s">
        <v>22</v>
      </c>
      <c r="H10">
        <f>H8-H9</f>
        <v>0.94500000000000561</v>
      </c>
      <c r="K10" t="s">
        <v>23</v>
      </c>
      <c r="L10">
        <f>K7+L7</f>
        <v>0.68102253804475743</v>
      </c>
      <c r="M10">
        <f>(2^-L10)</f>
        <v>0.6237230419659211</v>
      </c>
      <c r="N10">
        <f>STDEV(M10:M12)</f>
        <v>0.68737428340915641</v>
      </c>
      <c r="O10">
        <f>N10/((8)^(1/2))</f>
        <v>0.2430235085059291</v>
      </c>
      <c r="Q10">
        <v>6.6650000000000027</v>
      </c>
      <c r="S10">
        <v>6.8300000000000018</v>
      </c>
    </row>
    <row r="11" spans="1:21">
      <c r="B11" s="5">
        <v>43311</v>
      </c>
      <c r="C11" t="s">
        <v>50</v>
      </c>
      <c r="D11">
        <v>20.905000000000001</v>
      </c>
      <c r="E11">
        <v>6.995000000000001</v>
      </c>
      <c r="G11" t="s">
        <v>24</v>
      </c>
      <c r="H11">
        <f>H8+1.5*H10</f>
        <v>8.1387500000000124</v>
      </c>
      <c r="K11" t="s">
        <v>14</v>
      </c>
      <c r="L11">
        <f>K7</f>
        <v>-0.15249999999999897</v>
      </c>
      <c r="M11">
        <f>(2^-L11)</f>
        <v>1.111493876333526</v>
      </c>
      <c r="Q11">
        <v>6.995000000000001</v>
      </c>
      <c r="S11">
        <v>6.9449999999999985</v>
      </c>
    </row>
    <row r="12" spans="1:21">
      <c r="B12" s="5"/>
      <c r="G12" t="s">
        <v>25</v>
      </c>
      <c r="H12">
        <f>H9-1.5*H10</f>
        <v>4.358749999999989</v>
      </c>
      <c r="K12" t="s">
        <v>26</v>
      </c>
      <c r="L12">
        <f>K7-L7</f>
        <v>-0.98602253804475537</v>
      </c>
      <c r="M12">
        <f>(2^-L12)</f>
        <v>1.9807166867412733</v>
      </c>
    </row>
    <row r="13" spans="1:21">
      <c r="B13" s="5"/>
    </row>
    <row r="14" spans="1:21">
      <c r="B14" s="5"/>
      <c r="G14" s="2" t="s">
        <v>27</v>
      </c>
      <c r="H14">
        <f>STDEV(D4:D11)</f>
        <v>0.68426413811793985</v>
      </c>
      <c r="N14" s="2" t="s">
        <v>28</v>
      </c>
    </row>
    <row r="15" spans="1:21">
      <c r="B15" s="5"/>
      <c r="N15">
        <f>LN(2)/(2^L11)*L7</f>
        <v>0.64216980759278108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19.5</v>
      </c>
      <c r="E29">
        <v>6.2149999999999999</v>
      </c>
      <c r="F29">
        <f>AVERAGE(E29:E36)</f>
        <v>6.3956249999999999</v>
      </c>
      <c r="G29">
        <f>STDEV(E29:E36)</f>
        <v>0.50248978312285819</v>
      </c>
    </row>
    <row r="30" spans="1:17">
      <c r="B30" s="5">
        <v>43251</v>
      </c>
      <c r="C30" t="s">
        <v>31</v>
      </c>
      <c r="D30">
        <v>19.875</v>
      </c>
      <c r="E30">
        <v>6.1649999999999991</v>
      </c>
    </row>
    <row r="31" spans="1:17">
      <c r="B31" s="5">
        <v>43251</v>
      </c>
      <c r="C31" t="s">
        <v>32</v>
      </c>
      <c r="D31">
        <v>20.605</v>
      </c>
      <c r="E31">
        <v>5.3900000000000006</v>
      </c>
    </row>
    <row r="32" spans="1:17">
      <c r="B32" s="5">
        <v>43251</v>
      </c>
      <c r="C32" t="s">
        <v>33</v>
      </c>
      <c r="D32">
        <v>20.024999999999999</v>
      </c>
      <c r="E32">
        <v>6.2749999999999986</v>
      </c>
      <c r="G32" s="2" t="s">
        <v>17</v>
      </c>
    </row>
    <row r="33" spans="2:8">
      <c r="B33" s="5">
        <v>43311</v>
      </c>
      <c r="C33" t="s">
        <v>51</v>
      </c>
      <c r="D33">
        <v>20.844999999999999</v>
      </c>
      <c r="E33">
        <v>6.5949999999999989</v>
      </c>
      <c r="G33" t="s">
        <v>18</v>
      </c>
      <c r="H33">
        <f>QUARTILE(E29:E36,3)</f>
        <v>6.7700000000000005</v>
      </c>
    </row>
    <row r="34" spans="2:8">
      <c r="B34" s="5">
        <v>43311</v>
      </c>
      <c r="C34" t="s">
        <v>52</v>
      </c>
      <c r="D34">
        <v>21.105</v>
      </c>
      <c r="E34">
        <v>6.75</v>
      </c>
      <c r="G34" t="s">
        <v>19</v>
      </c>
      <c r="H34">
        <f>QUARTILE(E29:E36,1)</f>
        <v>6.2024999999999997</v>
      </c>
    </row>
    <row r="35" spans="2:8">
      <c r="B35" s="5">
        <v>43311</v>
      </c>
      <c r="C35" t="s">
        <v>53</v>
      </c>
      <c r="D35">
        <v>21.255000000000003</v>
      </c>
      <c r="E35">
        <v>6.8300000000000018</v>
      </c>
      <c r="G35" t="s">
        <v>22</v>
      </c>
      <c r="H35">
        <f>H33-H34</f>
        <v>0.56750000000000078</v>
      </c>
    </row>
    <row r="36" spans="2:8">
      <c r="B36" s="5">
        <v>43311</v>
      </c>
      <c r="C36" t="s">
        <v>54</v>
      </c>
      <c r="D36">
        <v>21.754999999999999</v>
      </c>
      <c r="E36">
        <v>6.9449999999999985</v>
      </c>
      <c r="G36" t="s">
        <v>24</v>
      </c>
      <c r="H36">
        <f>H33+1.5*H35</f>
        <v>7.6212500000000016</v>
      </c>
    </row>
    <row r="37" spans="2:8">
      <c r="B37" s="5"/>
      <c r="G37" t="s">
        <v>25</v>
      </c>
      <c r="H37">
        <f>H34-1.5*H35</f>
        <v>5.3512499999999985</v>
      </c>
    </row>
    <row r="38" spans="2:8">
      <c r="B38" s="5"/>
    </row>
    <row r="39" spans="2:8">
      <c r="B39" s="5"/>
      <c r="G39" s="2" t="s">
        <v>27</v>
      </c>
      <c r="H39">
        <f>STDEV(D29:D36)</f>
        <v>0.76913419551745721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75" priority="25" operator="lessThan">
      <formula>$H$12</formula>
    </cfRule>
    <cfRule type="cellIs" dxfId="74" priority="26" operator="greaterThan">
      <formula>$H$11</formula>
    </cfRule>
  </conditionalFormatting>
  <conditionalFormatting sqref="E29:E32">
    <cfRule type="cellIs" dxfId="73" priority="23" operator="lessThan">
      <formula>$H$37</formula>
    </cfRule>
    <cfRule type="cellIs" dxfId="72" priority="24" operator="greaterThan">
      <formula>$H$36</formula>
    </cfRule>
  </conditionalFormatting>
  <conditionalFormatting sqref="Q4:Q7">
    <cfRule type="cellIs" dxfId="71" priority="7" operator="lessThan">
      <formula>$H$12</formula>
    </cfRule>
    <cfRule type="cellIs" dxfId="70" priority="8" operator="greaterThan">
      <formula>$H$11</formula>
    </cfRule>
  </conditionalFormatting>
  <conditionalFormatting sqref="E33:E36">
    <cfRule type="cellIs" dxfId="69" priority="11" operator="lessThan">
      <formula>$H$37</formula>
    </cfRule>
    <cfRule type="cellIs" dxfId="68" priority="12" operator="greaterThan">
      <formula>$H$36</formula>
    </cfRule>
  </conditionalFormatting>
  <conditionalFormatting sqref="E8:E11">
    <cfRule type="cellIs" dxfId="67" priority="9" operator="lessThan">
      <formula>$H$12</formula>
    </cfRule>
    <cfRule type="cellIs" dxfId="66" priority="10" operator="greaterThan">
      <formula>$H$11</formula>
    </cfRule>
  </conditionalFormatting>
  <conditionalFormatting sqref="Q8:Q11">
    <cfRule type="cellIs" dxfId="65" priority="5" operator="lessThan">
      <formula>$H$12</formula>
    </cfRule>
    <cfRule type="cellIs" dxfId="64" priority="6" operator="greaterThan">
      <formula>$H$11</formula>
    </cfRule>
  </conditionalFormatting>
  <conditionalFormatting sqref="S4:S7">
    <cfRule type="cellIs" dxfId="63" priority="3" operator="lessThan">
      <formula>$H$37</formula>
    </cfRule>
    <cfRule type="cellIs" dxfId="62" priority="4" operator="greaterThan">
      <formula>$H$36</formula>
    </cfRule>
  </conditionalFormatting>
  <conditionalFormatting sqref="S8:S11">
    <cfRule type="cellIs" dxfId="61" priority="1" operator="lessThan">
      <formula>$H$37</formula>
    </cfRule>
    <cfRule type="cellIs" dxfId="60" priority="2" operator="greaterThan">
      <formula>$H$36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2886-879E-F147-A0C1-14982E46E2CC}">
  <dimension ref="A1:U47"/>
  <sheetViews>
    <sheetView topLeftCell="F1" workbookViewId="0">
      <selection activeCell="N2" activeCellId="2" sqref="L2 M2 N2"/>
    </sheetView>
  </sheetViews>
  <sheetFormatPr baseColWidth="10" defaultRowHeight="16"/>
  <cols>
    <col min="3" max="3" width="12.1640625" bestFit="1" customWidth="1"/>
    <col min="6" max="6" width="12.1640625" bestFit="1" customWidth="1"/>
    <col min="20" max="20" width="12.1640625" bestFit="1" customWidth="1"/>
  </cols>
  <sheetData>
    <row r="1" spans="1:21" ht="19">
      <c r="A1" s="1" t="s">
        <v>0</v>
      </c>
      <c r="L1" s="2" t="s">
        <v>1</v>
      </c>
      <c r="M1" s="2" t="s">
        <v>2</v>
      </c>
      <c r="N1" s="3" t="s">
        <v>3</v>
      </c>
    </row>
    <row r="2" spans="1:21">
      <c r="L2">
        <f>M11</f>
        <v>1.1071686514747157</v>
      </c>
      <c r="M2">
        <f>O10</f>
        <v>0.19379122141802599</v>
      </c>
      <c r="N2">
        <f>_xlfn.T.TEST(Q4:Q11,S4:S11,2,3)</f>
        <v>0.55232974109243937</v>
      </c>
    </row>
    <row r="3" spans="1:21" s="4" customFormat="1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Q3" t="s">
        <v>10</v>
      </c>
      <c r="R3"/>
      <c r="S3" t="s">
        <v>11</v>
      </c>
      <c r="T3"/>
      <c r="U3"/>
    </row>
    <row r="4" spans="1:21">
      <c r="B4" s="5">
        <v>43251</v>
      </c>
      <c r="C4" t="s">
        <v>12</v>
      </c>
      <c r="D4">
        <v>19.93</v>
      </c>
      <c r="E4">
        <v>0.79500000000000171</v>
      </c>
      <c r="F4">
        <f>AVERAGE(E4:E11)</f>
        <v>1.1518750000000013</v>
      </c>
      <c r="G4">
        <f>STDEV(E4:E11)</f>
        <v>0.4711076423857779</v>
      </c>
      <c r="Q4">
        <v>0.79500000000000171</v>
      </c>
      <c r="S4">
        <v>0.95499999999999829</v>
      </c>
    </row>
    <row r="5" spans="1:21">
      <c r="B5" s="5">
        <v>43251</v>
      </c>
      <c r="C5" t="s">
        <v>13</v>
      </c>
      <c r="D5">
        <v>19.760000000000002</v>
      </c>
      <c r="E5">
        <v>0.36500000000000199</v>
      </c>
      <c r="Q5">
        <v>0.36500000000000199</v>
      </c>
      <c r="S5">
        <v>0.86999999999999744</v>
      </c>
    </row>
    <row r="6" spans="1:21">
      <c r="B6" s="5">
        <v>43251</v>
      </c>
      <c r="C6" t="s">
        <v>34</v>
      </c>
      <c r="D6">
        <v>19.994999999999997</v>
      </c>
      <c r="E6">
        <v>0.91499999999999915</v>
      </c>
      <c r="K6" s="3" t="s">
        <v>14</v>
      </c>
      <c r="L6" s="3" t="s">
        <v>15</v>
      </c>
      <c r="M6" s="4"/>
      <c r="N6" s="4"/>
      <c r="O6" s="4"/>
      <c r="Q6">
        <v>0.91499999999999915</v>
      </c>
      <c r="S6">
        <v>0.59499999999999886</v>
      </c>
    </row>
    <row r="7" spans="1:21">
      <c r="B7" s="5">
        <v>43251</v>
      </c>
      <c r="C7" t="s">
        <v>16</v>
      </c>
      <c r="D7">
        <v>19.71</v>
      </c>
      <c r="E7">
        <v>0.98000000000000043</v>
      </c>
      <c r="G7" s="2" t="s">
        <v>17</v>
      </c>
      <c r="K7">
        <f>F4-F29</f>
        <v>-0.14687499999999787</v>
      </c>
      <c r="L7">
        <f>((G4)^2+(G29)^2)^(1/2)</f>
        <v>0.68219544486899208</v>
      </c>
      <c r="Q7">
        <v>0.98000000000000043</v>
      </c>
      <c r="S7">
        <v>1.0749999999999957</v>
      </c>
    </row>
    <row r="8" spans="1:21">
      <c r="B8" s="5">
        <v>43311</v>
      </c>
      <c r="C8" t="s">
        <v>47</v>
      </c>
      <c r="D8">
        <v>19.71</v>
      </c>
      <c r="E8">
        <v>1.3500000000000014</v>
      </c>
      <c r="G8" t="s">
        <v>18</v>
      </c>
      <c r="H8">
        <f>QUARTILE(E4:E36,3)</f>
        <v>1.6800000000000006</v>
      </c>
      <c r="Q8">
        <v>1.3500000000000014</v>
      </c>
      <c r="S8">
        <v>1.4499999999999993</v>
      </c>
    </row>
    <row r="9" spans="1:21">
      <c r="B9" s="5">
        <v>43311</v>
      </c>
      <c r="C9" t="s">
        <v>48</v>
      </c>
      <c r="D9">
        <v>20.755000000000003</v>
      </c>
      <c r="E9">
        <v>1.7450000000000045</v>
      </c>
      <c r="G9" t="s">
        <v>19</v>
      </c>
      <c r="H9">
        <f>QUARTILE(E4:E36,1)</f>
        <v>0.90374999999999872</v>
      </c>
      <c r="M9" s="2" t="s">
        <v>1</v>
      </c>
      <c r="N9" s="2" t="s">
        <v>20</v>
      </c>
      <c r="O9" s="2" t="s">
        <v>21</v>
      </c>
      <c r="Q9">
        <v>1.7450000000000045</v>
      </c>
      <c r="S9">
        <v>1.6950000000000003</v>
      </c>
    </row>
    <row r="10" spans="1:21">
      <c r="B10" s="5">
        <v>43311</v>
      </c>
      <c r="C10" t="s">
        <v>49</v>
      </c>
      <c r="D10">
        <v>21.520000000000003</v>
      </c>
      <c r="E10">
        <v>1.3900000000000006</v>
      </c>
      <c r="G10" t="s">
        <v>22</v>
      </c>
      <c r="H10">
        <f>H8-H9</f>
        <v>0.77625000000000188</v>
      </c>
      <c r="K10" t="s">
        <v>23</v>
      </c>
      <c r="L10">
        <f>K7+L7</f>
        <v>0.53532044486899422</v>
      </c>
      <c r="M10">
        <f>(2^-L10)</f>
        <v>0.69000539881143819</v>
      </c>
      <c r="N10">
        <f>STDEV(M10:M12)</f>
        <v>0.54812434719643954</v>
      </c>
      <c r="O10">
        <f>N10/((8)^(1/2))</f>
        <v>0.19379122141802599</v>
      </c>
      <c r="Q10">
        <v>1.3900000000000006</v>
      </c>
      <c r="S10">
        <v>1.7950000000000017</v>
      </c>
    </row>
    <row r="11" spans="1:21">
      <c r="B11" s="5">
        <v>43311</v>
      </c>
      <c r="C11" t="s">
        <v>50</v>
      </c>
      <c r="D11">
        <v>20.905000000000001</v>
      </c>
      <c r="E11">
        <v>1.6750000000000007</v>
      </c>
      <c r="G11" t="s">
        <v>24</v>
      </c>
      <c r="H11">
        <f>H8+1.5*H10</f>
        <v>2.8443750000000034</v>
      </c>
      <c r="K11" t="s">
        <v>14</v>
      </c>
      <c r="L11">
        <f>K7</f>
        <v>-0.14687499999999787</v>
      </c>
      <c r="M11">
        <f>(2^-L11)</f>
        <v>1.1071686514747157</v>
      </c>
      <c r="Q11">
        <v>1.6750000000000007</v>
      </c>
      <c r="S11">
        <v>1.9550000000000018</v>
      </c>
    </row>
    <row r="12" spans="1:21">
      <c r="B12" s="5"/>
      <c r="G12" t="s">
        <v>25</v>
      </c>
      <c r="H12">
        <f>H9-1.5*H10</f>
        <v>-0.2606250000000041</v>
      </c>
      <c r="K12" t="s">
        <v>26</v>
      </c>
      <c r="L12">
        <f>K7-L7</f>
        <v>-0.82907044486898995</v>
      </c>
      <c r="M12">
        <f>(2^-L12)</f>
        <v>1.7765403356551535</v>
      </c>
    </row>
    <row r="13" spans="1:21">
      <c r="B13" s="5"/>
    </row>
    <row r="14" spans="1:21">
      <c r="B14" s="5"/>
      <c r="G14" s="2" t="s">
        <v>27</v>
      </c>
      <c r="H14">
        <f>STDEV(D4:D11)</f>
        <v>0.68426413811793985</v>
      </c>
      <c r="N14" s="2" t="s">
        <v>28</v>
      </c>
    </row>
    <row r="15" spans="1:21">
      <c r="B15" s="5"/>
      <c r="N15">
        <f>LN(2)/(2^L11)*L7</f>
        <v>0.5235378159145746</v>
      </c>
    </row>
    <row r="16" spans="1:21">
      <c r="B16" s="5"/>
    </row>
    <row r="17" spans="1:17">
      <c r="B17" s="5"/>
    </row>
    <row r="18" spans="1:17">
      <c r="B18" s="5"/>
    </row>
    <row r="19" spans="1:17">
      <c r="B19" s="5"/>
    </row>
    <row r="20" spans="1:17">
      <c r="B20" s="5"/>
    </row>
    <row r="21" spans="1:17">
      <c r="B21" s="5"/>
    </row>
    <row r="22" spans="1:17">
      <c r="B22" s="5"/>
    </row>
    <row r="23" spans="1:17">
      <c r="B23" s="5"/>
      <c r="Q23" s="5"/>
    </row>
    <row r="26" spans="1:17" ht="19">
      <c r="A26" s="1" t="s">
        <v>29</v>
      </c>
    </row>
    <row r="28" spans="1:17">
      <c r="A28" s="4"/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/>
    </row>
    <row r="29" spans="1:17">
      <c r="B29" s="5">
        <v>43251</v>
      </c>
      <c r="C29" t="s">
        <v>30</v>
      </c>
      <c r="D29">
        <v>19.5</v>
      </c>
      <c r="E29">
        <v>0.95499999999999829</v>
      </c>
      <c r="F29">
        <f>AVERAGE(E29:E36)</f>
        <v>1.2987499999999992</v>
      </c>
      <c r="G29">
        <f>STDEV(E29:E36)</f>
        <v>0.49340471652155499</v>
      </c>
    </row>
    <row r="30" spans="1:17">
      <c r="B30" s="5">
        <v>43251</v>
      </c>
      <c r="C30" t="s">
        <v>31</v>
      </c>
      <c r="D30">
        <v>19.875</v>
      </c>
      <c r="E30">
        <v>0.86999999999999744</v>
      </c>
    </row>
    <row r="31" spans="1:17">
      <c r="B31" s="5">
        <v>43251</v>
      </c>
      <c r="C31" t="s">
        <v>32</v>
      </c>
      <c r="D31">
        <v>20.605</v>
      </c>
      <c r="E31">
        <v>0.59499999999999886</v>
      </c>
    </row>
    <row r="32" spans="1:17">
      <c r="B32" s="5">
        <v>43251</v>
      </c>
      <c r="C32" t="s">
        <v>33</v>
      </c>
      <c r="D32">
        <v>20.024999999999999</v>
      </c>
      <c r="E32">
        <v>1.0749999999999957</v>
      </c>
      <c r="G32" s="2" t="s">
        <v>17</v>
      </c>
    </row>
    <row r="33" spans="2:8">
      <c r="B33" s="5">
        <v>43311</v>
      </c>
      <c r="C33" t="s">
        <v>51</v>
      </c>
      <c r="D33">
        <v>20.844999999999999</v>
      </c>
      <c r="E33">
        <v>1.4499999999999993</v>
      </c>
      <c r="G33" t="s">
        <v>18</v>
      </c>
      <c r="H33">
        <f>QUARTILE(E29:E36,3)</f>
        <v>1.7200000000000006</v>
      </c>
    </row>
    <row r="34" spans="2:8">
      <c r="B34" s="5">
        <v>43311</v>
      </c>
      <c r="C34" t="s">
        <v>52</v>
      </c>
      <c r="D34">
        <v>21.105</v>
      </c>
      <c r="E34">
        <v>1.6950000000000003</v>
      </c>
      <c r="G34" t="s">
        <v>19</v>
      </c>
      <c r="H34">
        <f>QUARTILE(E29:E36,1)</f>
        <v>0.93374999999999808</v>
      </c>
    </row>
    <row r="35" spans="2:8">
      <c r="B35" s="5">
        <v>43311</v>
      </c>
      <c r="C35" t="s">
        <v>53</v>
      </c>
      <c r="D35">
        <v>21.255000000000003</v>
      </c>
      <c r="E35">
        <v>1.7950000000000017</v>
      </c>
      <c r="G35" t="s">
        <v>22</v>
      </c>
      <c r="H35">
        <f>H33-H34</f>
        <v>0.78625000000000256</v>
      </c>
    </row>
    <row r="36" spans="2:8">
      <c r="B36" s="5">
        <v>43311</v>
      </c>
      <c r="C36" t="s">
        <v>54</v>
      </c>
      <c r="D36">
        <v>21.754999999999999</v>
      </c>
      <c r="E36">
        <v>1.9550000000000018</v>
      </c>
      <c r="G36" t="s">
        <v>24</v>
      </c>
      <c r="H36">
        <f>H33+1.5*H35</f>
        <v>2.8993750000000045</v>
      </c>
    </row>
    <row r="37" spans="2:8">
      <c r="B37" s="5"/>
      <c r="G37" t="s">
        <v>25</v>
      </c>
      <c r="H37">
        <f>H34-1.5*H35</f>
        <v>-0.24562500000000576</v>
      </c>
    </row>
    <row r="38" spans="2:8">
      <c r="B38" s="5"/>
    </row>
    <row r="39" spans="2:8">
      <c r="B39" s="5"/>
      <c r="G39" s="2" t="s">
        <v>27</v>
      </c>
      <c r="H39">
        <f>STDEV(D29:D36)</f>
        <v>0.76913419551745721</v>
      </c>
    </row>
    <row r="40" spans="2:8">
      <c r="B40" s="5"/>
    </row>
    <row r="41" spans="2:8">
      <c r="B41" s="5"/>
    </row>
    <row r="42" spans="2:8">
      <c r="B42" s="5"/>
    </row>
    <row r="43" spans="2:8">
      <c r="B43" s="5"/>
    </row>
    <row r="44" spans="2:8">
      <c r="B44" s="5"/>
    </row>
    <row r="45" spans="2:8">
      <c r="B45" s="5"/>
    </row>
    <row r="46" spans="2:8">
      <c r="B46" s="5"/>
    </row>
    <row r="47" spans="2:8">
      <c r="B47" s="5"/>
    </row>
  </sheetData>
  <conditionalFormatting sqref="E4:E7">
    <cfRule type="cellIs" dxfId="59" priority="21" operator="lessThan">
      <formula>$H$12</formula>
    </cfRule>
    <cfRule type="cellIs" dxfId="58" priority="22" operator="greaterThan">
      <formula>$H$11</formula>
    </cfRule>
  </conditionalFormatting>
  <conditionalFormatting sqref="E29:E32">
    <cfRule type="cellIs" dxfId="57" priority="19" operator="lessThan">
      <formula>$H$37</formula>
    </cfRule>
    <cfRule type="cellIs" dxfId="56" priority="20" operator="greaterThan">
      <formula>$H$36</formula>
    </cfRule>
  </conditionalFormatting>
  <conditionalFormatting sqref="E8:E11">
    <cfRule type="cellIs" dxfId="55" priority="3" operator="lessThan">
      <formula>$H$12</formula>
    </cfRule>
    <cfRule type="cellIs" dxfId="54" priority="4" operator="greaterThan">
      <formula>$H$11</formula>
    </cfRule>
  </conditionalFormatting>
  <conditionalFormatting sqref="Q4:Q7">
    <cfRule type="cellIs" dxfId="51" priority="7" operator="lessThan">
      <formula>$H$12</formula>
    </cfRule>
    <cfRule type="cellIs" dxfId="50" priority="8" operator="greaterThan">
      <formula>$H$11</formula>
    </cfRule>
  </conditionalFormatting>
  <conditionalFormatting sqref="S4:S7">
    <cfRule type="cellIs" dxfId="49" priority="5" operator="lessThan">
      <formula>$H$37</formula>
    </cfRule>
    <cfRule type="cellIs" dxfId="48" priority="6" operator="greaterThan">
      <formula>$H$36</formula>
    </cfRule>
  </conditionalFormatting>
  <conditionalFormatting sqref="E33:E36">
    <cfRule type="cellIs" dxfId="45" priority="1" operator="lessThan">
      <formula>$H$37</formula>
    </cfRule>
    <cfRule type="cellIs" dxfId="44" priority="2" operator="greaterThan">
      <formula>$H$36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Herc3 (Gapdh)</vt:lpstr>
      <vt:lpstr>Herc3 (Hprt)</vt:lpstr>
      <vt:lpstr>Hes6 (Gapdh)</vt:lpstr>
      <vt:lpstr>Hes6 (Hprt)</vt:lpstr>
      <vt:lpstr>Hspb6 (Gapdh)</vt:lpstr>
      <vt:lpstr>Hspb6 (Hprt)</vt:lpstr>
      <vt:lpstr>Itsn1 (Gapdh)</vt:lpstr>
      <vt:lpstr>Itsn1 (Hprt)</vt:lpstr>
      <vt:lpstr>Lrp3 (Gapdh)</vt:lpstr>
      <vt:lpstr>Lrp3 (Hprt)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Feldstein</dc:creator>
  <cp:lastModifiedBy>Sam Feldstein</cp:lastModifiedBy>
  <dcterms:created xsi:type="dcterms:W3CDTF">2018-06-04T21:17:03Z</dcterms:created>
  <dcterms:modified xsi:type="dcterms:W3CDTF">2018-08-02T19:21:05Z</dcterms:modified>
</cp:coreProperties>
</file>